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cancino\Desktop\"/>
    </mc:Choice>
  </mc:AlternateContent>
  <xr:revisionPtr revIDLastSave="0" documentId="8_{82CFBCDD-6876-4032-A95D-DDB47D5F5A8C}" xr6:coauthVersionLast="47" xr6:coauthVersionMax="47" xr10:uidLastSave="{00000000-0000-0000-0000-000000000000}"/>
  <bookViews>
    <workbookView xWindow="-120" yWindow="-120" windowWidth="29040" windowHeight="15720" tabRatio="782" activeTab="1" xr2:uid="{00000000-000D-0000-FFFF-FFFF00000000}"/>
  </bookViews>
  <sheets>
    <sheet name="GRAFICOS" sheetId="129" r:id="rId1"/>
    <sheet name="CONSOLIDADO" sheetId="39" r:id="rId2"/>
    <sheet name="P01 2024" sheetId="136" state="hidden" r:id="rId3"/>
    <sheet name="Prog 01" sheetId="4" r:id="rId4"/>
    <sheet name="P01 2025" sheetId="140" state="hidden" r:id="rId5"/>
    <sheet name="Prog 02" sheetId="35" r:id="rId6"/>
    <sheet name="P02 2025" sheetId="141" state="hidden" r:id="rId7"/>
    <sheet name="P02 2024" sheetId="137" state="hidden" r:id="rId8"/>
    <sheet name="Prog 03" sheetId="37" r:id="rId9"/>
    <sheet name="P03 2024" sheetId="138" state="hidden" r:id="rId10"/>
    <sheet name="P03 2025" sheetId="142" state="hidden" r:id="rId11"/>
    <sheet name="Prog 05" sheetId="54" r:id="rId12"/>
    <sheet name="P05 2024" sheetId="139" state="hidden" r:id="rId13"/>
    <sheet name="P05 2025" sheetId="143" state="hidden" r:id="rId14"/>
  </sheets>
  <externalReferences>
    <externalReference r:id="rId15"/>
    <externalReference r:id="rId16"/>
  </externalReferences>
  <definedNames>
    <definedName name="_xlnm._FilterDatabase" localSheetId="1" hidden="1">CONSOLIDADO!$A$9:$AX$312</definedName>
    <definedName name="_xlnm._FilterDatabase" localSheetId="2" hidden="1">'P01 2024'!$A$2:$FT$149</definedName>
    <definedName name="_xlnm._FilterDatabase" localSheetId="4" hidden="1">'P01 2025'!$A$2:$BB$145</definedName>
    <definedName name="_xlnm._FilterDatabase" localSheetId="7" hidden="1">'P02 2024'!$A$2:$J$43</definedName>
    <definedName name="_xlnm._FilterDatabase" localSheetId="6" hidden="1">'P02 2025'!$A$2:$L$2</definedName>
    <definedName name="_xlnm._FilterDatabase" localSheetId="9" hidden="1">'P03 2024'!$A$2:$J$38</definedName>
    <definedName name="_xlnm._FilterDatabase" localSheetId="10" hidden="1">'P03 2025'!$BE$2:$BN$65</definedName>
    <definedName name="_xlnm._FilterDatabase" localSheetId="3" hidden="1">'Prog 01'!$A$9:$CF$214</definedName>
    <definedName name="_xlnm._FilterDatabase" localSheetId="5" hidden="1">'Prog 02'!$A$9:$AV$63</definedName>
    <definedName name="_xlnm._FilterDatabase" localSheetId="8" hidden="1">'Prog 03'!$A$10:$AX$63</definedName>
    <definedName name="_xlnm._FilterDatabase" localSheetId="11" hidden="1">'Prog 05'!$A$9:$AO$72</definedName>
    <definedName name="ABRIL2012">#REF!</definedName>
    <definedName name="AGOSTO_2012">#REF!</definedName>
    <definedName name="anualpro032012">#REF!</definedName>
    <definedName name="anualprog012013">#REF!</definedName>
    <definedName name="anualprog022013">#REF!</definedName>
    <definedName name="anualprog032013">#REF!</definedName>
    <definedName name="_xlnm.Print_Area" localSheetId="1">CONSOLIDADO!$B$2:$R$324</definedName>
    <definedName name="_xlnm.Print_Area" localSheetId="3">'Prog 01'!$C$2:$S$213</definedName>
    <definedName name="_xlnm.Print_Area" localSheetId="5">'Prog 02'!$B$2:$R$63</definedName>
    <definedName name="_xlnm.Print_Area" localSheetId="8">'Prog 03'!$B$4:$R$63</definedName>
    <definedName name="_xlnm.Print_Area" localSheetId="11">'Prog 05'!$B$2:$R$72</definedName>
    <definedName name="CÓDIGO">#REF!</definedName>
    <definedName name="coincidenciaP01">'Prog 01'!$G:$P</definedName>
    <definedName name="Compromiso_ENERO">#REF!</definedName>
    <definedName name="compromisosjulio">#REF!</definedName>
    <definedName name="Concepto2022">#REF!</definedName>
    <definedName name="CTA_PRES">'[1]Clasificador Presupuestario'!$A$1:$C$593</definedName>
    <definedName name="Cta_Presp">'[2]Clasificador Presupuestario'!$A$1:$C$627</definedName>
    <definedName name="Devengado_enero">#REF!</definedName>
    <definedName name="Devengado2022">#REF!</definedName>
    <definedName name="Devengadojulio">#REF!</definedName>
    <definedName name="DICIEMBRE_2012">#REF!</definedName>
    <definedName name="EENERO23">#REF!</definedName>
    <definedName name="EJECUCIO_AGOSTO_2013_2">#REF!</definedName>
    <definedName name="EJECUCION_31_07_2013">#REF!</definedName>
    <definedName name="EJECUCION_ACUMULADA_AL_25_09_2013">#REF!</definedName>
    <definedName name="EJECUCION_ACUMULADA_AL_30_NOVIEMBRE_2013">#REF!</definedName>
    <definedName name="Ejecucion_Acumulada_al_30_Septiembre">#REF!</definedName>
    <definedName name="EJECUCION_ACUMULADA_AL_31_DE_AGOSTO_DEL_2013">#REF!</definedName>
    <definedName name="EJECUCIÓN_ACUMULADA_AL_31_DE_MARZO_DEL_2014">#REF!</definedName>
    <definedName name="EJECUCION_ACUMULADA_AL_31_OCTUBRE_2013">#REF!</definedName>
    <definedName name="EJECUCION_AGOSTO_2012">#REF!</definedName>
    <definedName name="EJECUCION_AGOSTO_2013">#REF!</definedName>
    <definedName name="EJECUCION_AL_25_09_2013">#REF!</definedName>
    <definedName name="Ejecución_al_30_sep_2013">#REF!</definedName>
    <definedName name="EJECUCION_AL_31_07_2013">#REF!</definedName>
    <definedName name="EJECUCION_JULIO_2012">#REF!</definedName>
    <definedName name="EJECUCION_JULIO_2013">#REF!</definedName>
    <definedName name="EJECUCIÓN_PRESUPUESTARIA_ACUMULADA_AL_13_DE_MARZO_DE_2018">#REF!</definedName>
    <definedName name="EJECUCION_PRESUPUESTARIA_AL_31_DE_MARZO_2014">#REF!</definedName>
    <definedName name="Ejecución_Septiembre">#REF!</definedName>
    <definedName name="Ejecución_Septiembre_2013">#REF!</definedName>
    <definedName name="Ejecucionpresupuestariajulio">#REF!</definedName>
    <definedName name="enero">#REF!</definedName>
    <definedName name="ENERO.P01.22">#REF!</definedName>
    <definedName name="enero2012">#REF!</definedName>
    <definedName name="ENERO2022">#REF!</definedName>
    <definedName name="enero2023">#REF!</definedName>
    <definedName name="eneroprog022012">#REF!</definedName>
    <definedName name="eneroprog022013">#REF!</definedName>
    <definedName name="eneroprog032012">#REF!</definedName>
    <definedName name="eneroprog032013">#REF!</definedName>
    <definedName name="febrero">#REF!</definedName>
    <definedName name="febrero2012">#REF!</definedName>
    <definedName name="febreroprog022012">#REF!</definedName>
    <definedName name="febreroprog022013">#REF!</definedName>
    <definedName name="febreroprog032012">#REF!</definedName>
    <definedName name="febreroprog032013">#REF!</definedName>
    <definedName name="febrro2012" localSheetId="11">#REF!</definedName>
    <definedName name="febrro2012">#REF!</definedName>
    <definedName name="indicep01">'Prog 01'!$G:$G</definedName>
    <definedName name="JULIO">#REF!</definedName>
    <definedName name="julio_2012">#REF!</definedName>
    <definedName name="JULIO2012">#REF!</definedName>
    <definedName name="JUNIO">#REF!</definedName>
    <definedName name="junio2012">#REF!</definedName>
    <definedName name="marzo">#REF!</definedName>
    <definedName name="marzo2012">#REF!</definedName>
    <definedName name="marzoprog022012">#REF!</definedName>
    <definedName name="marzoprog022013">#REF!</definedName>
    <definedName name="marzoprog032012">#REF!</definedName>
    <definedName name="marzoprog032013">#REF!</definedName>
    <definedName name="matriz01" localSheetId="11">'Prog 05'!$F$34:$R$69</definedName>
    <definedName name="matriz01">'Prog 01'!$G$13:$S$212</definedName>
    <definedName name="matriz01.v2">'Prog 01'!$C$9:$P$213</definedName>
    <definedName name="matriz02">'Prog 02'!$F$21:$R$63</definedName>
    <definedName name="matriz03">'Prog 03'!$F$29:$R$63</definedName>
    <definedName name="matriz2">'Prog 02'!$F$21:$K$21</definedName>
    <definedName name="matrizP50">#REF!</definedName>
    <definedName name="mayo">#REF!</definedName>
    <definedName name="MAYO2012">#REF!</definedName>
    <definedName name="noviembre_20_12">#REF!</definedName>
    <definedName name="NOVIEMBRE_2012">#REF!</definedName>
    <definedName name="NULO">#REF!</definedName>
    <definedName name="OCTUBRE_2012">#REF!</definedName>
    <definedName name="P_01_EJECUCIÓN_PRESUPUESTARIA_AL_31_DE_AGOSTO_2016">#REF!</definedName>
    <definedName name="P01_EJECUCION_ACUMULADA_AL_28_DE_FEBRERO_2015">#REF!</definedName>
    <definedName name="P01_EJECUCIÓN_ACUMULADA_AL_31_DE_MAYO_2016">#REF!</definedName>
    <definedName name="P01_EJECUCION_ACUMULADA_AÑO_2013">#REF!</definedName>
    <definedName name="P01_EJECUCION_DICIEMBRE_2013">#REF!</definedName>
    <definedName name="P01_EJECUCIÓN_NOVIEMBRE_2013">#REF!</definedName>
    <definedName name="P01_EJECUCION_OCTUBRE_2013">#REF!</definedName>
    <definedName name="P01_EJECUCIÓN_PRESUPIUESTARIA_ACUMULADA_AL_30_DE_ABRIL_DEL_2015">#REF!</definedName>
    <definedName name="P01_EJECUCIÓN_PRESUPUESTARIA__ACUMULADA_AL_17_DE_DICIEMBRE_DEL_2015">#REF!</definedName>
    <definedName name="P01_EJECUCIÓN_PRESUPUESTARIA__ACUMULADA_AL_31_DE_DICIEMBRE_DEL_2015">#REF!</definedName>
    <definedName name="P01_EJECUCIÓN_PRESUPUESTARIA_ACUMULADA_AL_13_DE_MARZO_2018">#REF!</definedName>
    <definedName name="P01_EJECUCION_PRESUPUESTARIA_ACUMULADA_AL_15_DE_JUNIO_DEL_2015">#REF!</definedName>
    <definedName name="P01_EJECUCIÓN_PRESUPUESTARIA_ACUMULADA_AL_15_DE_JUNIO_DEL_2015">#REF!</definedName>
    <definedName name="P01_EJECUCIÓN_PRESUPUESTARIA_ACUMULADA_AL_15_DE_MAYO_DEL_2015">#REF!</definedName>
    <definedName name="P01_EJECUCIÓN_PRESUPUESTARIA_ACUMULADA_AL_16_DE_MAYO_2015">#REF!</definedName>
    <definedName name="P01_EJECUCIÓN_PRESUPUESTARIA_ACUMULADA_AL_26_DE_AGOSTO_DEL_2015">#REF!</definedName>
    <definedName name="P01_EJECUCIÓN_PRESUPUESTARIA_ACUMULADA_AL_30_DE_JUNIO_2018">#REF!</definedName>
    <definedName name="P01_EJECUCIÓN_PRESUPUESTARIA_ACUMULADA_AL_30_DE_JUNIO_DEL_2015">#REF!</definedName>
    <definedName name="P01_EJECUCIÓN_PRESUPUESTARIA_ACUMULADA_AL_30_DE_NOVIEMBRE_DEL_2015">#REF!</definedName>
    <definedName name="P01_EJECUCIÓN_PRESUPUESTARIA_ACUMULADA_AL_30_DE_SEPTIEMBRE_DEL_2015">#REF!</definedName>
    <definedName name="P01_EJECUCIÓN_PRESUPUESTARIA_ACUMULADA_AL_31_DE_AGOSTO_DEL_2015">#REF!</definedName>
    <definedName name="P01_EJECUCIÓN_PRESUPUESTARIA_ACUMULADA_AL_31_DE_JULIO_2018">#REF!</definedName>
    <definedName name="P01_EJECUCIÓN_PRESUPUESTARIA_ACUMULADA_AL_31_DE_JULIO_DEL_2015">#REF!</definedName>
    <definedName name="P01_EJECUCIÓN_PRESUPUESTARIA_ACUMULADA_AL_31_DE_MAYO_2018">#REF!</definedName>
    <definedName name="P01_EJECUCIÓN_PRESUPUESTARIA_ACUMULADA_AL_31_DE_MAYO_DEL_2015">#REF!</definedName>
    <definedName name="P01_EJECUCIÓN_PRESUPUESTARIA_ACUMULADA_AL_31_DE_OCTUBRE_DEL_2015">#REF!</definedName>
    <definedName name="P01_EJECUCIÓN_PRESUPUESTARIA_AL_15_DE_JUNIO_DEL_2015">#REF!</definedName>
    <definedName name="P01_EJECUCIÓN_PRESUPUESTARIA_AL_17_DE_DICIEMBRE_DEL_2015">#REF!</definedName>
    <definedName name="P01_EJECUCIÓN_PRESUPUESTARIA_AL_19_DE_MAYO_2015">#REF!</definedName>
    <definedName name="P01_EJECUCIÓN_PRESUPUESTARIA_AL_21_DE_SEPTIEMBRE_DEL_2015">#REF!</definedName>
    <definedName name="P01_EJECUCIÓN_PRESUPUESTARIA_AL_26_DE_AGOSTO_DEL_2015">#REF!</definedName>
    <definedName name="P01_EJECUCION_PRESUPUESTARIA_AL_26_DE_MARZO_DEL_2015">#REF!</definedName>
    <definedName name="P01_EJECUCIÓN_PRESUPUESTARIA_AL_28_DE_FEBRERO_2015">#REF!</definedName>
    <definedName name="P01_EJECUCIÓN_PRESUPUESTARIA_AL_30_DE_ABRIL_DEL_2015">#REF!</definedName>
    <definedName name="P01_EJECUCIÓN_PRESUPUESTARIA_AL_30_DE_JUNIO_2018">#REF!</definedName>
    <definedName name="P01_EJECUCIÓN_PRESUPUESTARIA_AL_30_DE_JUNIO_DEL_2015">#REF!</definedName>
    <definedName name="P01_EJECUCIÓN_PRESUPUESTARIA_AL_30_DE_NOVIEMBRE_DEL_2015">#REF!</definedName>
    <definedName name="P01_EJECUCIÓN_PRESUPUESTARIA_AL_30_DE_SEPTIEMBRE_2015">#REF!</definedName>
    <definedName name="P01_EJECUCIÓN_PRESUPUESTARIA_AL_30_DE_SEPTIEMBRE_DEL_2015">#REF!</definedName>
    <definedName name="P01_EJECUCION_PRESUPUESTARIA_AL_31_DE_AGOSTO_2016">#REF!</definedName>
    <definedName name="P01_EJECUCIÓN_PRESUPUESTARIA_AL_31_DE_AGOSTO_2016">#REF!</definedName>
    <definedName name="P01_EJECUCIÓN_PRESUPUESTARIA_AL_31_DE_AGOSTO_2016_">#REF!</definedName>
    <definedName name="P01_EJECUCIÓN_PRESUPUESTARIA_AL_31_DE_AGOSTO_DEL_2015">#REF!</definedName>
    <definedName name="P01_EJECUCIÓN_PRESUPUESTARIA_AL_31_DE_AGOSTO_DEL_2016">#REF!</definedName>
    <definedName name="P01_EJECUCIÓN_PRESUPUESTARIA_AL_31_DE_DICIEMBRE_DEL_2015">#REF!</definedName>
    <definedName name="P01_EJECUCIÓN_PRESUPUESTARIA_AL_31_DE_ENERO_2015">#REF!</definedName>
    <definedName name="P01_EJECUCIÓN_PRESUPUESTARIA_AL_31_DE_JULIO_DEL_2015">#REF!</definedName>
    <definedName name="P01_EJECUCIÓN_PRESUPUESTARIA_AL_31_DE_MARZO_2017">#REF!</definedName>
    <definedName name="P01_EJECUCIÓN_PRESUPUESTARIA_AL_31_DE_MAYO_2016">#REF!</definedName>
    <definedName name="P01_EJECUCIÓN_PRESUPUESTARIA_AL_31_DE_MAYO_2017">#REF!</definedName>
    <definedName name="P01_EJECUCIÓN_PRESUPUESTARIA_AL_31_DE_MAYO_2018">#REF!</definedName>
    <definedName name="P01_EJECUCIÓN_PRESUPUESTARIA_AL_31_DE_MAYO_DEL_2015">#REF!</definedName>
    <definedName name="P01_EJECUCIÓN_PRESUPUESTARIA_AL_31_DE_NOVIEMBRE_DEL_2015">#REF!</definedName>
    <definedName name="P01_EJECUCIÓN_PRESUPUESTARIA_AL_31_DE_OCTUBRE_DEL_2015">#REF!</definedName>
    <definedName name="P01_EJECUCIÓN_PRESUPUESTARIA_ENERO_2015">#REF!</definedName>
    <definedName name="P02_EJECUCIÓN_25_09_2013">#REF!</definedName>
    <definedName name="P02_EJECUCION_ACUMULADA_AL_21_DE_MARZO_2014">#REF!</definedName>
    <definedName name="P02_EJECUCION_ACUMULADA_AL_25_09_2013">#REF!</definedName>
    <definedName name="P02_EJECUCION_ACUMULADA_AL_31_DE_AGOSTO_DEL_2013">#REF!</definedName>
    <definedName name="P02_Ejecucion_Acumulada_al_31_Octubre_2013">#REF!</definedName>
    <definedName name="P02_EJECUCION_ACUMULADA_ANUAL_AÑO_2013">#REF!</definedName>
    <definedName name="P02_EJECUCION_DICIEMBRE_2013">#REF!</definedName>
    <definedName name="P02_EJECUCION_OCTUBRE_2013">#REF!</definedName>
    <definedName name="P02_EJECUCIÓN_PRESUPUESTARIA_ACUMULADA_AL_28_DE_FEBRERO_2015">#REF!</definedName>
    <definedName name="P02_EJECUCIÓN_PRESUPUESTARIA_ACUMULADA_AL_30_DE_ABRIL_2015">#REF!</definedName>
    <definedName name="P02_EJECUCIÓN_PRESUPUESTARIA_ACUMULADA_AL_30_DE_ABRIL_DEL_2015">#REF!</definedName>
    <definedName name="P02_EJECUCIÓN_PRESUPUESTARIA_ACUMULADA_AL_30_DE_JUNIO_DEL_2015">#REF!</definedName>
    <definedName name="P02_EJECUCIÓN_PRESUPUESTARIA_ACUMULADA_AL_31_DE_JULIO_DEL_2015">#REF!</definedName>
    <definedName name="P02_EJECUCIÓN_PRESUPUESTARIA_ACUMULADA_AL_31_DE_OCTUBRE_2015">#REF!</definedName>
    <definedName name="P02_EJECUCION_PRESUPUESTARIA_AL_21_DE_MARZO_2014">#REF!</definedName>
    <definedName name="P02_EJECUCIÓN_PRESUPUESTARIA_AL_28_DE_FEBRERO_2015">#REF!</definedName>
    <definedName name="P02_EJECUCIÓN_PRESUPUESTARIA_AL_30_DE_ABRIL_2015">#REF!</definedName>
    <definedName name="P02_EJECUCION_PRESUPUESTARIA_AL_31_DE_ENERO_2015">#REF!</definedName>
    <definedName name="P02_EJECUCIÓN_PRESUPUESTARIA_AL_31_DE_JULIO_DEL_2015">#REF!</definedName>
    <definedName name="P02_EJECUCIÓN_PRESUPUESTARIA_AL_31_DE_OCTUBRE_2015">#REF!</definedName>
    <definedName name="p03_2012">#REF!</definedName>
    <definedName name="P03_EJECUCION_ACUMULADA_AL_21_DE_MARZO_2014">#REF!</definedName>
    <definedName name="P03_EJECUCIÓN_ACUMULADA_AL_28_DE_FEBRERO_2015">#REF!</definedName>
    <definedName name="P03_EJECUCION_ACUMULADA_AL_30_SEPTIEMBRE_2013">#REF!</definedName>
    <definedName name="P03_EJECUCION_ACUMULADA_AL_31_OCTUBRE_2013">#REF!</definedName>
    <definedName name="P03_EJECUCION_ACUMULADA_ANUL_AÑO_2013">#REF!</definedName>
    <definedName name="P03_EJECUCION_DICIEMBRE_2013">#REF!</definedName>
    <definedName name="P03_EJECUCIÓN_PRESUPUESTARIA_ACUMULADA_AL_30_DE_ABRIL_DEL_2015">#REF!</definedName>
    <definedName name="P03_EJECUCIÓN_PRESUPUESTARIA_ACUMULADA_AL_31_DE_AGOSTO_DEL_2015">#REF!</definedName>
    <definedName name="P03_EJECUCIÓN_PRESUPUESTARIA_ACUMULADA_AL_31_DE_JULIO_DEL_2015">#REF!</definedName>
    <definedName name="P03_EJECUCIÓN_PRESUPUESTARIA_ACUMULADA_AL_31_DE_MAYO_DEL_2015">#REF!</definedName>
    <definedName name="P03_EJECUCION_PRESUPUESTARIA_AL_21_DE_MARZO_2014">#REF!</definedName>
    <definedName name="P03_EJECUCIÓN_PRESUPUESTARIA_AL_28_DE_FEBRERO_2015">#REF!</definedName>
    <definedName name="P03_EJECUCIÓN_PRESUPUESTARIA_AL_30_DE_ABRIL_DEL_2015">#REF!</definedName>
    <definedName name="P03_EJECUCIÓN_PRESUPUESTARIA_AL_31_DE_AGOSTO_DEL_2015">#REF!</definedName>
    <definedName name="P03_EJECUCIÓN_PRESUPUESTARIA_AL_31_DE_ENERO_2015">#REF!</definedName>
    <definedName name="P03_EJECUCIÓN_PRESUPUESTARIA_AL_31_DE_JULIO_DEL_2015">#REF!</definedName>
    <definedName name="P03_EJECUCIÓN_PRESUPUESTARIA_AL_31_DE_MAYO_DEL_2015">#REF!</definedName>
    <definedName name="P03_SEPTIEMBRE_2012">#REF!</definedName>
    <definedName name="P03_SITUACIÓN_PRESUPUESTARIA_ACUMULADA_AL_30_DE_JUNIO_DEL_2015">#REF!</definedName>
    <definedName name="P03_SITUACIÓN_PRESUPUESTARIA_ACUMULADA_AL_30_DE_NOVIEMBRE_DEL_2015">#REF!</definedName>
    <definedName name="P03_SITUACIÓN_PRESUPUESTARIA_ACUMULADA_AL_31_DE_OCTUBRE_DEL_2015">#REF!</definedName>
    <definedName name="P03_SITUACIÓN_PRESUPUESTARIA_AL_30_DE_JUNIO_DEL_2015">#REF!</definedName>
    <definedName name="P03_SITUACIÓN_PRESUPUESTARIA_AL_30_DE_NOBIEMBRE_DE_2015">#REF!</definedName>
    <definedName name="P03_SITUACIÓN_PRESUPUESTARIA_AL_31_DE_OCTUBRE_DE_2015">#REF!</definedName>
    <definedName name="P05_EJECUCIÓN_PRESUPUESTARIA_ACUMULADA_AL_28_DE_FEBRERO_2015">#REF!</definedName>
    <definedName name="P05_EJECUCIÓN_PRESUPUESTARIA_ACUMULADA_AL_30_DE_ABRIL_DEL_2015">#REF!</definedName>
    <definedName name="P05_EJECUCIÓN_PRESUPUESTARIA_ACUMULADA_AL_30_DE_JUNIO_DEL_2015">#REF!</definedName>
    <definedName name="P05_EJECUCIÓN_PRESUPUESTARIA_ACUMULADA_AL_30_DE_SEPTIEMBRE_DEL_2015">#REF!</definedName>
    <definedName name="P05_EJECUCIÓN_PRESUPUESTARIA_ACUMULADA_AL_31_DE_AGOSTO_DEL_2015">#REF!</definedName>
    <definedName name="P05_EJECUCIÓN_PRESUPUESTARIA_ACUMULADA_AL_31_DE_DICIEMBRE_DE_2017">#REF!</definedName>
    <definedName name="P05_EJECUCIÓN_PRESUPUESTARIA_ACUMULADA_AL_31_DE_JULIO_DEL_2015">#REF!</definedName>
    <definedName name="P05_EJECUCIÓN_PRESUPUESTARIA_ACUMULADA_AL_31_DE_MAYO_DEL_2015">#REF!</definedName>
    <definedName name="P05_EJECUCIÓN_PRESUPUESTARIA_AL_28_DE_FEBRERO_2015">#REF!</definedName>
    <definedName name="P05_EJECUCIÓN_PRESUPUESTARIA_AL_30_DE_ABRIL_DEL_2015">#REF!</definedName>
    <definedName name="P05_EJECUCIÓN_PRESUPUESTARIA_AL_30_DE_JUNIO_DEL_2015">#REF!</definedName>
    <definedName name="P05_EJECUCIÓN_PRESUPUESTARIA_AL_30_DE_NOVIEMBRE_DEL_2015">#REF!</definedName>
    <definedName name="P05_EJECUCIÓN_PRESUPUESTARIA_AL_30_DE_SEPTIEMBRE_DEL_2015">#REF!</definedName>
    <definedName name="P05_EJECUCIÓN_PRESUPUESTARIA_AL_31_DE_AGOSTO_DEL_2015">#REF!</definedName>
    <definedName name="P05_EJECUCION_PRESUPUESTARIA_AL_31_DE_ENERO_2015">#REF!</definedName>
    <definedName name="P05_EJECUCIÓN_PRESUPUESTARIA_AL_31_DE_MAYO_DEL_2015">#REF!</definedName>
    <definedName name="P06_EJECUCIÓN_PRESUPUESTARIA_ACUMULADA_AL_30_DE_ABRIL_DEL_2015">#REF!</definedName>
    <definedName name="P06_EJECUCIÓN_PRESUPUESTARIA_ACUMULADA_AL_30_DE_JUNIO_DEL_2015">#REF!</definedName>
    <definedName name="P06_EJECUCIÓN_PRESUPUESTARIA_ACUMULADA_AL_30_DE_NOVIEMBRE_DEL_2015">#REF!</definedName>
    <definedName name="P06_EJECUCIÓN_PRESUPUESTARIA_ACUMULADA_AL_31_DE_AGOSTO_DEL_2015">#REF!</definedName>
    <definedName name="P06_EJECUCIÓN_PRESUPUESTARIA_ACUMULADA_AL_31_DE_JULIO_DEL_2015">#REF!</definedName>
    <definedName name="P06_EJECUCIÓN_PRESUPUESTARIA_ACUMULADA_AL_31_DE_MAYO_DEL_2015">#REF!</definedName>
    <definedName name="P06_EJECUCIÓN_PRESUPUESTARIA_AL_30_DE_JUNIO_DEL_2015">#REF!</definedName>
    <definedName name="P06_EJECUCIÓN_PRESUPUESTARIA_AL_31_DE_AGOSTO_DEL_2015">#REF!</definedName>
    <definedName name="P06_EJECUCIÓN_PRESUPUESTARIA_AL_31_DE_ENERO_2015">#REF!</definedName>
    <definedName name="pptovigenteamarzo">#REF!</definedName>
    <definedName name="pptovigentemayo">#REF!</definedName>
    <definedName name="PresupuestovigenteJulio">#REF!</definedName>
    <definedName name="presupuestovigentejunio">#REF!</definedName>
    <definedName name="PROG_01_EJECUCIÓN_ACUMULADA_AL_13_DE_MARZO_2014.">#REF!</definedName>
    <definedName name="PROG_01_EJECUCIÓN_ACUMULADA_AL_21_DE_MARZO_2014.">#REF!</definedName>
    <definedName name="PROG_01_EJECUCIÓN_ACUMULADA_AL_28_DE_FEBRERO_2017">#REF!</definedName>
    <definedName name="PROG_01_EJECUCIÓN_ACUMULADA_AL_29_DE_FEBRERO_2016">#REF!</definedName>
    <definedName name="PROG_01_EJECUCIÓN_ACUMULADA_AL_30_DE_ABRIL_2016">#REF!</definedName>
    <definedName name="PROG_01_EJECUCIÓN_ACUMULADA_AL_30_DE_JUNIO_2016">#REF!</definedName>
    <definedName name="PROG_01_EJECUCIÓN_ACUMULADA_AL_30_DE_NOVIEMBRE_2016">#REF!</definedName>
    <definedName name="PROG_01_EJECUCIÓN_ACUMULADA_AL_30_DE_SEPTIEMBRE_2016">#REF!</definedName>
    <definedName name="PROG_01_EJECUCIÓN_ACUMULADA_AL_31_DE_AGOSTO_2016">#REF!</definedName>
    <definedName name="PROG_01_EJECUCIÓN_ACUMULADA_AL_31_DE_DICIEMBRE_2016">#REF!</definedName>
    <definedName name="PROG_01_EJECUCIÓN_ACUMULADA_AL_31_DE_ENERO_2016">#REF!</definedName>
    <definedName name="PROG_01_EJECUCIÓN_ACUMULADA_AL_31_DE_ENERO_2017">#REF!</definedName>
    <definedName name="PROG_01_EJECUCIÓN_ACUMULADA_AL_31_DE_JULIO_2016">#REF!</definedName>
    <definedName name="PROG_01_EJECUCION_ACUMULADA_AL_31_DE_MARZO_2013">#REF!</definedName>
    <definedName name="PROG_01_EJECUCIÓN_ACUMULADA_AL_31_DE_MARZO_2016">#REF!</definedName>
    <definedName name="PROG_01_EJECUCIÓN_ACUMULADA_AL_31_DE_MARZO_2017">#REF!</definedName>
    <definedName name="PROG_01_EJECUCIÓN_ACUMULADA_AL_31_DE_MARZO_DEL_2014">#REF!</definedName>
    <definedName name="PROG_01_EJECUCION_ACUMULADA_AL_31_DE_MAYO_2014">#REF!</definedName>
    <definedName name="PROG_01_EJECUCIÓN_ACUMULADA_AL_31_DE_MAYO_2016">#REF!</definedName>
    <definedName name="PROG_01_EJECUCIÓN_ACUMULADA_AL_31_DE_OCTUBRE_2016">#REF!</definedName>
    <definedName name="PROG_01_EJECUCION_PRESUPUESTARIA_30_DE_ABRIL_2014">#REF!</definedName>
    <definedName name="PROG_01_EJECUCION_PRESUPUESTARIA_30_DE_JUNIO_2013">#REF!</definedName>
    <definedName name="PROG_01_EJECUCION_PRESUPUESTARIA_30_DE_JUNIO_2014">#REF!</definedName>
    <definedName name="PROG_01_EJECUCION_PRESUPUESTARIA_31_DE_JULIO_2013">#REF!</definedName>
    <definedName name="PROG_01_EJECUCION_PRESUPUESTARIA_31_DE_JULIO_2014">#REF!</definedName>
    <definedName name="PROG_01_EJECUCIÓN_PRESUPUESTARIA_31_DE_MARZO_2015">#REF!</definedName>
    <definedName name="PROG_01_EJECUCION_PRESUPUESTARIA_31_DE_MAYO_2014">#REF!</definedName>
    <definedName name="PROG_01_EJECUCIÓN_PRESUPUESTARIA_ACUMULADA_31_ENERO_2017">#REF!</definedName>
    <definedName name="PROG_01_EJECUCIÓN_PRESUPUESTARIA_ACUMULADA_AL_13_DE_MARZO_2017">#REF!</definedName>
    <definedName name="PROG_01_EJECUCIÓN_PRESUPUESTARIA_ACUMULADA_AL_13_DE_MARZO_2018">#REF!</definedName>
    <definedName name="PROG_01_EJECUCIÓN_PRESUPUESTARIA_ACUMULADA_AL_28_DE_febrero_2017">#REF!</definedName>
    <definedName name="PROG_01_EJECUCIÓN_PRESUPUESTARIA_ACUMULADA_AL_28_DE_FEBRERO_2018">#REF!</definedName>
    <definedName name="PROG_01_EJECUCION_PRESUPUESTARIA_ACUMULADA_AL_30_DE_ABRIL_2013">#REF!</definedName>
    <definedName name="PROG_01_EJECUCION_PRESUPUESTARIA_ACUMULADA_AL_30_DE_ABRIL_2014">#REF!</definedName>
    <definedName name="PROG_01_EJECUCIÓN_PRESUPUESTARIA_ACUMULADA_AL_30_DE_ABRIL_2017">#REF!</definedName>
    <definedName name="PROG_01_EJECUCIÓN_PRESUPUESTARIA_ACUMULADA_AL_30_DE_ABRIL_2018">#REF!</definedName>
    <definedName name="PROG_01_EJECUCION_PRESUPUESTARIA_ACUMULADA_AL_30_DE_JUNIO_2013">#REF!</definedName>
    <definedName name="PROG_01_EJECUCION_PRESUPUESTARIA_ACUMULADA_AL_30_DE_JUNIO_2014">#REF!</definedName>
    <definedName name="PROG_01_EJECUCIÓN_PRESUPUESTARIA_ACUMULADA_AL_30_DE_JUNIO_2017">#REF!</definedName>
    <definedName name="PROG_01_EJECUCION_PRESUPUESTARIA_ACUMULADA_AL_30_DE_NOVIEMBRE_2014">#REF!</definedName>
    <definedName name="PROG_01_EJECUCIÓN_PRESUPUESTARIA_ACUMULADA_AL_30_DE_NOVIEMBRE_2017">#REF!</definedName>
    <definedName name="PROG_01_EJECUCION_PRESUPUESTARIA_ACUMULADA_AL_30_DE_SEPTIEMBRE_2014">#REF!</definedName>
    <definedName name="PROG_01_EJECUCIÓN_PRESUPUESTARIA_ACUMULADA_AL_30_DE_SEPTIEMBRE_2017">#REF!</definedName>
    <definedName name="PROG_01_EJECUCION_PRESUPUESTARIA_ACUMULADA_AL_31_DE_AGOSTO_2014">#REF!</definedName>
    <definedName name="PROG_01_EJECUCIÓN_PRESUPUESTARIA_ACUMULADA_AL_31_DE_AGOSTO_2017">#REF!</definedName>
    <definedName name="PROG_01_EJECUCIÓN_PRESUPUESTARIA_ACUMULADA_AL_31_DE_AGOSTO_DEL_2015">#REF!</definedName>
    <definedName name="PROG_01_EJECUCION_PRESUPUESTARIA_ACUMULADA_AL_31_DE_DICIEMBRE_2014">#REF!</definedName>
    <definedName name="PROG_01_EJECUCIÓN_PRESUPUESTARIA_ACUMULADA_AL_31_DE_DICIEMBRE_2017">#REF!</definedName>
    <definedName name="PROG_01_EJECUCIÓN_PRESUPUESTARIA_ACUMULADA_AL_31_DE_Enero_2018">#REF!</definedName>
    <definedName name="PROG_01_EJECUCION_PRESUPUESTARIA_ACUMULADA_AL_31_DE_JULIO_2013">#REF!</definedName>
    <definedName name="PROG_01_EJECUCION_PRESUPUESTARIA_ACUMULADA_AL_31_DE_JULIO_2014">#REF!</definedName>
    <definedName name="PROG_01_EJECUCIÓN_PRESUPUESTARIA_ACUMULADA_AL_31_DE_JULIO_2017">#REF!</definedName>
    <definedName name="PROG_01_EJECUCIÓN_PRESUPUESTARIA_ACUMULADA_AL_31_DE_MARZO_2017">#REF!</definedName>
    <definedName name="PROG_01_EJECUCIÓN_PRESUPUESTARIA_ACUMULADA_AL_31_DE_MARZO_2018">#REF!</definedName>
    <definedName name="PROG_01_EJECUCIÓN_PRESUPUESTARIA_ACUMULADA_AL_31_DE_MARZO_DEL_2015">#REF!</definedName>
    <definedName name="PROG_01_EJECUCION_PRESUPUESTARIA_ACUMULADA_AL_31_DE_MAYO_2013">#REF!</definedName>
    <definedName name="PROG_01_EJECUCION_PRESUPUESTARIA_ACUMULADA_AL_31_DE_MAYO_2014">#REF!</definedName>
    <definedName name="PROG_01_EJECUCIÓN_PRESUPUESTARIA_ACUMULADA_AL_31_DE_MAYO_2016">#REF!</definedName>
    <definedName name="PROG_01_EJECUCIÓN_PRESUPUESTARIA_ACUMULADA_AL_31_DE_MAYO_2017">#REF!</definedName>
    <definedName name="PROG_01_EJECUCIÓN_PRESUPUESTARIA_ACUMULADA_AL_31_DE_MAYO_2018">#REF!</definedName>
    <definedName name="PROG_01_EJECUCION_PRESUPUESTARIA_ACUMULADA_AL_31_DE_OCTUBRE_2014">#REF!</definedName>
    <definedName name="PROG_01_EJECUCIÓN_PRESUPUESTARIA_ACUMULADA_AL_31_DE_OCTUBRE_2017">#REF!</definedName>
    <definedName name="PROG_01_EJECUCIÓN_PRESUPUESTARIA_AL_13_DE_MARZO_2014.">#REF!</definedName>
    <definedName name="PROG_01_EJECUCIÓN_PRESUPUESTARIA_AL_13_DE_MARZO_2017">#REF!</definedName>
    <definedName name="PROG_01_EJECUCIÓN_PRESUPUESTARIA_AL_13_DE_MARZO_2018">#REF!</definedName>
    <definedName name="PROG_01_EJECUCIÓN_PRESUPUESTARIA_AL_13_DEMARZO__2017">#REF!</definedName>
    <definedName name="PROG_01_EJECUCIÓN_PRESUPUESTARIA_AL_21_DE_MARZO_2014.">#REF!</definedName>
    <definedName name="PROG_01_EJECUCION_PRESUPUESTARIA_AL_22_DE_ABRIL_2014">#REF!</definedName>
    <definedName name="PROG_01_EJECUCIÓN_PRESUPUESTARIA_AL_28_DE_FEBRERO_2014.">#REF!</definedName>
    <definedName name="PROG_01_EJECUCIÓN_PRESUPUESTARIA_AL_28_DE_FEBRERO_2017">#REF!</definedName>
    <definedName name="PROG_01_EJECUCIÓN_PRESUPUESTARIA_AL_28_DE_FEBRERO_2018">#REF!</definedName>
    <definedName name="PROG_01_EJECUCION_PRESUPUESTARIA_AL_28_DE_FEBRERO_DEL_2013">#REF!</definedName>
    <definedName name="PROG_01_EJECUCIÓN_PRESUPUESTARIA_AL_28_FEBRERO_2017">#REF!</definedName>
    <definedName name="PROG_01_EJECUCIÓN_PRESUPUESTARIA_AL_29_DE_FEBRERO_2016">#REF!</definedName>
    <definedName name="PROG_01_EJECUCIÓN_PRESUPUESTARIA_AL_30_DE_ABRIL_2016">#REF!</definedName>
    <definedName name="PROG_01_EJECUCIÓN_PRESUPUESTARIA_AL_30_DE_ABRIL_2017">#REF!</definedName>
    <definedName name="PROG_01_EJECUCIÓN_PRESUPUESTARIA_AL_30_DE_ABRIL_2018">#REF!</definedName>
    <definedName name="PROG_01_EJECUCION_PRESUPUESTARIA_AL_30_DE_ABRIL_DEL_2013">#REF!</definedName>
    <definedName name="PROG_01_EJECUCION_PRESUPUESTARIA_AL_30_DE_ABRIL_DEL_2013_V2">#REF!</definedName>
    <definedName name="PROG_01_EJECUCIÓN_PRESUPUESTARIA_AL_30_DE_JUNIO_2016">#REF!</definedName>
    <definedName name="PROG_01_EJECUCIÓN_PRESUPUESTARIA_AL_30_DE_JUNIO_2017">#REF!</definedName>
    <definedName name="PROG_01_EJECUCIÓN_PRESUPUESTARIA_AL_30_DE_JUNIO_2018">#REF!</definedName>
    <definedName name="PROG_01_EJECUCION_PRESUPUESTARIA_AL_30_DE_NOVIEMBRE_2014">#REF!</definedName>
    <definedName name="PROG_01_EJECUCIÓN_PRESUPUESTARIA_AL_30_DE_NOVIEMBRE_2016">#REF!</definedName>
    <definedName name="PROG_01_EJECUCIÓN_PRESUPUESTARIA_AL_30_DE_NOVIEMBRE_2017">#REF!</definedName>
    <definedName name="PROG_01_EJECUCION_PRESUPUESTARIA_AL_30_DE_SEPTIEMBRE_2014">#REF!</definedName>
    <definedName name="PROG_01_EJECUCIÓN_PRESUPUESTARIA_AL_30_DE_SEPTIEMBRE_2016">#REF!</definedName>
    <definedName name="PROG_01_EJECUCIÓN_PRESUPUESTARIA_AL_30_DE_SEPTIEMBRE_2017">#REF!</definedName>
    <definedName name="PROG_01_EJECUCIÓN_PRESUPUESTARIA_AL_30_DE_SEPTIEMBRE_DEL_2015">#REF!</definedName>
    <definedName name="PROG_01_EJECUCION_PRESUPUESTARIA_AL_31_DE_AGOSTO_2014">#REF!</definedName>
    <definedName name="PROG_01_EJECUCIÓN_PRESUPUESTARIA_AL_31_DE_AGOSTO_2016">#REF!</definedName>
    <definedName name="PROG_01_EJECUCIÓN_PRESUPUESTARIA_AL_31_DE_AGOSTO_2017">#REF!</definedName>
    <definedName name="PROG_01_EJECUCION_PRESUPUESTARIA_AL_31_DE_DICIEMBRE_2014">#REF!</definedName>
    <definedName name="PROG_01_EJECUCIÓN_PRESUPUESTARIA_AL_31_DE_DICIEMBRE_2016">#REF!</definedName>
    <definedName name="PROG_01_EJECUCIÓN_PRESUPUESTARIA_AL_31_DE_DICIEMBRE_2017">#REF!</definedName>
    <definedName name="PROG_01_EJECUCIÓN_PRESUPUESTARIA_AL_31_DE_ENERO_2014.">#REF!</definedName>
    <definedName name="PROG_01_EJECUCION_PRESUPUESTARIA_AL_31_DE_ENERO_DEL_2013">#REF!</definedName>
    <definedName name="PROG_01_EJECUCIÓN_PRESUPUESTARIA_AL_31_DE_JULIO_2016">#REF!</definedName>
    <definedName name="PROG_01_EJECUCIÓN_PRESUPUESTARIA_AL_31_DE_JULIO_2017">#REF!</definedName>
    <definedName name="PROG_01_EJECUCIÓN_PRESUPUESTARIA_AL_31_DE_JULIO_DEL_2015">#REF!</definedName>
    <definedName name="PROG_01_EJECUCION_PRESUPUESTARIA_AL_31_DE_MARZO_2014">#REF!</definedName>
    <definedName name="PROG_01_EJECUCIÓN_PRESUPUESTARIA_AL_31_DE_MARZO_2016">#REF!</definedName>
    <definedName name="PROG_01_EJECUCIÓN_PRESUPUESTARIA_AL_31_DE_MARZO_2017">#REF!</definedName>
    <definedName name="PROG_01_EJECUCIÓN_PRESUPUESTARIA_AL_31_DE_MARZO_2018">#REF!</definedName>
    <definedName name="PROG_01_EJECUCION_PRESUPUESTARIA_AL_31_DE_MARZO_DEL_2013">#REF!</definedName>
    <definedName name="PROG_01_EJECUCIÓN_PRESUPUESTARIA_AL_31_DE_MAYO_2016">#REF!</definedName>
    <definedName name="PROG_01_EJECUCIÓN_PRESUPUESTARIA_AL_31_DE_MAYO_2017">#REF!</definedName>
    <definedName name="PROG_01_EJECUCIÓN_PRESUPUESTARIA_AL_31_DE_MAYO_2018">#REF!</definedName>
    <definedName name="PROG_01_EJECUCION_PRESUPUESTARIA_AL_31_DE_MAYO_DEL_2013">#REF!</definedName>
    <definedName name="PROG_01_EJECUCION_PRESUPUESTARIA_AL_31_DE_OCTUBRE_2014">#REF!</definedName>
    <definedName name="PROG_01_EJECUCIÓN_PRESUPUESTARIA_AL_31_DE_OCTUBRE_2016">#REF!</definedName>
    <definedName name="PROG_01_EJECUCIÓN_PRESUPUESTARIA_AL_31_DE_OCTUBRE_2017">#REF!</definedName>
    <definedName name="PROG_01EJECUCIÓN_PRESUPUESTARIA_31_DE_MAYO_2016">#REF!</definedName>
    <definedName name="PROG_02_EJECUCION_ACUMULADA_AL_31_DE_MARZO_DEL_2013">#REF!</definedName>
    <definedName name="PROG_02_EJECUCIÓN_ACUMULADA_AL_31_DE_MARZO_DEL_2014">#REF!</definedName>
    <definedName name="PROG_02_EJECUCION_PRESUPUESTARIA_30_DE_JUNIO_2013">#REF!</definedName>
    <definedName name="PROG_02_EJECUCION_PRESUPUESTARIA_31_DE_MAYO_DEL_2013">#REF!</definedName>
    <definedName name="PROG_02_EJECUCION_PRESUPUESTARIA_ACUMULADA_AL_30_DE_ABRIL_2014">#REF!</definedName>
    <definedName name="PROG_02_EJECUCION_PRESUPUESTARIA_ACUMULADA_AL_30_DE_JUNIO_2014">#REF!</definedName>
    <definedName name="PROG_02_EJECUCION_PRESUPUESTARIA_ACUMULADA_AL_30_DE_SEPTIEMBRE_2014">#REF!</definedName>
    <definedName name="PROG_02_EJECUCION_PRESUPUESTARIA_ACUMULADA_AL_31_DE_AGOSTO_2014">#REF!</definedName>
    <definedName name="PROG_02_EJECUCIÓN_PRESUPUESTARIA_ACUMULADA_AL_31_DE_DICIEMBRE_DEL_2014">#REF!</definedName>
    <definedName name="PROG_02_EJECUCION_PRESUPUESTARIA_ACUMULADA_AL_31_DE_JULIO_2014">#REF!</definedName>
    <definedName name="PROG_02_EJECUCION_PRESUPUESTARIA_ACUMULADA_AL_31_DE_MAYO_2014">#REF!</definedName>
    <definedName name="PROG_02_EJECUCION_PRESUPUESTARIA_ACUMULADA_AL_31_DE_MAYO_DEL_2013">#REF!</definedName>
    <definedName name="PROG_02_EJECUCION_PRESUPUESTARIA_AL_13_DE_MARZO_2014.">#REF!</definedName>
    <definedName name="PROG_02_EJECUCION_PRESUPUESTARIA_AL_28_DE_FEBRERO_2014.">#REF!</definedName>
    <definedName name="PROG_02_EJECUCION_PRESUPUESTARIA_AL_28_DE_FEBRERO_DEL_2013">#REF!</definedName>
    <definedName name="PROG_02_EJECUCION_PRESUPUESTARIA_AL_30_DE_ABRIL_2014">#REF!</definedName>
    <definedName name="PROG_02_EJECUCION_PRESUPUESTARIA_AL_30_DE_ABRIL_DEL_2013">#REF!</definedName>
    <definedName name="PROG_02_EJECUCION_PRESUPUESTARIA_AL_30_DE_JUNIO_2014">#REF!</definedName>
    <definedName name="PROG_02_EJECUCION_PRESUPUESTARIA_AL_30_DE_SEPTIEMBRE_2014">#REF!</definedName>
    <definedName name="PROG_02_EJECUCION_PRESUPUESTARIA_AL_31_DE_AGOSTO_2014">#REF!</definedName>
    <definedName name="PROG_02_EJECUCION_PRESUPUESTARIA_AL_31_DE_ENERO_2014.">#REF!</definedName>
    <definedName name="PROG_02_EJECUCION_PRESUPUESTARIA_AL_31_DE_ENERO_DEL_2013">#REF!</definedName>
    <definedName name="PROG_02_EJECUCION_PRESUPUESTARIA_AL_31_DE_JULIO_2014">#REF!</definedName>
    <definedName name="PROG_02_EJECUCION_PRESUPUESTARIA_AL_31_DE_MARZO_DEL_2013">#REF!</definedName>
    <definedName name="PROG_02_EJECUCION_PRESUPUESTARIA_AL_31_DE_MARZO_DEL_2014">#REF!</definedName>
    <definedName name="PROG_02_EJECUCION_PRESUPUESTARIA_AL_31_DE_MAYO_2014">#REF!</definedName>
    <definedName name="PROG_02_SITUACIÓN_PRESUPUESTARIA_ACUMULADA_AL_31_DE_MARZO_DE_2015">#REF!</definedName>
    <definedName name="PROG_03_EJECUCION_ACUMULADA_AL_31_DE_MARZO_DEL_2014">#REF!</definedName>
    <definedName name="PROG_03_EJECUCION_PRESIPUESTARIA_AL_28_DE_FEBRERO_DEL_2013">#REF!</definedName>
    <definedName name="PROG_03_EJECUCION_PRESIPUESTARIA_AL_31_DE_ENERO_DEL_2013">#REF!</definedName>
    <definedName name="PROG_03_EJECUCION_PRESUPUESTARIA_31_DE_MAYO_DEL_2013">#REF!</definedName>
    <definedName name="PROG_03_EJECUCIÓN_PRESUPUESTARIA_ACUMULADA_AL_29_DE_FEBRERO_2016">#REF!</definedName>
    <definedName name="PROG_03_EJECUCION_PRESUPUESTARIA_ACUMULADA_AL_30_DE_ABRIL_2014">#REF!</definedName>
    <definedName name="PROG_03_EJECUCIÓN_PRESUPUESTARIA_ACUMULADA_AL_30_DE_ABRIL_2016">#REF!</definedName>
    <definedName name="PROG_03_EJECUCION_PRESUPUESTARIA_ACUMULADA_AL_30_DE_JUNIO_2014">#REF!</definedName>
    <definedName name="PROG_03_EJECUCION_PRESUPUESTARIA_ACUMULADA_AL_30_DE_SEPTIEMBRE_2014">#REF!</definedName>
    <definedName name="PROG_03_EJECUCIÓN_PRESUPUESTARIA_ACUMULADA_AL_31_DE__JULIO_2016">#REF!</definedName>
    <definedName name="PROG_03_EJECUCIÓN_PRESUPUESTARIA_ACUMULADA_AL_31_DE_DICIEMBRE_DEL_2014">#REF!</definedName>
    <definedName name="PROG_03_EJECUCIÓN_PRESUPUESTARIA_ACUMULADA_AL_31_DE_ENERO_2016">#REF!</definedName>
    <definedName name="PROG_03_EJECUCION_PRESUPUESTARIA_ACUMULADA_AL_31_DE_JULIO_2014">#REF!</definedName>
    <definedName name="PROG_03_EJECUCION_PRESUPUESTARIA_ACUMULADA_AL_31_DE_MAYO_2014">#REF!</definedName>
    <definedName name="PROG_03_EJECUCION_PRESUPUESTARIA_ACUMULADA_AL_31_DE_OCTUBRE_2014">#REF!</definedName>
    <definedName name="PROG_03_EJECUCION_PRESUPUESTARIA_AL_28_DE_FEBRERO_2014.">#REF!</definedName>
    <definedName name="PROG_03_EJECUCIÓN_PRESUPUESTARIA_AL_29_DE_FEBRERO_2016">#REF!</definedName>
    <definedName name="PROG_03_EJECUCION_PRESUPUESTARIA_AL_30_DE_ABRIL_DEL_2013">#REF!</definedName>
    <definedName name="PROG_03_EJECUCION_PRESUPUESTARIA_AL_31_DE_ENERO_2014.">#REF!</definedName>
    <definedName name="PROG_03_EJECUCION_PRESUPUESTARIA_AL_31_DE_JULIO_2014">#REF!</definedName>
    <definedName name="PROG_03_EJECUCIÓN_PRESUPUESTARIA_AL_31_DE_JULIO_2016">#REF!</definedName>
    <definedName name="PROG_03_EJECUCION_PRESUPUESTARIA_AL_31_DE_MARZO_DEL_2013">#REF!</definedName>
    <definedName name="PROG_03_EJECUCION_PRESUPUESTARIA_AL_31_DE_MARZO_DEL_2014">#REF!</definedName>
    <definedName name="PROG_03_EJECUCIÓN_PRESUPUESTARIA_AL_31_DICIEMBRE_DEL_2014">#REF!</definedName>
    <definedName name="PROG_03_SITUACIÓN_PRESUPUESTARIA_ACUMULADA_AL_31_DE_MARZO_AL_2015">#REF!</definedName>
    <definedName name="PROG_03_SITUACION_PRESUPUESTARIA_AL_30_DE_ABRIL_2014">#REF!</definedName>
    <definedName name="PROG_03_SITUACION_PRESUPUESTARIA_AL_30_DE_JUNIO_2014">#REF!</definedName>
    <definedName name="PROG_03_SITUACION_PRESUPUESTARIA_AL_30_DE_SEPTIEMBRE_2014">#REF!</definedName>
    <definedName name="PROG_03_SITUACION_PRESUPUESTARIA_AL_31_DE_JULIO_2014">#REF!</definedName>
    <definedName name="PROG_03_SITUACIÓN_PRESUPUESTARIA_AL_31_DE_MARZO_DEL_2015">#REF!</definedName>
    <definedName name="PROG_03_SITUACION_PRESUPUESTARIA_AL_31_DE_MAYO_2014">#REF!</definedName>
    <definedName name="PROG_03_SITUACION_PRESUPUESTARIA_AL_31_DE_OCTUBRE_2014">#REF!</definedName>
    <definedName name="PROG_05_EJECUCIÓN_ACUMULADA_AL_28_DE_FEBRERO_DE_2018">#REF!</definedName>
    <definedName name="PROG_05_EJECUCIÓN_ACUMULADA_AL_29_DE_FEBRERO_DEL_2016">#REF!</definedName>
    <definedName name="PROG_05_EJECUCIÓN_ACUMULADA_AL_30_DE_JUNIO_DEL_2016">#REF!</definedName>
    <definedName name="PROG_05_EJECUCIÓN_ACUMULADA_AL_30_DE_NOVIEMBRE_DEL_2016">#REF!</definedName>
    <definedName name="PROG_05_EJECUCIÓN_ACUMULADA_AL_30_DE_SEPTIEMBRE_DEL_2016">#REF!</definedName>
    <definedName name="PROG_05_EJECUCIÓN_ACUMULADA_AL_31_DE_DICIEMBRE_DEL_2016">#REF!</definedName>
    <definedName name="PROG_05_EJECUCIÓN_ACUMULADA_AL_31_DE_ENERO_2016">#REF!</definedName>
    <definedName name="PROG_05_EJECUCIÓN_ACUMULADA_AL_31_DE_JULIO_DEL_2016">#REF!</definedName>
    <definedName name="PROG_05_EJECUCIÓN_ACUMULADA_AL_31_DE_MARZO_DEL_2014">#REF!</definedName>
    <definedName name="PROG_05_EJECUCIÓN_ACUMULADA_AL_31_DE_MARZO_DEL_2016">#REF!</definedName>
    <definedName name="PROG_05_EJECUCIÓN_ACUMULADA_AL_31_DE_MAYO_DEL_2016">#REF!</definedName>
    <definedName name="PROG_05_EJECUCIÓN_ACUMULADA_AL_31_DE_OCTUBRE_DEL_2016">#REF!</definedName>
    <definedName name="PROG_05_EJECUCIÓN_AL_30_DE_JUNIO_DEL_2016">#REF!</definedName>
    <definedName name="PROG_05_EJECUCIÓN_AL_30_DE_NOVIEMBRE_DEL_2016">#REF!</definedName>
    <definedName name="PROG_05_EJECUCIÓN_AL_30_DE_SEPTIEMBRE_DEL_2016">#REF!</definedName>
    <definedName name="PROG_05_EJECUCIÓN_AL_31_DE_AGOSTO_DEL_2016">#REF!</definedName>
    <definedName name="PROG_05_EJECUCIÓN_AL_31_DE_DICIEMBRE_DEL_2016">#REF!</definedName>
    <definedName name="PROG_05_EJECUCIÓN_AL_31_DE_JULIO_2016">#REF!</definedName>
    <definedName name="PROG_05_EJECUCIÓN_AL_31_DE_JULIO_DEL_2016">#REF!</definedName>
    <definedName name="PROG_05_EJECUCIÓN_AL_31_DE_MAYO_DEL_2016">#REF!</definedName>
    <definedName name="PROG_05_EJECUCIÓN_AL_31_DE_OCTUBRE_DEL_2016">#REF!</definedName>
    <definedName name="PROG_05_EJECUCIÓN_AL_31_DE_SEPTIEMBRE_DEL_2016">#REF!</definedName>
    <definedName name="PROG_05_EJECUCION_MES_DE_ENERO_2015">#REF!</definedName>
    <definedName name="PROG_05_EJECUCIÓN_PRESUPUESTARIA_30_DE_JUNIO_DE_2017">#REF!</definedName>
    <definedName name="PROG_05_EJECUCIÓN_PRESUPUESTARIA_31_DE_JULIO_DE_2017">#REF!</definedName>
    <definedName name="PROG_05_EJECUCIÓN_PRESUPUESTARIA_31_DE_MAYO_DE_2017">#REF!</definedName>
    <definedName name="PROG_05_EJECUCIÓN_PRESUPUESTARIA_ACUMULADA_AL_13_DE_MARZO_DE_2017">#REF!</definedName>
    <definedName name="PROG_05_EJECUCION_PRESUPUESTARIA_ACUMULADA_AL_30_DE_ABRIL_2014">#REF!</definedName>
    <definedName name="PROG_05_EJECUCION_PRESUPUESTARIA_ACUMULADA_AL_30_DE_JUNIO_2014">#REF!</definedName>
    <definedName name="PROG_05_EJECUCIÓN_PRESUPUESTARIA_ACUMULADA_AL_30_DE_JUNIO_DE_2017">#REF!</definedName>
    <definedName name="PROG_05_EJECUCIÓN_PRESUPUESTARIA_ACUMULADA_AL_30_DE_NOVIEMBRE_DE_2017">#REF!</definedName>
    <definedName name="PROG_05_EJECUCION_PRESUPUESTARIA_ACUMULADA_AL_30_DE_SEPTIEMBRE_2014">#REF!</definedName>
    <definedName name="PROG_05_EJECUCIÓN_PRESUPUESTARIA_ACUMULADA_AL_30_DE_SEPTIEMBRE_DE_2017">#REF!</definedName>
    <definedName name="PROG_05_EJECUCIÓN_PRESUPUESTARIA_ACUMULADA_AL_31_DE_AGOSTO_DE_2017">#REF!</definedName>
    <definedName name="PROG_05_EJECUCIÓN_PRESUPUESTARIA_ACUMULADA_AL_31_DE_DICIEMBRE_DEL_2015">#REF!</definedName>
    <definedName name="PROG_05_EJECUCION_PRESUPUESTARIA_ACUMULADA_AL_31_DE_JULIO_2014">#REF!</definedName>
    <definedName name="PROG_05_EJECUCIÓN_PRESUPUESTARIA_ACUMULADA_AL_31_DE_JULIO_DE_2017">#REF!</definedName>
    <definedName name="PROG_05_EJECUCIÓN_PRESUPUESTARIA_ACUMULADA_AL_31_DE_MARZO_DEL_2015">#REF!</definedName>
    <definedName name="PROG_05_EJECUCION_PRESUPUESTARIA_ACUMULADA_AL_31_DE_MAYO_2014">#REF!</definedName>
    <definedName name="PROG_05_EJECUCION_PRESUPUESTARIA_ACUMULADA_AL_31_DE_OCTUBRE_2014">#REF!</definedName>
    <definedName name="PROG_05_EJECUCIÓN_PRESUPUESTARIA_ACUMULADA_AL_31_DE_OCTUBRE_DE_2017">#REF!</definedName>
    <definedName name="PROG_05_EJECUCION_PRESUPUESTARIA_AL_28_DE_FEBHRERO_2014.">#REF!</definedName>
    <definedName name="PROG_05_EJECUCIÓN_PRESUPUESTARIA_AL_28_DE_FEBRERO_DE_2018" localSheetId="11">#REF!</definedName>
    <definedName name="PROG_05_EJECUCIÓN_PRESUPUESTARIA_AL_28_DE_FEBRERO_DE_2018">#REF!</definedName>
    <definedName name="PROG_05_EJECUCIÓN_PRESUPUESTARIA_AL_29_DE_FEBRERO_DEL_2016">#REF!</definedName>
    <definedName name="PROG_05_EJECUCION_PRESUPUESTARIA_AL_30_DE_ABRIL_2014">#REF!</definedName>
    <definedName name="PROG_05_EJECUCION_PRESUPUESTARIA_AL_30_DE_JUNIO_2014">#REF!</definedName>
    <definedName name="PROG_05_EJECUCIÓN_PRESUPUESTARIA_AL_30_DE_NOVIEMBRE_DE_2017">#REF!</definedName>
    <definedName name="PROG_05_EJECUCION_PRESUPUESTARIA_AL_30_DE_SEPTIEMBRE_2014">#REF!</definedName>
    <definedName name="PROG_05_EJECUCIÓN_PRESUPUESTARIA_AL_30_DE_SEPTIEMBRE_DE_2017">#REF!</definedName>
    <definedName name="PROG_05_EJECUCIÓN_PRESUPUESTARIA_AL_31_DE_AGOSTO_DE_2017">#REF!</definedName>
    <definedName name="PROG_05_EJECUCIÓN_PRESUPUESTARIA_AL_31_DE_DICIEMBRE_DE_2017">#REF!</definedName>
    <definedName name="PROG_05_EJECUCIÓN_PRESUPUESTARIA_AL_31_DE_DICIEMBRE_DEL_2015">#REF!</definedName>
    <definedName name="PROG_05_EJECUCION_PRESUPUESTARIA_AL_31_DE_ENERO_2014.">#REF!</definedName>
    <definedName name="PROG_05_EJECUCIÓN_PRESUPUESTARIA_AL_31_DE_ENERO_DE_2017">#REF!</definedName>
    <definedName name="PROG_05_EJECUCIÓN_PRESUPUESTARIA_AL_31_DE_ENERO_DE_2018">#REF!</definedName>
    <definedName name="PROG_05_EJECUCION_PRESUPUESTARIA_AL_31_DE_JULIO_2014">#REF!</definedName>
    <definedName name="PROG_05_EJECUCIÓN_PRESUPUESTARIA_AL_31_DE_MARZO_DEL_2014">#REF!</definedName>
    <definedName name="PROG_05_EJECUCION_PRESUPUESTARIA_AL_31_DE_MAYO_2014">#REF!</definedName>
    <definedName name="PROG_05_EJECUCION_PRESUPUESTARIA_AL_31_DE_OCTUBRE_2014">#REF!</definedName>
    <definedName name="PROG_05_EJECUCIÓN_PRESUPUESTARIA_AL_31_DE_OCTUBRE_DE_2017">#REF!</definedName>
    <definedName name="PROG_05_SITUACIÓN_PRESUPUESTARIA_AL_31_DE_MARZO_DEL_2015">#REF!</definedName>
    <definedName name="PROG_06_EJECUCIÓN_ACUMULADA_AL_13_DE_MARZO_DE_2018">#REF!</definedName>
    <definedName name="PROG_06_EJECUCIÓN_ACUMULADA_AL_31_DE_AGOSTO_DEL_2016">#REF!</definedName>
    <definedName name="PROG_06_EJECUCIÓN_PRESUPUESTARIA_ACUMULADA_AL_13_DE_MARZO_DE_2017">#REF!</definedName>
    <definedName name="PROG_06_EJECUCIÓN_PRESUPUESTARIA_ACUMULADA_AL_28_DE_FEBRERO_DE_2018">#REF!</definedName>
    <definedName name="PROG_06_EJECUCIÓN_PRESUPUESTARIA_ACUMULADA_AL_29_DE_FEBRERO_DEL_2016">#REF!</definedName>
    <definedName name="PROG_06_EJECUCIÓN_PRESUPUESTARIA_ACUMULADA_AL_30_DE_JUNIO_DE_2017">#REF!</definedName>
    <definedName name="PROG_06_EJECUCIÓN_PRESUPUESTARIA_ACUMULADA_AL_30_DE_JUNIO_DEL_2016">#REF!</definedName>
    <definedName name="PROG_06_EJECUCIÓN_PRESUPUESTARIA_ACUMULADA_AL_30_DE_NOVIEMBRE_DE_2017">#REF!</definedName>
    <definedName name="PROG_06_EJECUCIÓN_PRESUPUESTARIA_ACUMULADA_AL_30_DE_NOVIEMBRE_DEL_2016">#REF!</definedName>
    <definedName name="PROG_06_EJECUCIÓN_PRESUPUESTARIA_ACUMULADA_AL_30_DE_SEPTIEMBRE_2017">#REF!</definedName>
    <definedName name="PROG_06_EJECUCIÓN_PRESUPUESTARIA_ACUMULADA_AL_30_DE_SEPTIEMBRE_DE_2017">#REF!</definedName>
    <definedName name="PROG_06_EJECUCIÓN_PRESUPUESTARIA_ACUMULADA_AL_30_DE_SEPTIEMBRE_DEL_2016">#REF!</definedName>
    <definedName name="PROG_06_EJECUCIÓN_PRESUPUESTARIA_ACUMULADA_AL_31_DE_AGOSTO_DE_2017">#REF!</definedName>
    <definedName name="PROG_06_EJECUCIÓN_PRESUPUESTARIA_ACUMULADA_AL_31_DE_DICIEMBRE_DE_2017">#REF!</definedName>
    <definedName name="PROG_06_EJECUCIÓN_PRESUPUESTARIA_ACUMULADA_AL_31_DE_DICIEMBRE_DEL_2016">#REF!</definedName>
    <definedName name="PROG_06_EJECUCIÓN_PRESUPUESTARIA_ACUMULADA_AL_31_DE_JULIO_DE_2017">#REF!</definedName>
    <definedName name="PROG_06_EJECUCIÓN_PRESUPUESTARIA_ACUMULADA_AL_31_DE_JULIO_DE_2018">#REF!</definedName>
    <definedName name="PROG_06_EJECUCIÓN_PRESUPUESTARIA_ACUMULADA_AL_31_DE_JULIO_DEL_2016">#REF!</definedName>
    <definedName name="PROG_06_EJECUCIÓN_PRESUPUESTARIA_ACUMULADA_AL_31_DE_MARZO_DEL_2016">#REF!</definedName>
    <definedName name="PROG_06_EJECUCIÓN_PRESUPUESTARIA_ACUMULADA_AL_31_DE_MAYO_DE_2017">#REF!</definedName>
    <definedName name="PROG_06_EJECUCIÓN_PRESUPUESTARIA_ACUMULADA_AL_31_DE_MAYO_DEL_2016">#REF!</definedName>
    <definedName name="PROG_06_EJECUCIÓN_PRESUPUESTARIA_ACUMULADA_AL_31_DE_OCTUBRE_DE_2017">#REF!</definedName>
    <definedName name="PROG_06_EJECUCIÓN_PRESUPUESTARIA_ACUMULADA_AL_31_DE_OCTUBRE_DEL_2016">#REF!</definedName>
    <definedName name="PROG_06_EJECUCIÓN_PRESUPUESTARIA_AL_29_DE_FEBRERO_DEL_2016">#REF!</definedName>
    <definedName name="PROG_06_EJECUCIÓN_PRESUPUESTARIA_AL_30_DE_JUNIO_DE_2017">#REF!</definedName>
    <definedName name="PROG_06_EJECUCIÓN_PRESUPUESTARIA_AL_30_DE_JUNIO_DE_2017_V1">#REF!</definedName>
    <definedName name="PROG_06_EJECUCIÓN_PRESUPUESTARIA_AL_30_DE_JUNIO_DEL_2016">#REF!</definedName>
    <definedName name="PROG_06_EJECUCIÓN_PRESUPUESTARIA_AL_30_DE_NOVIEMBRE_DE_2017">#REF!</definedName>
    <definedName name="PROG_06_EJECUCIÓN_PRESUPUESTARIA_AL_30_DE_NOVIEMBRE_DEL_2016">#REF!</definedName>
    <definedName name="PROG_06_EJECUCIÓN_PRESUPUESTARIA_AL_30_DE_SEPTIEMBRE_DE_2017">#REF!</definedName>
    <definedName name="PROG_06_EJECUCIÓN_PRESUPUESTARIA_AL_30_DE_SEPTIEMBRE_DEL_2016">#REF!</definedName>
    <definedName name="PROG_06_EJECUCIÓN_PRESUPUESTARIA_AL_31_DE_AGOSTO_DE_2017">#REF!</definedName>
    <definedName name="PROG_06_EJECUCIÓN_PRESUPUESTARIA_AL_31_DE_AGOSTO_DEL_2016">#REF!</definedName>
    <definedName name="PROG_06_EJECUCIÓN_PRESUPUESTARIA_AL_31_DE_DICIEMBRE_DE_2017">#REF!</definedName>
    <definedName name="PROG_06_EJECUCIÓN_PRESUPUESTARIA_AL_31_DE_DICIEMBRE_DEL_2016">#REF!</definedName>
    <definedName name="PROG_06_EJECUCIÓN_PRESUPUESTARIA_AL_31_DE_ENERO_2016">#REF!</definedName>
    <definedName name="PROG_06_EJECUCIÓN_PRESUPUESTARIA_AL_31_DE_ENERO_DE_2017">#REF!</definedName>
    <definedName name="PROG_06_EJECUCIÓN_PRESUPUESTARIA_AL_31_DE_ENERO_DE_2018">#REF!</definedName>
    <definedName name="PROG_06_EJECUCIÓN_PRESUPUESTARIA_AL_31_DE_JULIO_DE_2017">#REF!</definedName>
    <definedName name="PROG_06_EJECUCION_PRESUPUESTARIA_AL_31_DE_JULIO_DE_2018">#REF!</definedName>
    <definedName name="PROG_06_EJECUCIÓN_PRESUPUESTARIA_AL_31_DE_JULIO_DE_2018">#REF!</definedName>
    <definedName name="PROG_06_EJECUCIÓN_PRESUPUESTARIA_AL_31_DE_JULIO_DEL_2016">#REF!</definedName>
    <definedName name="PROG_06_EJECUCIÓN_PRESUPUESTARIA_AL_31_DE_MAYO_DE_2017">#REF!</definedName>
    <definedName name="PROG_06_EJECUCIÓN_PRESUPUESTARIA_AL_31_DE_MAYO_DEL_2016">#REF!</definedName>
    <definedName name="PROG_06_EJECUCIÓN_PRESUPUESTARIA_AL_31_DE_OCTUBRE_DE_2017">#REF!</definedName>
    <definedName name="PROG_06_EJECUCIÓN_PRESUPUESTARIA_AL_31_DE_OCTUBRE_DEL_2016">#REF!</definedName>
    <definedName name="PROG01_EJECUCIÓN_PRESUPUESTARIA_ACUMULADA_AL_31_DE_MARZO_2018">#REF!</definedName>
    <definedName name="PROG01_EJECUCIÓN_PRESUPUESTARIA_AL_31_DE_MARZO_2018">#REF!</definedName>
    <definedName name="PROGRAMA_01_EJECUCIÓN_ACUMULADA_AL_28_DE_FEBRERO_2017">#REF!</definedName>
    <definedName name="PROGRAMA_01_EJECUCIÓN_PRESUPUESTARIA_AL_30_DE_JUNIO_2018">#REF!</definedName>
    <definedName name="PRROG_05_EJECUCIÓN_PRESUPUESTARIA_ACUMULADA_AL_31_DE_MAYO_DE_2017">#REF!</definedName>
    <definedName name="Requerimiento2022">#REF!</definedName>
    <definedName name="RequerimientoENERO">#REF!</definedName>
    <definedName name="Saldo_ENERO">#REF!</definedName>
    <definedName name="sep_2012">#REF!</definedName>
    <definedName name="SEPTIEMBRE_2012">#REF!</definedName>
    <definedName name="Situacionjulio">#REF!</definedName>
    <definedName name="_xlnm.Print_Titles" localSheetId="1">CONSOLIDADO!$B:$G,CONSOLIDADO!$4:$9</definedName>
    <definedName name="_xlnm.Print_Titles" localSheetId="3">'Prog 01'!$5:$213</definedName>
    <definedName name="_xlnm.Print_Titles" localSheetId="8">'Prog 03'!$B:$G,'Prog 03'!$7:$11</definedName>
    <definedName name="_xlnm.Print_Titles" localSheetId="11">'Prog 05'!$2:$8</definedName>
  </definedNames>
  <calcPr calcId="191029"/>
  <pivotCaches>
    <pivotCache cacheId="0" r:id="rId17"/>
    <pivotCache cacheId="1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3" i="39" l="1"/>
  <c r="L123" i="39"/>
  <c r="P123" i="39"/>
  <c r="Q123" i="39"/>
  <c r="H123" i="39"/>
  <c r="S123" i="4"/>
  <c r="R123" i="39" s="1"/>
  <c r="N123" i="4"/>
  <c r="M123" i="39" s="1"/>
  <c r="F123" i="39"/>
  <c r="M87" i="4"/>
  <c r="M88" i="4"/>
  <c r="J87" i="4"/>
  <c r="J88" i="4"/>
  <c r="M208" i="4"/>
  <c r="M212" i="4"/>
  <c r="J212" i="4"/>
  <c r="M211" i="4"/>
  <c r="J211" i="4"/>
  <c r="M210" i="4"/>
  <c r="J210" i="4"/>
  <c r="M209" i="4"/>
  <c r="J209" i="4"/>
  <c r="J208" i="4"/>
  <c r="M203" i="4"/>
  <c r="M202" i="4"/>
  <c r="J203" i="4"/>
  <c r="J202" i="4"/>
  <c r="M185" i="4"/>
  <c r="M186" i="4"/>
  <c r="M187" i="4"/>
  <c r="M188" i="4"/>
  <c r="M189" i="4"/>
  <c r="M190" i="4"/>
  <c r="M191" i="4"/>
  <c r="M192" i="4"/>
  <c r="M193" i="4"/>
  <c r="M194" i="4"/>
  <c r="M195" i="4"/>
  <c r="M184" i="4"/>
  <c r="J185" i="4"/>
  <c r="J186" i="4"/>
  <c r="J187" i="4"/>
  <c r="J188" i="4"/>
  <c r="J189" i="4"/>
  <c r="J190" i="4"/>
  <c r="J191" i="4"/>
  <c r="J192" i="4"/>
  <c r="J193" i="4"/>
  <c r="J194" i="4"/>
  <c r="J195" i="4"/>
  <c r="J184" i="4"/>
  <c r="M178" i="4"/>
  <c r="J178" i="4"/>
  <c r="M176" i="4"/>
  <c r="M175" i="4"/>
  <c r="J176" i="4"/>
  <c r="J175" i="4"/>
  <c r="M170" i="4"/>
  <c r="J170" i="4"/>
  <c r="M166" i="4"/>
  <c r="M165" i="4"/>
  <c r="J166" i="4"/>
  <c r="J165" i="4"/>
  <c r="M149" i="4"/>
  <c r="M150" i="4"/>
  <c r="M151" i="4"/>
  <c r="M152" i="4"/>
  <c r="M153" i="4"/>
  <c r="M154" i="4"/>
  <c r="M155" i="4"/>
  <c r="M156" i="4"/>
  <c r="M148" i="4"/>
  <c r="J149" i="4"/>
  <c r="J150" i="4"/>
  <c r="J151" i="4"/>
  <c r="J152" i="4"/>
  <c r="J153" i="4"/>
  <c r="J154" i="4"/>
  <c r="J155" i="4"/>
  <c r="J156" i="4"/>
  <c r="J14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28" i="4"/>
  <c r="O123" i="4"/>
  <c r="P123" i="4" s="1"/>
  <c r="O123" i="39" s="1"/>
  <c r="O124" i="4"/>
  <c r="O125" i="4"/>
  <c r="O126" i="4"/>
  <c r="M123" i="4"/>
  <c r="M124" i="4"/>
  <c r="M125" i="4"/>
  <c r="M126" i="4"/>
  <c r="J123" i="4"/>
  <c r="J124" i="4"/>
  <c r="J125" i="4"/>
  <c r="J126" i="4"/>
  <c r="M122" i="4"/>
  <c r="M121" i="4"/>
  <c r="M120" i="4"/>
  <c r="M119" i="4"/>
  <c r="M118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5" i="4"/>
  <c r="M93" i="4"/>
  <c r="M92" i="4"/>
  <c r="M91" i="4"/>
  <c r="M90" i="4"/>
  <c r="M89" i="4"/>
  <c r="M86" i="4"/>
  <c r="M85" i="4"/>
  <c r="M83" i="4"/>
  <c r="M82" i="4"/>
  <c r="M81" i="4"/>
  <c r="M80" i="4"/>
  <c r="M79" i="4"/>
  <c r="M77" i="4"/>
  <c r="M76" i="4"/>
  <c r="M75" i="4"/>
  <c r="M72" i="4"/>
  <c r="M71" i="4"/>
  <c r="M70" i="4"/>
  <c r="M69" i="4"/>
  <c r="M68" i="4"/>
  <c r="M67" i="4"/>
  <c r="M66" i="4"/>
  <c r="M65" i="4"/>
  <c r="M62" i="4"/>
  <c r="M61" i="4"/>
  <c r="M60" i="4"/>
  <c r="M59" i="4"/>
  <c r="M58" i="4"/>
  <c r="M54" i="4"/>
  <c r="M53" i="4"/>
  <c r="M52" i="4"/>
  <c r="M51" i="4"/>
  <c r="M50" i="4"/>
  <c r="M49" i="4"/>
  <c r="M47" i="4"/>
  <c r="M46" i="4"/>
  <c r="M45" i="4"/>
  <c r="M44" i="4"/>
  <c r="M41" i="4"/>
  <c r="M40" i="4"/>
  <c r="M39" i="4"/>
  <c r="M37" i="4"/>
  <c r="M36" i="4"/>
  <c r="M35" i="4"/>
  <c r="M34" i="4"/>
  <c r="M31" i="4"/>
  <c r="M30" i="4"/>
  <c r="M28" i="4"/>
  <c r="M27" i="4"/>
  <c r="M23" i="4"/>
  <c r="M22" i="4"/>
  <c r="M21" i="4"/>
  <c r="M20" i="4"/>
  <c r="M19" i="4"/>
  <c r="M18" i="4"/>
  <c r="M17" i="4"/>
  <c r="M16" i="4"/>
  <c r="M15" i="4"/>
  <c r="M14" i="4"/>
  <c r="M13" i="4"/>
  <c r="J122" i="4"/>
  <c r="J121" i="4"/>
  <c r="J120" i="4"/>
  <c r="J119" i="4"/>
  <c r="J118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5" i="4"/>
  <c r="J93" i="4"/>
  <c r="J92" i="4"/>
  <c r="J91" i="4"/>
  <c r="J90" i="4"/>
  <c r="J89" i="4"/>
  <c r="J86" i="4"/>
  <c r="J85" i="4"/>
  <c r="J83" i="4"/>
  <c r="J82" i="4"/>
  <c r="J81" i="4"/>
  <c r="J80" i="4"/>
  <c r="J79" i="4"/>
  <c r="J77" i="4"/>
  <c r="J76" i="4"/>
  <c r="J75" i="4"/>
  <c r="J74" i="4"/>
  <c r="J72" i="4"/>
  <c r="J71" i="4"/>
  <c r="J70" i="4"/>
  <c r="J69" i="4"/>
  <c r="J68" i="4"/>
  <c r="J67" i="4"/>
  <c r="J66" i="4"/>
  <c r="J65" i="4"/>
  <c r="J64" i="4"/>
  <c r="J62" i="4"/>
  <c r="J61" i="4"/>
  <c r="J60" i="4"/>
  <c r="J59" i="4"/>
  <c r="J58" i="4"/>
  <c r="J57" i="4"/>
  <c r="J54" i="4"/>
  <c r="J53" i="4"/>
  <c r="J52" i="4"/>
  <c r="J51" i="4"/>
  <c r="J50" i="4"/>
  <c r="J49" i="4"/>
  <c r="J47" i="4"/>
  <c r="J46" i="4"/>
  <c r="J45" i="4"/>
  <c r="J44" i="4"/>
  <c r="J41" i="4"/>
  <c r="J40" i="4"/>
  <c r="J39" i="4"/>
  <c r="J38" i="4"/>
  <c r="J37" i="4"/>
  <c r="J36" i="4"/>
  <c r="J35" i="4"/>
  <c r="J34" i="4"/>
  <c r="J31" i="4"/>
  <c r="J30" i="4"/>
  <c r="J29" i="4"/>
  <c r="J28" i="4"/>
  <c r="J27" i="4"/>
  <c r="J26" i="4"/>
  <c r="J23" i="4"/>
  <c r="J22" i="4"/>
  <c r="J21" i="4"/>
  <c r="J20" i="4"/>
  <c r="J19" i="4"/>
  <c r="J18" i="4"/>
  <c r="J17" i="4"/>
  <c r="J16" i="4"/>
  <c r="J15" i="4"/>
  <c r="J14" i="4"/>
  <c r="J13" i="4"/>
  <c r="J12" i="4"/>
  <c r="J10" i="4"/>
  <c r="AH203" i="4"/>
  <c r="AH202" i="4"/>
  <c r="AH194" i="4"/>
  <c r="AH191" i="4"/>
  <c r="AH186" i="4"/>
  <c r="AH187" i="4"/>
  <c r="AH188" i="4"/>
  <c r="AH189" i="4"/>
  <c r="AH185" i="4"/>
  <c r="AH178" i="4"/>
  <c r="AH176" i="4"/>
  <c r="AH175" i="4"/>
  <c r="AH165" i="4"/>
  <c r="AH155" i="4"/>
  <c r="AH156" i="4"/>
  <c r="AH154" i="4"/>
  <c r="AH150" i="4"/>
  <c r="AH151" i="4"/>
  <c r="AH152" i="4"/>
  <c r="AH149" i="4"/>
  <c r="AH146" i="4"/>
  <c r="AH145" i="4"/>
  <c r="AH143" i="4"/>
  <c r="AH140" i="4"/>
  <c r="AH141" i="4"/>
  <c r="AH139" i="4"/>
  <c r="AH132" i="4"/>
  <c r="AH133" i="4"/>
  <c r="AH134" i="4"/>
  <c r="AH135" i="4"/>
  <c r="AH136" i="4"/>
  <c r="AH137" i="4"/>
  <c r="AH131" i="4"/>
  <c r="AH129" i="4"/>
  <c r="AH128" i="4"/>
  <c r="AH125" i="4"/>
  <c r="AH126" i="4"/>
  <c r="AH124" i="4"/>
  <c r="AH121" i="4"/>
  <c r="AH120" i="4"/>
  <c r="AH118" i="4"/>
  <c r="AH114" i="4"/>
  <c r="AH112" i="4"/>
  <c r="AH111" i="4"/>
  <c r="AH109" i="4"/>
  <c r="AH104" i="4"/>
  <c r="AH105" i="4"/>
  <c r="AH106" i="4"/>
  <c r="AH107" i="4"/>
  <c r="AH103" i="4"/>
  <c r="AH100" i="4"/>
  <c r="AH99" i="4"/>
  <c r="AH97" i="4"/>
  <c r="AH89" i="4"/>
  <c r="AH80" i="4"/>
  <c r="AH74" i="4"/>
  <c r="AH75" i="4"/>
  <c r="AH76" i="4"/>
  <c r="AH73" i="4"/>
  <c r="AH65" i="4"/>
  <c r="AH66" i="4"/>
  <c r="AH67" i="4"/>
  <c r="AH64" i="4"/>
  <c r="AH58" i="4"/>
  <c r="AH59" i="4"/>
  <c r="AH57" i="4"/>
  <c r="AH54" i="4"/>
  <c r="AH50" i="4"/>
  <c r="AH51" i="4"/>
  <c r="AH49" i="4"/>
  <c r="AH43" i="4"/>
  <c r="AH44" i="4"/>
  <c r="AH45" i="4"/>
  <c r="AH46" i="4"/>
  <c r="AH47" i="4"/>
  <c r="AH42" i="4"/>
  <c r="AH36" i="4"/>
  <c r="AH34" i="4"/>
  <c r="AH33" i="4"/>
  <c r="AH27" i="4"/>
  <c r="AH28" i="4"/>
  <c r="AH29" i="4"/>
  <c r="AH30" i="4"/>
  <c r="AH26" i="4"/>
  <c r="AH18" i="4"/>
  <c r="AH19" i="4"/>
  <c r="AH20" i="4"/>
  <c r="AH21" i="4"/>
  <c r="AH22" i="4"/>
  <c r="AH23" i="4"/>
  <c r="AH17" i="4"/>
  <c r="AH11" i="4"/>
  <c r="AH12" i="4"/>
  <c r="AH13" i="4"/>
  <c r="AH14" i="4"/>
  <c r="AH15" i="4"/>
  <c r="AH10" i="4"/>
  <c r="DE152" i="140"/>
  <c r="DF152" i="140"/>
  <c r="DG152" i="140"/>
  <c r="DH152" i="140"/>
  <c r="DE153" i="140"/>
  <c r="DF153" i="140"/>
  <c r="DG153" i="140"/>
  <c r="DH153" i="140"/>
  <c r="DE154" i="140"/>
  <c r="DF154" i="140"/>
  <c r="DG154" i="140"/>
  <c r="DH154" i="140"/>
  <c r="DE155" i="140"/>
  <c r="DF155" i="140"/>
  <c r="DG155" i="140"/>
  <c r="DH155" i="140"/>
  <c r="DE156" i="140"/>
  <c r="DF156" i="140"/>
  <c r="DG156" i="140"/>
  <c r="DH156" i="140"/>
  <c r="DE157" i="140"/>
  <c r="DF157" i="140"/>
  <c r="DG157" i="140"/>
  <c r="DH157" i="140"/>
  <c r="DE158" i="140"/>
  <c r="DF158" i="140"/>
  <c r="DG158" i="140"/>
  <c r="DH158" i="140"/>
  <c r="DE159" i="140"/>
  <c r="DF159" i="140"/>
  <c r="DG159" i="140"/>
  <c r="DH159" i="140"/>
  <c r="DE160" i="140"/>
  <c r="DF160" i="140"/>
  <c r="DG160" i="140"/>
  <c r="DH160" i="140"/>
  <c r="DE161" i="140"/>
  <c r="DF161" i="140"/>
  <c r="DG161" i="140"/>
  <c r="DH161" i="140"/>
  <c r="DE162" i="140"/>
  <c r="DF162" i="140"/>
  <c r="DG162" i="140"/>
  <c r="DH162" i="140"/>
  <c r="DE163" i="140"/>
  <c r="DF163" i="140"/>
  <c r="DG163" i="140"/>
  <c r="DH163" i="140"/>
  <c r="DE164" i="140"/>
  <c r="DF164" i="140"/>
  <c r="DG164" i="140"/>
  <c r="DH164" i="140"/>
  <c r="DE4" i="140"/>
  <c r="DF4" i="140"/>
  <c r="DG4" i="140"/>
  <c r="DH4" i="140"/>
  <c r="DE5" i="140"/>
  <c r="DF5" i="140"/>
  <c r="DG5" i="140"/>
  <c r="DH5" i="140"/>
  <c r="DE6" i="140"/>
  <c r="DF6" i="140"/>
  <c r="DG6" i="140"/>
  <c r="DH6" i="140"/>
  <c r="DE7" i="140"/>
  <c r="DF7" i="140"/>
  <c r="DG7" i="140"/>
  <c r="DH7" i="140"/>
  <c r="DE8" i="140"/>
  <c r="DF8" i="140"/>
  <c r="DG8" i="140"/>
  <c r="DH8" i="140"/>
  <c r="DE9" i="140"/>
  <c r="DF9" i="140"/>
  <c r="DG9" i="140"/>
  <c r="DH9" i="140"/>
  <c r="DE10" i="140"/>
  <c r="DF10" i="140"/>
  <c r="DG10" i="140"/>
  <c r="DH10" i="140"/>
  <c r="DE11" i="140"/>
  <c r="DF11" i="140"/>
  <c r="DG11" i="140"/>
  <c r="DH11" i="140"/>
  <c r="DE12" i="140"/>
  <c r="DF12" i="140"/>
  <c r="DG12" i="140"/>
  <c r="DH12" i="140"/>
  <c r="DE13" i="140"/>
  <c r="DF13" i="140"/>
  <c r="DG13" i="140"/>
  <c r="DH13" i="140"/>
  <c r="DE14" i="140"/>
  <c r="DF14" i="140"/>
  <c r="DG14" i="140"/>
  <c r="DH14" i="140"/>
  <c r="DE15" i="140"/>
  <c r="DF15" i="140"/>
  <c r="DG15" i="140"/>
  <c r="DH15" i="140"/>
  <c r="DE16" i="140"/>
  <c r="DF16" i="140"/>
  <c r="DG16" i="140"/>
  <c r="DH16" i="140"/>
  <c r="DE17" i="140"/>
  <c r="DF17" i="140"/>
  <c r="DG17" i="140"/>
  <c r="DH17" i="140"/>
  <c r="DE18" i="140"/>
  <c r="DF18" i="140"/>
  <c r="DG18" i="140"/>
  <c r="DH18" i="140"/>
  <c r="DE19" i="140"/>
  <c r="DF19" i="140"/>
  <c r="DG19" i="140"/>
  <c r="DH19" i="140"/>
  <c r="DE20" i="140"/>
  <c r="DF20" i="140"/>
  <c r="DG20" i="140"/>
  <c r="DH20" i="140"/>
  <c r="DE21" i="140"/>
  <c r="DF21" i="140"/>
  <c r="DG21" i="140"/>
  <c r="DH21" i="140"/>
  <c r="DE22" i="140"/>
  <c r="DF22" i="140"/>
  <c r="DG22" i="140"/>
  <c r="DH22" i="140"/>
  <c r="DE23" i="140"/>
  <c r="DF23" i="140"/>
  <c r="DG23" i="140"/>
  <c r="DH23" i="140"/>
  <c r="DE24" i="140"/>
  <c r="DF24" i="140"/>
  <c r="DG24" i="140"/>
  <c r="DH24" i="140"/>
  <c r="DE25" i="140"/>
  <c r="DF25" i="140"/>
  <c r="DG25" i="140"/>
  <c r="DH25" i="140"/>
  <c r="DE26" i="140"/>
  <c r="DF26" i="140"/>
  <c r="DG26" i="140"/>
  <c r="DH26" i="140"/>
  <c r="DE27" i="140"/>
  <c r="DF27" i="140"/>
  <c r="DG27" i="140"/>
  <c r="DH27" i="140"/>
  <c r="DE28" i="140"/>
  <c r="DF28" i="140"/>
  <c r="DG28" i="140"/>
  <c r="DH28" i="140"/>
  <c r="DE29" i="140"/>
  <c r="DF29" i="140"/>
  <c r="DG29" i="140"/>
  <c r="DH29" i="140"/>
  <c r="DE30" i="140"/>
  <c r="DF30" i="140"/>
  <c r="DG30" i="140"/>
  <c r="DH30" i="140"/>
  <c r="DE31" i="140"/>
  <c r="DF31" i="140"/>
  <c r="DG31" i="140"/>
  <c r="DH31" i="140"/>
  <c r="DE32" i="140"/>
  <c r="DF32" i="140"/>
  <c r="DG32" i="140"/>
  <c r="DH32" i="140"/>
  <c r="DE33" i="140"/>
  <c r="DF33" i="140"/>
  <c r="DG33" i="140"/>
  <c r="DH33" i="140"/>
  <c r="DE34" i="140"/>
  <c r="DF34" i="140"/>
  <c r="DG34" i="140"/>
  <c r="DH34" i="140"/>
  <c r="DE35" i="140"/>
  <c r="DF35" i="140"/>
  <c r="DG35" i="140"/>
  <c r="DH35" i="140"/>
  <c r="DE36" i="140"/>
  <c r="DF36" i="140"/>
  <c r="DG36" i="140"/>
  <c r="DH36" i="140"/>
  <c r="DE37" i="140"/>
  <c r="DF37" i="140"/>
  <c r="DG37" i="140"/>
  <c r="DH37" i="140"/>
  <c r="DE38" i="140"/>
  <c r="DF38" i="140"/>
  <c r="DG38" i="140"/>
  <c r="DH38" i="140"/>
  <c r="DE39" i="140"/>
  <c r="DF39" i="140"/>
  <c r="DG39" i="140"/>
  <c r="DH39" i="140"/>
  <c r="DE40" i="140"/>
  <c r="DF40" i="140"/>
  <c r="DG40" i="140"/>
  <c r="DH40" i="140"/>
  <c r="DE41" i="140"/>
  <c r="DF41" i="140"/>
  <c r="DG41" i="140"/>
  <c r="DH41" i="140"/>
  <c r="DE42" i="140"/>
  <c r="DF42" i="140"/>
  <c r="DG42" i="140"/>
  <c r="DH42" i="140"/>
  <c r="DE43" i="140"/>
  <c r="DF43" i="140"/>
  <c r="DG43" i="140"/>
  <c r="DH43" i="140"/>
  <c r="DE44" i="140"/>
  <c r="DF44" i="140"/>
  <c r="DG44" i="140"/>
  <c r="DH44" i="140"/>
  <c r="DE45" i="140"/>
  <c r="DF45" i="140"/>
  <c r="DG45" i="140"/>
  <c r="DH45" i="140"/>
  <c r="DE46" i="140"/>
  <c r="DF46" i="140"/>
  <c r="DG46" i="140"/>
  <c r="DH46" i="140"/>
  <c r="DE47" i="140"/>
  <c r="DF47" i="140"/>
  <c r="DG47" i="140"/>
  <c r="DH47" i="140"/>
  <c r="DE48" i="140"/>
  <c r="DF48" i="140"/>
  <c r="DG48" i="140"/>
  <c r="DH48" i="140"/>
  <c r="DE49" i="140"/>
  <c r="DF49" i="140"/>
  <c r="DG49" i="140"/>
  <c r="DH49" i="140"/>
  <c r="DE50" i="140"/>
  <c r="DF50" i="140"/>
  <c r="DG50" i="140"/>
  <c r="DH50" i="140"/>
  <c r="DE51" i="140"/>
  <c r="DF51" i="140"/>
  <c r="DG51" i="140"/>
  <c r="DH51" i="140"/>
  <c r="DE52" i="140"/>
  <c r="DF52" i="140"/>
  <c r="DG52" i="140"/>
  <c r="DH52" i="140"/>
  <c r="DE53" i="140"/>
  <c r="DF53" i="140"/>
  <c r="DG53" i="140"/>
  <c r="DH53" i="140"/>
  <c r="DE54" i="140"/>
  <c r="DF54" i="140"/>
  <c r="DG54" i="140"/>
  <c r="DH54" i="140"/>
  <c r="DE55" i="140"/>
  <c r="DF55" i="140"/>
  <c r="DG55" i="140"/>
  <c r="DH55" i="140"/>
  <c r="DE56" i="140"/>
  <c r="DF56" i="140"/>
  <c r="DG56" i="140"/>
  <c r="DH56" i="140"/>
  <c r="DE57" i="140"/>
  <c r="DF57" i="140"/>
  <c r="DG57" i="140"/>
  <c r="DH57" i="140"/>
  <c r="DE58" i="140"/>
  <c r="DF58" i="140"/>
  <c r="DG58" i="140"/>
  <c r="DH58" i="140"/>
  <c r="DE59" i="140"/>
  <c r="DF59" i="140"/>
  <c r="DG59" i="140"/>
  <c r="DH59" i="140"/>
  <c r="DE60" i="140"/>
  <c r="DF60" i="140"/>
  <c r="DG60" i="140"/>
  <c r="DH60" i="140"/>
  <c r="DE61" i="140"/>
  <c r="DF61" i="140"/>
  <c r="DG61" i="140"/>
  <c r="DH61" i="140"/>
  <c r="DE62" i="140"/>
  <c r="DF62" i="140"/>
  <c r="DG62" i="140"/>
  <c r="DH62" i="140"/>
  <c r="DE63" i="140"/>
  <c r="DF63" i="140"/>
  <c r="DG63" i="140"/>
  <c r="DH63" i="140"/>
  <c r="DE64" i="140"/>
  <c r="DF64" i="140"/>
  <c r="DG64" i="140"/>
  <c r="DH64" i="140"/>
  <c r="DE65" i="140"/>
  <c r="DF65" i="140"/>
  <c r="DG65" i="140"/>
  <c r="DH65" i="140"/>
  <c r="DE66" i="140"/>
  <c r="DF66" i="140"/>
  <c r="DG66" i="140"/>
  <c r="DH66" i="140"/>
  <c r="DE67" i="140"/>
  <c r="DF67" i="140"/>
  <c r="DG67" i="140"/>
  <c r="DH67" i="140"/>
  <c r="DE68" i="140"/>
  <c r="DF68" i="140"/>
  <c r="DG68" i="140"/>
  <c r="DH68" i="140"/>
  <c r="DE69" i="140"/>
  <c r="DF69" i="140"/>
  <c r="DG69" i="140"/>
  <c r="DH69" i="140"/>
  <c r="DE70" i="140"/>
  <c r="DF70" i="140"/>
  <c r="DG70" i="140"/>
  <c r="DH70" i="140"/>
  <c r="DE71" i="140"/>
  <c r="DF71" i="140"/>
  <c r="DG71" i="140"/>
  <c r="DH71" i="140"/>
  <c r="DE72" i="140"/>
  <c r="DF72" i="140"/>
  <c r="DG72" i="140"/>
  <c r="DH72" i="140"/>
  <c r="DE73" i="140"/>
  <c r="DF73" i="140"/>
  <c r="DG73" i="140"/>
  <c r="DH73" i="140"/>
  <c r="DE74" i="140"/>
  <c r="DF74" i="140"/>
  <c r="DG74" i="140"/>
  <c r="DH74" i="140"/>
  <c r="DE75" i="140"/>
  <c r="DF75" i="140"/>
  <c r="DG75" i="140"/>
  <c r="DH75" i="140"/>
  <c r="DE76" i="140"/>
  <c r="DF76" i="140"/>
  <c r="DG76" i="140"/>
  <c r="DH76" i="140"/>
  <c r="DE77" i="140"/>
  <c r="DF77" i="140"/>
  <c r="DG77" i="140"/>
  <c r="DH77" i="140"/>
  <c r="DE78" i="140"/>
  <c r="DF78" i="140"/>
  <c r="DG78" i="140"/>
  <c r="DH78" i="140"/>
  <c r="DE79" i="140"/>
  <c r="DF79" i="140"/>
  <c r="DG79" i="140"/>
  <c r="DH79" i="140"/>
  <c r="DE80" i="140"/>
  <c r="DF80" i="140"/>
  <c r="DG80" i="140"/>
  <c r="DH80" i="140"/>
  <c r="DE81" i="140"/>
  <c r="DF81" i="140"/>
  <c r="DG81" i="140"/>
  <c r="DH81" i="140"/>
  <c r="DE82" i="140"/>
  <c r="DF82" i="140"/>
  <c r="DG82" i="140"/>
  <c r="DH82" i="140"/>
  <c r="DE83" i="140"/>
  <c r="DF83" i="140"/>
  <c r="DG83" i="140"/>
  <c r="DH83" i="140"/>
  <c r="DE84" i="140"/>
  <c r="DF84" i="140"/>
  <c r="DG84" i="140"/>
  <c r="DH84" i="140"/>
  <c r="DE85" i="140"/>
  <c r="DF85" i="140"/>
  <c r="DG85" i="140"/>
  <c r="DH85" i="140"/>
  <c r="DE86" i="140"/>
  <c r="DF86" i="140"/>
  <c r="DG86" i="140"/>
  <c r="DH86" i="140"/>
  <c r="DE87" i="140"/>
  <c r="DF87" i="140"/>
  <c r="DG87" i="140"/>
  <c r="DH87" i="140"/>
  <c r="DE88" i="140"/>
  <c r="DF88" i="140"/>
  <c r="DG88" i="140"/>
  <c r="DH88" i="140"/>
  <c r="DE89" i="140"/>
  <c r="DF89" i="140"/>
  <c r="DG89" i="140"/>
  <c r="DH89" i="140"/>
  <c r="DE90" i="140"/>
  <c r="DF90" i="140"/>
  <c r="DG90" i="140"/>
  <c r="DH90" i="140"/>
  <c r="DE91" i="140"/>
  <c r="DF91" i="140"/>
  <c r="DG91" i="140"/>
  <c r="DH91" i="140"/>
  <c r="DE92" i="140"/>
  <c r="DF92" i="140"/>
  <c r="DG92" i="140"/>
  <c r="DH92" i="140"/>
  <c r="DE93" i="140"/>
  <c r="DF93" i="140"/>
  <c r="DG93" i="140"/>
  <c r="DH93" i="140"/>
  <c r="DE94" i="140"/>
  <c r="DF94" i="140"/>
  <c r="DG94" i="140"/>
  <c r="DH94" i="140"/>
  <c r="DE95" i="140"/>
  <c r="DF95" i="140"/>
  <c r="DG95" i="140"/>
  <c r="DH95" i="140"/>
  <c r="DE96" i="140"/>
  <c r="DF96" i="140"/>
  <c r="DG96" i="140"/>
  <c r="DH96" i="140"/>
  <c r="DE97" i="140"/>
  <c r="DF97" i="140"/>
  <c r="DG97" i="140"/>
  <c r="DH97" i="140"/>
  <c r="DE98" i="140"/>
  <c r="DF98" i="140"/>
  <c r="DG98" i="140"/>
  <c r="DH98" i="140"/>
  <c r="DE99" i="140"/>
  <c r="DF99" i="140"/>
  <c r="DG99" i="140"/>
  <c r="DH99" i="140"/>
  <c r="DE100" i="140"/>
  <c r="DF100" i="140"/>
  <c r="DG100" i="140"/>
  <c r="DH100" i="140"/>
  <c r="DE101" i="140"/>
  <c r="DF101" i="140"/>
  <c r="DG101" i="140"/>
  <c r="DH101" i="140"/>
  <c r="DE102" i="140"/>
  <c r="DF102" i="140"/>
  <c r="DG102" i="140"/>
  <c r="DH102" i="140"/>
  <c r="DE103" i="140"/>
  <c r="DF103" i="140"/>
  <c r="DG103" i="140"/>
  <c r="DH103" i="140"/>
  <c r="DE104" i="140"/>
  <c r="DF104" i="140"/>
  <c r="DG104" i="140"/>
  <c r="DH104" i="140"/>
  <c r="DE105" i="140"/>
  <c r="DF105" i="140"/>
  <c r="DG105" i="140"/>
  <c r="DH105" i="140"/>
  <c r="DE106" i="140"/>
  <c r="DF106" i="140"/>
  <c r="DG106" i="140"/>
  <c r="DH106" i="140"/>
  <c r="DE107" i="140"/>
  <c r="DF107" i="140"/>
  <c r="DG107" i="140"/>
  <c r="DH107" i="140"/>
  <c r="DE108" i="140"/>
  <c r="DF108" i="140"/>
  <c r="DG108" i="140"/>
  <c r="DH108" i="140"/>
  <c r="DE109" i="140"/>
  <c r="DF109" i="140"/>
  <c r="DG109" i="140"/>
  <c r="DH109" i="140"/>
  <c r="DE110" i="140"/>
  <c r="DF110" i="140"/>
  <c r="DG110" i="140"/>
  <c r="DH110" i="140"/>
  <c r="DE111" i="140"/>
  <c r="DF111" i="140"/>
  <c r="DG111" i="140"/>
  <c r="DH111" i="140"/>
  <c r="DE112" i="140"/>
  <c r="DF112" i="140"/>
  <c r="DG112" i="140"/>
  <c r="DH112" i="140"/>
  <c r="DE113" i="140"/>
  <c r="DF113" i="140"/>
  <c r="DG113" i="140"/>
  <c r="DH113" i="140"/>
  <c r="DE114" i="140"/>
  <c r="DF114" i="140"/>
  <c r="DG114" i="140"/>
  <c r="DH114" i="140"/>
  <c r="DE115" i="140"/>
  <c r="DF115" i="140"/>
  <c r="DG115" i="140"/>
  <c r="DH115" i="140"/>
  <c r="DE116" i="140"/>
  <c r="DF116" i="140"/>
  <c r="DG116" i="140"/>
  <c r="DH116" i="140"/>
  <c r="DE117" i="140"/>
  <c r="DF117" i="140"/>
  <c r="DG117" i="140"/>
  <c r="DH117" i="140"/>
  <c r="DE118" i="140"/>
  <c r="DF118" i="140"/>
  <c r="DG118" i="140"/>
  <c r="DH118" i="140"/>
  <c r="DE119" i="140"/>
  <c r="DF119" i="140"/>
  <c r="DG119" i="140"/>
  <c r="DH119" i="140"/>
  <c r="DE120" i="140"/>
  <c r="DF120" i="140"/>
  <c r="DG120" i="140"/>
  <c r="DH120" i="140"/>
  <c r="DE121" i="140"/>
  <c r="DF121" i="140"/>
  <c r="DG121" i="140"/>
  <c r="DH121" i="140"/>
  <c r="DE122" i="140"/>
  <c r="DF122" i="140"/>
  <c r="DG122" i="140"/>
  <c r="DH122" i="140"/>
  <c r="DE123" i="140"/>
  <c r="DF123" i="140"/>
  <c r="DG123" i="140"/>
  <c r="DH123" i="140"/>
  <c r="DE124" i="140"/>
  <c r="DF124" i="140"/>
  <c r="DG124" i="140"/>
  <c r="DH124" i="140"/>
  <c r="DE125" i="140"/>
  <c r="DF125" i="140"/>
  <c r="DG125" i="140"/>
  <c r="DH125" i="140"/>
  <c r="DE126" i="140"/>
  <c r="DF126" i="140"/>
  <c r="DG126" i="140"/>
  <c r="DH126" i="140"/>
  <c r="DE127" i="140"/>
  <c r="DF127" i="140"/>
  <c r="DG127" i="140"/>
  <c r="DH127" i="140"/>
  <c r="DE128" i="140"/>
  <c r="DF128" i="140"/>
  <c r="DG128" i="140"/>
  <c r="DH128" i="140"/>
  <c r="DE129" i="140"/>
  <c r="DF129" i="140"/>
  <c r="DG129" i="140"/>
  <c r="DH129" i="140"/>
  <c r="DE130" i="140"/>
  <c r="DF130" i="140"/>
  <c r="DG130" i="140"/>
  <c r="DH130" i="140"/>
  <c r="DE131" i="140"/>
  <c r="DF131" i="140"/>
  <c r="DG131" i="140"/>
  <c r="DH131" i="140"/>
  <c r="DE132" i="140"/>
  <c r="DF132" i="140"/>
  <c r="DG132" i="140"/>
  <c r="DH132" i="140"/>
  <c r="DE133" i="140"/>
  <c r="DF133" i="140"/>
  <c r="DG133" i="140"/>
  <c r="DH133" i="140"/>
  <c r="DE134" i="140"/>
  <c r="DF134" i="140"/>
  <c r="DG134" i="140"/>
  <c r="DH134" i="140"/>
  <c r="DE135" i="140"/>
  <c r="DF135" i="140"/>
  <c r="DG135" i="140"/>
  <c r="DH135" i="140"/>
  <c r="DE136" i="140"/>
  <c r="DF136" i="140"/>
  <c r="DG136" i="140"/>
  <c r="DH136" i="140"/>
  <c r="DE137" i="140"/>
  <c r="DF137" i="140"/>
  <c r="DG137" i="140"/>
  <c r="DH137" i="140"/>
  <c r="DE138" i="140"/>
  <c r="DF138" i="140"/>
  <c r="DG138" i="140"/>
  <c r="DH138" i="140"/>
  <c r="DE139" i="140"/>
  <c r="DF139" i="140"/>
  <c r="DG139" i="140"/>
  <c r="DH139" i="140"/>
  <c r="DE140" i="140"/>
  <c r="DF140" i="140"/>
  <c r="DG140" i="140"/>
  <c r="DH140" i="140"/>
  <c r="DE141" i="140"/>
  <c r="DF141" i="140"/>
  <c r="DG141" i="140"/>
  <c r="DH141" i="140"/>
  <c r="DE142" i="140"/>
  <c r="DF142" i="140"/>
  <c r="DG142" i="140"/>
  <c r="DH142" i="140"/>
  <c r="DE143" i="140"/>
  <c r="DF143" i="140"/>
  <c r="DG143" i="140"/>
  <c r="DH143" i="140"/>
  <c r="DE144" i="140"/>
  <c r="DF144" i="140"/>
  <c r="DG144" i="140"/>
  <c r="DH144" i="140"/>
  <c r="DE145" i="140"/>
  <c r="DF145" i="140"/>
  <c r="DG145" i="140"/>
  <c r="DH145" i="140"/>
  <c r="DE146" i="140"/>
  <c r="DF146" i="140"/>
  <c r="DG146" i="140"/>
  <c r="DH146" i="140"/>
  <c r="DE147" i="140"/>
  <c r="DF147" i="140"/>
  <c r="DG147" i="140"/>
  <c r="DH147" i="140"/>
  <c r="DE148" i="140"/>
  <c r="DF148" i="140"/>
  <c r="DG148" i="140"/>
  <c r="DH148" i="140"/>
  <c r="DE149" i="140"/>
  <c r="DF149" i="140"/>
  <c r="DG149" i="140"/>
  <c r="DH149" i="140"/>
  <c r="DE150" i="140"/>
  <c r="DF150" i="140"/>
  <c r="DG150" i="140"/>
  <c r="DH150" i="140"/>
  <c r="DE151" i="140"/>
  <c r="DF151" i="140"/>
  <c r="DG151" i="140"/>
  <c r="DH151" i="140"/>
  <c r="DF3" i="140"/>
  <c r="DG3" i="140"/>
  <c r="DH3" i="140"/>
  <c r="DE3" i="140"/>
  <c r="CX4" i="140"/>
  <c r="CX5" i="140"/>
  <c r="CX6" i="140"/>
  <c r="CX7" i="140"/>
  <c r="CX8" i="140"/>
  <c r="CX9" i="140"/>
  <c r="CX10" i="140"/>
  <c r="CX11" i="140"/>
  <c r="CX12" i="140"/>
  <c r="CX13" i="140"/>
  <c r="CX14" i="140"/>
  <c r="CX15" i="140"/>
  <c r="CX16" i="140"/>
  <c r="CX17" i="140"/>
  <c r="CX18" i="140"/>
  <c r="CX19" i="140"/>
  <c r="CX20" i="140"/>
  <c r="CX21" i="140"/>
  <c r="CX22" i="140"/>
  <c r="CX23" i="140"/>
  <c r="CX24" i="140"/>
  <c r="CX25" i="140"/>
  <c r="CX26" i="140"/>
  <c r="CX27" i="140"/>
  <c r="CX28" i="140"/>
  <c r="CX29" i="140"/>
  <c r="CX30" i="140"/>
  <c r="CX31" i="140"/>
  <c r="CX32" i="140"/>
  <c r="CX33" i="140"/>
  <c r="CX34" i="140"/>
  <c r="CX35" i="140"/>
  <c r="CX36" i="140"/>
  <c r="CX37" i="140"/>
  <c r="CX38" i="140"/>
  <c r="CX39" i="140"/>
  <c r="CX40" i="140"/>
  <c r="CX41" i="140"/>
  <c r="CX42" i="140"/>
  <c r="CX43" i="140"/>
  <c r="CX44" i="140"/>
  <c r="CX45" i="140"/>
  <c r="CX46" i="140"/>
  <c r="CX47" i="140"/>
  <c r="CX48" i="140"/>
  <c r="CX49" i="140"/>
  <c r="CX50" i="140"/>
  <c r="CX51" i="140"/>
  <c r="CX52" i="140"/>
  <c r="CX53" i="140"/>
  <c r="CX54" i="140"/>
  <c r="CX55" i="140"/>
  <c r="CX56" i="140"/>
  <c r="CX57" i="140"/>
  <c r="CX58" i="140"/>
  <c r="CX59" i="140"/>
  <c r="CX60" i="140"/>
  <c r="CX61" i="140"/>
  <c r="CX62" i="140"/>
  <c r="CX63" i="140"/>
  <c r="CX64" i="140"/>
  <c r="CX65" i="140"/>
  <c r="CX66" i="140"/>
  <c r="CX67" i="140"/>
  <c r="CX68" i="140"/>
  <c r="CX69" i="140"/>
  <c r="CX70" i="140"/>
  <c r="CX71" i="140"/>
  <c r="CX72" i="140"/>
  <c r="CX73" i="140"/>
  <c r="CX74" i="140"/>
  <c r="CX75" i="140"/>
  <c r="CX76" i="140"/>
  <c r="CX77" i="140"/>
  <c r="CX78" i="140"/>
  <c r="CX79" i="140"/>
  <c r="CX80" i="140"/>
  <c r="CX81" i="140"/>
  <c r="CX82" i="140"/>
  <c r="CX83" i="140"/>
  <c r="CX84" i="140"/>
  <c r="CX85" i="140"/>
  <c r="CX86" i="140"/>
  <c r="CX87" i="140"/>
  <c r="CX88" i="140"/>
  <c r="CX89" i="140"/>
  <c r="CX90" i="140"/>
  <c r="CX91" i="140"/>
  <c r="CX92" i="140"/>
  <c r="CX93" i="140"/>
  <c r="CX94" i="140"/>
  <c r="CX95" i="140"/>
  <c r="CX96" i="140"/>
  <c r="CX97" i="140"/>
  <c r="CX98" i="140"/>
  <c r="CX99" i="140"/>
  <c r="CX3" i="140"/>
  <c r="Q212" i="4"/>
  <c r="Q210" i="4"/>
  <c r="Q208" i="4"/>
  <c r="Q209" i="4"/>
  <c r="Q200" i="4"/>
  <c r="Q201" i="4"/>
  <c r="Q202" i="4"/>
  <c r="Q203" i="4"/>
  <c r="Q204" i="4"/>
  <c r="Q205" i="4"/>
  <c r="Q206" i="4"/>
  <c r="Q207" i="4"/>
  <c r="DJ158" i="136"/>
  <c r="DK158" i="136"/>
  <c r="DL158" i="136"/>
  <c r="DM158" i="136"/>
  <c r="DJ160" i="136"/>
  <c r="DK160" i="136"/>
  <c r="DL160" i="136"/>
  <c r="DM160" i="136"/>
  <c r="DJ161" i="136"/>
  <c r="DK161" i="136"/>
  <c r="DL161" i="136"/>
  <c r="DM161" i="136"/>
  <c r="I60" i="54"/>
  <c r="I59" i="54"/>
  <c r="I51" i="54"/>
  <c r="I50" i="54"/>
  <c r="I48" i="54"/>
  <c r="I47" i="54"/>
  <c r="I46" i="54"/>
  <c r="I45" i="54"/>
  <c r="I42" i="54"/>
  <c r="I40" i="54"/>
  <c r="I38" i="54"/>
  <c r="I30" i="54"/>
  <c r="I27" i="54"/>
  <c r="I26" i="54"/>
  <c r="I25" i="54"/>
  <c r="I23" i="54"/>
  <c r="I21" i="54"/>
  <c r="I20" i="54"/>
  <c r="I19" i="54"/>
  <c r="I16" i="54"/>
  <c r="I15" i="54"/>
  <c r="DL4" i="143"/>
  <c r="DM4" i="143"/>
  <c r="DN4" i="143"/>
  <c r="DL5" i="143"/>
  <c r="DM5" i="143"/>
  <c r="DN5" i="143"/>
  <c r="DL6" i="143"/>
  <c r="DM6" i="143"/>
  <c r="DN6" i="143"/>
  <c r="DL7" i="143"/>
  <c r="DM7" i="143"/>
  <c r="DN7" i="143"/>
  <c r="DL8" i="143"/>
  <c r="DM8" i="143"/>
  <c r="DN8" i="143"/>
  <c r="DL9" i="143"/>
  <c r="DM9" i="143"/>
  <c r="DN9" i="143"/>
  <c r="DL10" i="143"/>
  <c r="DM10" i="143"/>
  <c r="DN10" i="143"/>
  <c r="DL11" i="143"/>
  <c r="DM11" i="143"/>
  <c r="DN11" i="143"/>
  <c r="DL12" i="143"/>
  <c r="DM12" i="143"/>
  <c r="DN12" i="143"/>
  <c r="DL13" i="143"/>
  <c r="DM13" i="143"/>
  <c r="DN13" i="143"/>
  <c r="DL14" i="143"/>
  <c r="DM14" i="143"/>
  <c r="DN14" i="143"/>
  <c r="DL15" i="143"/>
  <c r="DM15" i="143"/>
  <c r="DN15" i="143"/>
  <c r="DL16" i="143"/>
  <c r="DM16" i="143"/>
  <c r="DN16" i="143"/>
  <c r="DL17" i="143"/>
  <c r="DM17" i="143"/>
  <c r="DN17" i="143"/>
  <c r="DL18" i="143"/>
  <c r="DM18" i="143"/>
  <c r="DN18" i="143"/>
  <c r="DL19" i="143"/>
  <c r="DM19" i="143"/>
  <c r="DN19" i="143"/>
  <c r="DL20" i="143"/>
  <c r="DM20" i="143"/>
  <c r="DN20" i="143"/>
  <c r="DL21" i="143"/>
  <c r="DM21" i="143"/>
  <c r="DN21" i="143"/>
  <c r="DL22" i="143"/>
  <c r="DM22" i="143"/>
  <c r="DN22" i="143"/>
  <c r="DL23" i="143"/>
  <c r="DM23" i="143"/>
  <c r="DN23" i="143"/>
  <c r="DL24" i="143"/>
  <c r="DM24" i="143"/>
  <c r="DN24" i="143"/>
  <c r="DL25" i="143"/>
  <c r="DM25" i="143"/>
  <c r="DN25" i="143"/>
  <c r="DL26" i="143"/>
  <c r="DM26" i="143"/>
  <c r="DN26" i="143"/>
  <c r="DM3" i="143"/>
  <c r="DN3" i="143"/>
  <c r="DL3" i="143"/>
  <c r="P71" i="54"/>
  <c r="P60" i="54"/>
  <c r="P59" i="54"/>
  <c r="P33" i="54"/>
  <c r="R15" i="35"/>
  <c r="R16" i="35"/>
  <c r="R17" i="35"/>
  <c r="R18" i="35"/>
  <c r="R19" i="35"/>
  <c r="R48" i="35"/>
  <c r="R51" i="35"/>
  <c r="R63" i="35"/>
  <c r="M15" i="35"/>
  <c r="M16" i="35"/>
  <c r="M17" i="35"/>
  <c r="M18" i="35"/>
  <c r="M19" i="35"/>
  <c r="M22" i="35"/>
  <c r="M23" i="35"/>
  <c r="M24" i="35"/>
  <c r="M25" i="35"/>
  <c r="M26" i="35"/>
  <c r="M28" i="35"/>
  <c r="M29" i="35"/>
  <c r="M30" i="35"/>
  <c r="M31" i="35"/>
  <c r="M32" i="35"/>
  <c r="M34" i="35"/>
  <c r="M36" i="35"/>
  <c r="M38" i="35"/>
  <c r="M39" i="35"/>
  <c r="M40" i="35"/>
  <c r="M41" i="35"/>
  <c r="M42" i="35"/>
  <c r="M43" i="35"/>
  <c r="M45" i="35"/>
  <c r="M48" i="35"/>
  <c r="M49" i="35"/>
  <c r="M50" i="35"/>
  <c r="M51" i="35"/>
  <c r="M52" i="35"/>
  <c r="M56" i="35"/>
  <c r="M57" i="35"/>
  <c r="M58" i="35"/>
  <c r="M59" i="35"/>
  <c r="M60" i="35"/>
  <c r="M62" i="35"/>
  <c r="M63" i="35"/>
  <c r="M12" i="35"/>
  <c r="L39" i="35"/>
  <c r="L40" i="35"/>
  <c r="L42" i="35"/>
  <c r="L38" i="35"/>
  <c r="L23" i="35"/>
  <c r="L22" i="35"/>
  <c r="L26" i="35"/>
  <c r="I23" i="35"/>
  <c r="I26" i="35"/>
  <c r="L15" i="35"/>
  <c r="L18" i="35"/>
  <c r="L16" i="35"/>
  <c r="L17" i="35"/>
  <c r="L62" i="35"/>
  <c r="L60" i="35"/>
  <c r="L59" i="35"/>
  <c r="L58" i="35"/>
  <c r="L57" i="35"/>
  <c r="L56" i="35"/>
  <c r="L45" i="35"/>
  <c r="L43" i="35"/>
  <c r="I62" i="35"/>
  <c r="I60" i="35"/>
  <c r="I59" i="35"/>
  <c r="I58" i="35"/>
  <c r="I57" i="35"/>
  <c r="I56" i="35"/>
  <c r="I52" i="35"/>
  <c r="I51" i="35"/>
  <c r="I50" i="35"/>
  <c r="I49" i="35"/>
  <c r="I48" i="35"/>
  <c r="I45" i="35"/>
  <c r="I43" i="35"/>
  <c r="I42" i="35"/>
  <c r="I41" i="35"/>
  <c r="I40" i="35"/>
  <c r="I39" i="35"/>
  <c r="I38" i="35"/>
  <c r="I24" i="35"/>
  <c r="I22" i="35"/>
  <c r="I19" i="35"/>
  <c r="I18" i="35"/>
  <c r="I17" i="35"/>
  <c r="I16" i="35"/>
  <c r="I15" i="35"/>
  <c r="AG27" i="35"/>
  <c r="AG44" i="35"/>
  <c r="AG60" i="35"/>
  <c r="AG58" i="35"/>
  <c r="AG57" i="35"/>
  <c r="AG38" i="35"/>
  <c r="AG37" i="35" s="1"/>
  <c r="AG26" i="35"/>
  <c r="AG22" i="35"/>
  <c r="AG18" i="35"/>
  <c r="AG15" i="35"/>
  <c r="EE4" i="141"/>
  <c r="EF4" i="141"/>
  <c r="EG4" i="141"/>
  <c r="EE5" i="141"/>
  <c r="EF5" i="141"/>
  <c r="EG5" i="141"/>
  <c r="EE6" i="141"/>
  <c r="EF6" i="141"/>
  <c r="EG6" i="141"/>
  <c r="EE7" i="141"/>
  <c r="EF7" i="141"/>
  <c r="EG7" i="141"/>
  <c r="EE8" i="141"/>
  <c r="EF8" i="141"/>
  <c r="EG8" i="141"/>
  <c r="EE9" i="141"/>
  <c r="EF9" i="141"/>
  <c r="EG9" i="141"/>
  <c r="EE10" i="141"/>
  <c r="EF10" i="141"/>
  <c r="EG10" i="141"/>
  <c r="EE11" i="141"/>
  <c r="EF11" i="141"/>
  <c r="EG11" i="141"/>
  <c r="EE12" i="141"/>
  <c r="EF12" i="141"/>
  <c r="EG12" i="141"/>
  <c r="EE13" i="141"/>
  <c r="EF13" i="141"/>
  <c r="EG13" i="141"/>
  <c r="EE14" i="141"/>
  <c r="EF14" i="141"/>
  <c r="EG14" i="141"/>
  <c r="EE15" i="141"/>
  <c r="EF15" i="141"/>
  <c r="EG15" i="141"/>
  <c r="EE16" i="141"/>
  <c r="EF16" i="141"/>
  <c r="EG16" i="141"/>
  <c r="EE17" i="141"/>
  <c r="EF17" i="141"/>
  <c r="EG17" i="141"/>
  <c r="EE18" i="141"/>
  <c r="EF18" i="141"/>
  <c r="EG18" i="141"/>
  <c r="EE19" i="141"/>
  <c r="EF19" i="141"/>
  <c r="EG19" i="141"/>
  <c r="EE20" i="141"/>
  <c r="EF20" i="141"/>
  <c r="EG20" i="141"/>
  <c r="EE21" i="141"/>
  <c r="EF21" i="141"/>
  <c r="EG21" i="141"/>
  <c r="EE22" i="141"/>
  <c r="EF22" i="141"/>
  <c r="EG22" i="141"/>
  <c r="EE23" i="141"/>
  <c r="EF23" i="141"/>
  <c r="EG23" i="141"/>
  <c r="EE24" i="141"/>
  <c r="EF24" i="141"/>
  <c r="EG24" i="141"/>
  <c r="EE25" i="141"/>
  <c r="EF25" i="141"/>
  <c r="EG25" i="141"/>
  <c r="EE26" i="141"/>
  <c r="EF26" i="141"/>
  <c r="EG26" i="141"/>
  <c r="EE27" i="141"/>
  <c r="EF27" i="141"/>
  <c r="EG27" i="141"/>
  <c r="EE28" i="141"/>
  <c r="EF28" i="141"/>
  <c r="EG28" i="141"/>
  <c r="EE29" i="141"/>
  <c r="EF29" i="141"/>
  <c r="EG29" i="141"/>
  <c r="EE30" i="141"/>
  <c r="EF30" i="141"/>
  <c r="EG30" i="141"/>
  <c r="EE31" i="141"/>
  <c r="EF31" i="141"/>
  <c r="EG31" i="141"/>
  <c r="EE32" i="141"/>
  <c r="EF32" i="141"/>
  <c r="EG32" i="141"/>
  <c r="EE33" i="141"/>
  <c r="EF33" i="141"/>
  <c r="EG33" i="141"/>
  <c r="EE34" i="141"/>
  <c r="EF34" i="141"/>
  <c r="EG34" i="141"/>
  <c r="EE35" i="141"/>
  <c r="EF35" i="141"/>
  <c r="EG35" i="141"/>
  <c r="EE36" i="141"/>
  <c r="EF36" i="141"/>
  <c r="EG36" i="141"/>
  <c r="EE37" i="141"/>
  <c r="EF37" i="141"/>
  <c r="EG37" i="141"/>
  <c r="EE38" i="141"/>
  <c r="EF38" i="141"/>
  <c r="EG38" i="141"/>
  <c r="EE39" i="141"/>
  <c r="EF39" i="141"/>
  <c r="EG39" i="141"/>
  <c r="EE40" i="141"/>
  <c r="EF40" i="141"/>
  <c r="EG40" i="141"/>
  <c r="EE41" i="141"/>
  <c r="EF41" i="141"/>
  <c r="EG41" i="141"/>
  <c r="EE42" i="141"/>
  <c r="EF42" i="141"/>
  <c r="EG42" i="141"/>
  <c r="EE43" i="141"/>
  <c r="EF43" i="141"/>
  <c r="EG43" i="141"/>
  <c r="EE44" i="141"/>
  <c r="EF44" i="141"/>
  <c r="EG44" i="141"/>
  <c r="EE45" i="141"/>
  <c r="EF45" i="141"/>
  <c r="EG45" i="141"/>
  <c r="EE46" i="141"/>
  <c r="EF46" i="141"/>
  <c r="EG46" i="141"/>
  <c r="EE47" i="141"/>
  <c r="EF47" i="141"/>
  <c r="EG47" i="141"/>
  <c r="EE48" i="141"/>
  <c r="EF48" i="141"/>
  <c r="EG48" i="141"/>
  <c r="EE49" i="141"/>
  <c r="EF49" i="141"/>
  <c r="EG49" i="141"/>
  <c r="EE50" i="141"/>
  <c r="EF50" i="141"/>
  <c r="EG50" i="141"/>
  <c r="EE51" i="141"/>
  <c r="EF51" i="141"/>
  <c r="EG51" i="141"/>
  <c r="EE52" i="141"/>
  <c r="EF52" i="141"/>
  <c r="EG52" i="141"/>
  <c r="EE53" i="141"/>
  <c r="EF53" i="141"/>
  <c r="EG53" i="141"/>
  <c r="EE54" i="141"/>
  <c r="EF54" i="141"/>
  <c r="EG54" i="141"/>
  <c r="EE55" i="141"/>
  <c r="EF55" i="141"/>
  <c r="EG55" i="141"/>
  <c r="EE56" i="141"/>
  <c r="EF56" i="141"/>
  <c r="EG56" i="141"/>
  <c r="EF3" i="141"/>
  <c r="EG3" i="141"/>
  <c r="EE3" i="141"/>
  <c r="DV4" i="141"/>
  <c r="DV5" i="141"/>
  <c r="DV6" i="141"/>
  <c r="DV7" i="141"/>
  <c r="DV8" i="141"/>
  <c r="DV9" i="141"/>
  <c r="DV10" i="141"/>
  <c r="DV3" i="141"/>
  <c r="P62" i="35"/>
  <c r="P60" i="35"/>
  <c r="P59" i="35"/>
  <c r="P58" i="35"/>
  <c r="P57" i="35"/>
  <c r="P56" i="35"/>
  <c r="P52" i="35"/>
  <c r="P49" i="35"/>
  <c r="P43" i="35"/>
  <c r="P40" i="35"/>
  <c r="P34" i="35"/>
  <c r="P31" i="35"/>
  <c r="P30" i="35"/>
  <c r="P32" i="35"/>
  <c r="P29" i="35"/>
  <c r="P28" i="35"/>
  <c r="P42" i="35"/>
  <c r="P41" i="35"/>
  <c r="P39" i="35"/>
  <c r="P38" i="35"/>
  <c r="P26" i="35"/>
  <c r="P24" i="35"/>
  <c r="P23" i="35"/>
  <c r="P22" i="35"/>
  <c r="EF3" i="137"/>
  <c r="EE3" i="137"/>
  <c r="ED3" i="137"/>
  <c r="R13" i="37"/>
  <c r="R25" i="37"/>
  <c r="R26" i="37"/>
  <c r="R27" i="37"/>
  <c r="R28" i="37"/>
  <c r="R31" i="37"/>
  <c r="R36" i="37"/>
  <c r="M13" i="37"/>
  <c r="M15" i="37"/>
  <c r="M17" i="37"/>
  <c r="M20" i="37"/>
  <c r="M23" i="37"/>
  <c r="M27" i="37"/>
  <c r="M32" i="37"/>
  <c r="M34" i="37"/>
  <c r="M36" i="37"/>
  <c r="M38" i="37"/>
  <c r="M39" i="37"/>
  <c r="M42" i="37"/>
  <c r="M43" i="37"/>
  <c r="M52" i="37"/>
  <c r="M53" i="37"/>
  <c r="M56" i="37"/>
  <c r="M60" i="37"/>
  <c r="M62" i="37"/>
  <c r="M63" i="37"/>
  <c r="K13" i="37"/>
  <c r="K39" i="37"/>
  <c r="L15" i="37"/>
  <c r="L48" i="37"/>
  <c r="M48" i="37" s="1"/>
  <c r="L26" i="37"/>
  <c r="L28" i="37"/>
  <c r="M28" i="37" s="1"/>
  <c r="L27" i="37"/>
  <c r="L18" i="37"/>
  <c r="M18" i="37" s="1"/>
  <c r="L17" i="37"/>
  <c r="L21" i="37"/>
  <c r="M21" i="37" s="1"/>
  <c r="L20" i="37"/>
  <c r="L19" i="37"/>
  <c r="M19" i="37" s="1"/>
  <c r="L62" i="37"/>
  <c r="L59" i="37"/>
  <c r="M59" i="37" s="1"/>
  <c r="L58" i="37"/>
  <c r="M58" i="37" s="1"/>
  <c r="L57" i="37"/>
  <c r="M57" i="37" s="1"/>
  <c r="L56" i="37"/>
  <c r="L55" i="37"/>
  <c r="M55" i="37" s="1"/>
  <c r="L54" i="37"/>
  <c r="M54" i="37" s="1"/>
  <c r="L53" i="37"/>
  <c r="L51" i="37"/>
  <c r="L50" i="37" s="1"/>
  <c r="L49" i="37"/>
  <c r="M49" i="37" s="1"/>
  <c r="L47" i="37"/>
  <c r="M47" i="37" s="1"/>
  <c r="L46" i="37"/>
  <c r="M46" i="37" s="1"/>
  <c r="L38" i="37"/>
  <c r="L31" i="37"/>
  <c r="M31" i="37" s="1"/>
  <c r="I62" i="37"/>
  <c r="I60" i="37"/>
  <c r="I59" i="37"/>
  <c r="I58" i="37"/>
  <c r="I57" i="37"/>
  <c r="I56" i="37"/>
  <c r="I55" i="37"/>
  <c r="I54" i="37"/>
  <c r="I53" i="37"/>
  <c r="I52" i="37"/>
  <c r="I51" i="37"/>
  <c r="I49" i="37"/>
  <c r="I48" i="37"/>
  <c r="I47" i="37"/>
  <c r="I46" i="37"/>
  <c r="I38" i="37"/>
  <c r="I32" i="37"/>
  <c r="I28" i="37"/>
  <c r="I27" i="37"/>
  <c r="I26" i="37"/>
  <c r="M26" i="37" s="1"/>
  <c r="I22" i="37"/>
  <c r="M22" i="37" s="1"/>
  <c r="I21" i="37"/>
  <c r="I20" i="37"/>
  <c r="I19" i="37"/>
  <c r="I18" i="37"/>
  <c r="I17" i="37"/>
  <c r="I15" i="37"/>
  <c r="AG59" i="37"/>
  <c r="AG55" i="37"/>
  <c r="AG51" i="37"/>
  <c r="AG47" i="37"/>
  <c r="AG46" i="37"/>
  <c r="AG39" i="37"/>
  <c r="AG38" i="37" s="1"/>
  <c r="AG37" i="37" s="1"/>
  <c r="AG27" i="37"/>
  <c r="AG26" i="37"/>
  <c r="AG18" i="37"/>
  <c r="AG20" i="37"/>
  <c r="AG19" i="37"/>
  <c r="EJ4" i="142"/>
  <c r="EK4" i="142"/>
  <c r="EL4" i="142"/>
  <c r="EJ5" i="142"/>
  <c r="EK5" i="142"/>
  <c r="EL5" i="142"/>
  <c r="EJ6" i="142"/>
  <c r="EK6" i="142"/>
  <c r="EL6" i="142"/>
  <c r="EJ7" i="142"/>
  <c r="EK7" i="142"/>
  <c r="EL7" i="142"/>
  <c r="EJ8" i="142"/>
  <c r="EK8" i="142"/>
  <c r="EL8" i="142"/>
  <c r="EJ9" i="142"/>
  <c r="EK9" i="142"/>
  <c r="EL9" i="142"/>
  <c r="EJ10" i="142"/>
  <c r="EK10" i="142"/>
  <c r="EL10" i="142"/>
  <c r="EJ11" i="142"/>
  <c r="EK11" i="142"/>
  <c r="EL11" i="142"/>
  <c r="EJ12" i="142"/>
  <c r="EK12" i="142"/>
  <c r="EL12" i="142"/>
  <c r="EJ13" i="142"/>
  <c r="EK13" i="142"/>
  <c r="EL13" i="142"/>
  <c r="EJ14" i="142"/>
  <c r="EK14" i="142"/>
  <c r="EL14" i="142"/>
  <c r="EJ15" i="142"/>
  <c r="EK15" i="142"/>
  <c r="EL15" i="142"/>
  <c r="EJ16" i="142"/>
  <c r="EK16" i="142"/>
  <c r="EL16" i="142"/>
  <c r="EJ17" i="142"/>
  <c r="EK17" i="142"/>
  <c r="EL17" i="142"/>
  <c r="EJ18" i="142"/>
  <c r="EK18" i="142"/>
  <c r="EL18" i="142"/>
  <c r="EJ19" i="142"/>
  <c r="EK19" i="142"/>
  <c r="EL19" i="142"/>
  <c r="EJ20" i="142"/>
  <c r="EK20" i="142"/>
  <c r="EL20" i="142"/>
  <c r="EJ21" i="142"/>
  <c r="EK21" i="142"/>
  <c r="EL21" i="142"/>
  <c r="EJ22" i="142"/>
  <c r="EK22" i="142"/>
  <c r="EL22" i="142"/>
  <c r="EJ23" i="142"/>
  <c r="EK23" i="142"/>
  <c r="EL23" i="142"/>
  <c r="EJ24" i="142"/>
  <c r="EK24" i="142"/>
  <c r="EL24" i="142"/>
  <c r="EJ25" i="142"/>
  <c r="EK25" i="142"/>
  <c r="EL25" i="142"/>
  <c r="EJ26" i="142"/>
  <c r="EK26" i="142"/>
  <c r="EL26" i="142"/>
  <c r="EJ27" i="142"/>
  <c r="EK27" i="142"/>
  <c r="EL27" i="142"/>
  <c r="EJ28" i="142"/>
  <c r="EK28" i="142"/>
  <c r="EL28" i="142"/>
  <c r="EJ29" i="142"/>
  <c r="EK29" i="142"/>
  <c r="EL29" i="142"/>
  <c r="EJ30" i="142"/>
  <c r="EK30" i="142"/>
  <c r="EL30" i="142"/>
  <c r="EJ31" i="142"/>
  <c r="EK31" i="142"/>
  <c r="EL31" i="142"/>
  <c r="EJ32" i="142"/>
  <c r="EK32" i="142"/>
  <c r="EL32" i="142"/>
  <c r="EJ33" i="142"/>
  <c r="EK33" i="142"/>
  <c r="EL33" i="142"/>
  <c r="EJ34" i="142"/>
  <c r="EK34" i="142"/>
  <c r="EL34" i="142"/>
  <c r="EJ35" i="142"/>
  <c r="EK35" i="142"/>
  <c r="EL35" i="142"/>
  <c r="EJ36" i="142"/>
  <c r="EK36" i="142"/>
  <c r="EL36" i="142"/>
  <c r="EJ37" i="142"/>
  <c r="EK37" i="142"/>
  <c r="EL37" i="142"/>
  <c r="EJ38" i="142"/>
  <c r="EK38" i="142"/>
  <c r="EL38" i="142"/>
  <c r="EJ39" i="142"/>
  <c r="EK39" i="142"/>
  <c r="EL39" i="142"/>
  <c r="EJ40" i="142"/>
  <c r="EK40" i="142"/>
  <c r="EL40" i="142"/>
  <c r="EJ41" i="142"/>
  <c r="EK41" i="142"/>
  <c r="EL41" i="142"/>
  <c r="EJ42" i="142"/>
  <c r="EK42" i="142"/>
  <c r="EL42" i="142"/>
  <c r="EJ43" i="142"/>
  <c r="EK43" i="142"/>
  <c r="EL43" i="142"/>
  <c r="EJ44" i="142"/>
  <c r="EK44" i="142"/>
  <c r="EL44" i="142"/>
  <c r="EJ45" i="142"/>
  <c r="EK45" i="142"/>
  <c r="EL45" i="142"/>
  <c r="EJ46" i="142"/>
  <c r="EK46" i="142"/>
  <c r="EL46" i="142"/>
  <c r="EJ47" i="142"/>
  <c r="EK47" i="142"/>
  <c r="EL47" i="142"/>
  <c r="EJ48" i="142"/>
  <c r="EK48" i="142"/>
  <c r="EL48" i="142"/>
  <c r="EJ49" i="142"/>
  <c r="EK49" i="142"/>
  <c r="EL49" i="142"/>
  <c r="EJ50" i="142"/>
  <c r="EK50" i="142"/>
  <c r="EL50" i="142"/>
  <c r="EJ51" i="142"/>
  <c r="EK51" i="142"/>
  <c r="EL51" i="142"/>
  <c r="EJ52" i="142"/>
  <c r="EK52" i="142"/>
  <c r="EL52" i="142"/>
  <c r="EJ53" i="142"/>
  <c r="EK53" i="142"/>
  <c r="EL53" i="142"/>
  <c r="EJ54" i="142"/>
  <c r="EK54" i="142"/>
  <c r="EL54" i="142"/>
  <c r="EJ55" i="142"/>
  <c r="EK55" i="142"/>
  <c r="EL55" i="142"/>
  <c r="EJ56" i="142"/>
  <c r="EK56" i="142"/>
  <c r="EL56" i="142"/>
  <c r="EJ57" i="142"/>
  <c r="EK57" i="142"/>
  <c r="EL57" i="142"/>
  <c r="EJ58" i="142"/>
  <c r="EK58" i="142"/>
  <c r="EL58" i="142"/>
  <c r="EJ59" i="142"/>
  <c r="EK59" i="142"/>
  <c r="EL59" i="142"/>
  <c r="EJ60" i="142"/>
  <c r="EK60" i="142"/>
  <c r="EL60" i="142"/>
  <c r="EJ61" i="142"/>
  <c r="EK61" i="142"/>
  <c r="EL61" i="142"/>
  <c r="EJ62" i="142"/>
  <c r="EK62" i="142"/>
  <c r="EL62" i="142"/>
  <c r="EJ63" i="142"/>
  <c r="EK63" i="142"/>
  <c r="EL63" i="142"/>
  <c r="EJ64" i="142"/>
  <c r="EK64" i="142"/>
  <c r="EL64" i="142"/>
  <c r="EJ65" i="142"/>
  <c r="EK65" i="142"/>
  <c r="EL65" i="142"/>
  <c r="EJ66" i="142"/>
  <c r="EK66" i="142"/>
  <c r="EL66" i="142"/>
  <c r="EJ67" i="142"/>
  <c r="EK67" i="142"/>
  <c r="EL67" i="142"/>
  <c r="EJ68" i="142"/>
  <c r="EK68" i="142"/>
  <c r="EL68" i="142"/>
  <c r="EJ69" i="142"/>
  <c r="EK69" i="142"/>
  <c r="EL69" i="142"/>
  <c r="EJ70" i="142"/>
  <c r="EK70" i="142"/>
  <c r="EL70" i="142"/>
  <c r="EK3" i="142"/>
  <c r="EL3" i="142"/>
  <c r="EJ3" i="142"/>
  <c r="DZ4" i="142"/>
  <c r="DZ5" i="142"/>
  <c r="DZ6" i="142"/>
  <c r="DZ7" i="142"/>
  <c r="DZ8" i="142"/>
  <c r="DZ9" i="142"/>
  <c r="DZ10" i="142"/>
  <c r="DZ11" i="142"/>
  <c r="DZ12" i="142"/>
  <c r="DZ13" i="142"/>
  <c r="DZ14" i="142"/>
  <c r="DZ3" i="142"/>
  <c r="P62" i="37"/>
  <c r="P60" i="37"/>
  <c r="P59" i="37"/>
  <c r="P58" i="37"/>
  <c r="P57" i="37"/>
  <c r="P56" i="37"/>
  <c r="P55" i="37"/>
  <c r="P54" i="37"/>
  <c r="P53" i="37"/>
  <c r="P52" i="37"/>
  <c r="P51" i="37"/>
  <c r="P49" i="37"/>
  <c r="P48" i="37"/>
  <c r="P47" i="37"/>
  <c r="P46" i="37"/>
  <c r="P38" i="37"/>
  <c r="P32" i="37"/>
  <c r="P30" i="37" s="1"/>
  <c r="P23" i="37"/>
  <c r="P22" i="37"/>
  <c r="P21" i="37"/>
  <c r="P20" i="37"/>
  <c r="P19" i="37"/>
  <c r="P18" i="37"/>
  <c r="P17" i="37"/>
  <c r="P15" i="37"/>
  <c r="EB17" i="138"/>
  <c r="DO70" i="142"/>
  <c r="N157" i="4"/>
  <c r="O157" i="4"/>
  <c r="P157" i="4" s="1"/>
  <c r="AB157" i="4"/>
  <c r="AK157" i="4"/>
  <c r="N158" i="4"/>
  <c r="O158" i="4"/>
  <c r="P158" i="4" s="1"/>
  <c r="N159" i="4"/>
  <c r="O159" i="4"/>
  <c r="P159" i="4" s="1"/>
  <c r="N160" i="4"/>
  <c r="O160" i="4"/>
  <c r="P160" i="4" s="1"/>
  <c r="N161" i="4"/>
  <c r="O161" i="4"/>
  <c r="P161" i="4" s="1"/>
  <c r="N162" i="4"/>
  <c r="O162" i="4"/>
  <c r="P162" i="4" s="1"/>
  <c r="N163" i="4"/>
  <c r="O163" i="4"/>
  <c r="P163" i="4" s="1"/>
  <c r="N164" i="4"/>
  <c r="O164" i="4"/>
  <c r="P164" i="4" s="1"/>
  <c r="CP4" i="140"/>
  <c r="CQ4" i="140"/>
  <c r="CR4" i="140"/>
  <c r="CS4" i="140"/>
  <c r="CP5" i="140"/>
  <c r="CQ5" i="140"/>
  <c r="CR5" i="140"/>
  <c r="CS5" i="140"/>
  <c r="CP6" i="140"/>
  <c r="CQ6" i="140"/>
  <c r="CR6" i="140"/>
  <c r="CS6" i="140"/>
  <c r="CP7" i="140"/>
  <c r="CQ7" i="140"/>
  <c r="CR7" i="140"/>
  <c r="CS7" i="140"/>
  <c r="CP8" i="140"/>
  <c r="CQ8" i="140"/>
  <c r="CR8" i="140"/>
  <c r="CS8" i="140"/>
  <c r="CP9" i="140"/>
  <c r="CQ9" i="140"/>
  <c r="CR9" i="140"/>
  <c r="CS9" i="140"/>
  <c r="CP10" i="140"/>
  <c r="CQ10" i="140"/>
  <c r="CR10" i="140"/>
  <c r="CS10" i="140"/>
  <c r="CP11" i="140"/>
  <c r="CQ11" i="140"/>
  <c r="CR11" i="140"/>
  <c r="CS11" i="140"/>
  <c r="CP12" i="140"/>
  <c r="CQ12" i="140"/>
  <c r="CR12" i="140"/>
  <c r="CS12" i="140"/>
  <c r="CP13" i="140"/>
  <c r="CQ13" i="140"/>
  <c r="CR13" i="140"/>
  <c r="CS13" i="140"/>
  <c r="CP14" i="140"/>
  <c r="CQ14" i="140"/>
  <c r="CR14" i="140"/>
  <c r="CS14" i="140"/>
  <c r="CP15" i="140"/>
  <c r="CQ15" i="140"/>
  <c r="CR15" i="140"/>
  <c r="CS15" i="140"/>
  <c r="CP16" i="140"/>
  <c r="CQ16" i="140"/>
  <c r="CR16" i="140"/>
  <c r="CS16" i="140"/>
  <c r="CP17" i="140"/>
  <c r="CQ17" i="140"/>
  <c r="CR17" i="140"/>
  <c r="CS17" i="140"/>
  <c r="CP18" i="140"/>
  <c r="CQ18" i="140"/>
  <c r="CR18" i="140"/>
  <c r="CS18" i="140"/>
  <c r="CP19" i="140"/>
  <c r="CQ19" i="140"/>
  <c r="CR19" i="140"/>
  <c r="CS19" i="140"/>
  <c r="CP20" i="140"/>
  <c r="CQ20" i="140"/>
  <c r="CR20" i="140"/>
  <c r="CS20" i="140"/>
  <c r="CP21" i="140"/>
  <c r="CQ21" i="140"/>
  <c r="CR21" i="140"/>
  <c r="CS21" i="140"/>
  <c r="CP22" i="140"/>
  <c r="CQ22" i="140"/>
  <c r="CR22" i="140"/>
  <c r="CS22" i="140"/>
  <c r="CP23" i="140"/>
  <c r="CQ23" i="140"/>
  <c r="CR23" i="140"/>
  <c r="CS23" i="140"/>
  <c r="CP24" i="140"/>
  <c r="CQ24" i="140"/>
  <c r="CR24" i="140"/>
  <c r="CS24" i="140"/>
  <c r="CP25" i="140"/>
  <c r="CQ25" i="140"/>
  <c r="CR25" i="140"/>
  <c r="CS25" i="140"/>
  <c r="CP26" i="140"/>
  <c r="CQ26" i="140"/>
  <c r="CR26" i="140"/>
  <c r="CS26" i="140"/>
  <c r="CP27" i="140"/>
  <c r="CQ27" i="140"/>
  <c r="CR27" i="140"/>
  <c r="CS27" i="140"/>
  <c r="CP28" i="140"/>
  <c r="CQ28" i="140"/>
  <c r="CR28" i="140"/>
  <c r="CS28" i="140"/>
  <c r="CP29" i="140"/>
  <c r="CQ29" i="140"/>
  <c r="CR29" i="140"/>
  <c r="CS29" i="140"/>
  <c r="CP30" i="140"/>
  <c r="CQ30" i="140"/>
  <c r="CR30" i="140"/>
  <c r="CS30" i="140"/>
  <c r="CP31" i="140"/>
  <c r="CQ31" i="140"/>
  <c r="CR31" i="140"/>
  <c r="CS31" i="140"/>
  <c r="CP32" i="140"/>
  <c r="CQ32" i="140"/>
  <c r="CR32" i="140"/>
  <c r="CS32" i="140"/>
  <c r="CP33" i="140"/>
  <c r="CQ33" i="140"/>
  <c r="CR33" i="140"/>
  <c r="CS33" i="140"/>
  <c r="CP34" i="140"/>
  <c r="CQ34" i="140"/>
  <c r="CR34" i="140"/>
  <c r="CS34" i="140"/>
  <c r="CP35" i="140"/>
  <c r="CQ35" i="140"/>
  <c r="CR35" i="140"/>
  <c r="CS35" i="140"/>
  <c r="CP36" i="140"/>
  <c r="CQ36" i="140"/>
  <c r="CR36" i="140"/>
  <c r="CS36" i="140"/>
  <c r="CP37" i="140"/>
  <c r="CQ37" i="140"/>
  <c r="CR37" i="140"/>
  <c r="CS37" i="140"/>
  <c r="CP38" i="140"/>
  <c r="CQ38" i="140"/>
  <c r="CR38" i="140"/>
  <c r="CS38" i="140"/>
  <c r="CP39" i="140"/>
  <c r="CQ39" i="140"/>
  <c r="CR39" i="140"/>
  <c r="CS39" i="140"/>
  <c r="CP40" i="140"/>
  <c r="CQ40" i="140"/>
  <c r="CR40" i="140"/>
  <c r="CS40" i="140"/>
  <c r="CP41" i="140"/>
  <c r="CQ41" i="140"/>
  <c r="CR41" i="140"/>
  <c r="CS41" i="140"/>
  <c r="CP42" i="140"/>
  <c r="CQ42" i="140"/>
  <c r="CR42" i="140"/>
  <c r="CS42" i="140"/>
  <c r="CP43" i="140"/>
  <c r="CQ43" i="140"/>
  <c r="CR43" i="140"/>
  <c r="CS43" i="140"/>
  <c r="CP44" i="140"/>
  <c r="CQ44" i="140"/>
  <c r="CR44" i="140"/>
  <c r="CS44" i="140"/>
  <c r="CP45" i="140"/>
  <c r="CQ45" i="140"/>
  <c r="CR45" i="140"/>
  <c r="CS45" i="140"/>
  <c r="CP46" i="140"/>
  <c r="CQ46" i="140"/>
  <c r="CR46" i="140"/>
  <c r="CS46" i="140"/>
  <c r="CP47" i="140"/>
  <c r="CQ47" i="140"/>
  <c r="CR47" i="140"/>
  <c r="CS47" i="140"/>
  <c r="CP48" i="140"/>
  <c r="CQ48" i="140"/>
  <c r="CR48" i="140"/>
  <c r="CS48" i="140"/>
  <c r="CP49" i="140"/>
  <c r="CQ49" i="140"/>
  <c r="CR49" i="140"/>
  <c r="CS49" i="140"/>
  <c r="CP50" i="140"/>
  <c r="CQ50" i="140"/>
  <c r="CR50" i="140"/>
  <c r="CS50" i="140"/>
  <c r="CP51" i="140"/>
  <c r="CQ51" i="140"/>
  <c r="CR51" i="140"/>
  <c r="CS51" i="140"/>
  <c r="CP52" i="140"/>
  <c r="CQ52" i="140"/>
  <c r="CR52" i="140"/>
  <c r="CS52" i="140"/>
  <c r="CP53" i="140"/>
  <c r="CQ53" i="140"/>
  <c r="CR53" i="140"/>
  <c r="CS53" i="140"/>
  <c r="CP54" i="140"/>
  <c r="CQ54" i="140"/>
  <c r="CR54" i="140"/>
  <c r="CS54" i="140"/>
  <c r="CP55" i="140"/>
  <c r="CQ55" i="140"/>
  <c r="CR55" i="140"/>
  <c r="CS55" i="140"/>
  <c r="CP56" i="140"/>
  <c r="CQ56" i="140"/>
  <c r="CR56" i="140"/>
  <c r="CS56" i="140"/>
  <c r="CP57" i="140"/>
  <c r="CQ57" i="140"/>
  <c r="CR57" i="140"/>
  <c r="CS57" i="140"/>
  <c r="CP58" i="140"/>
  <c r="CQ58" i="140"/>
  <c r="CR58" i="140"/>
  <c r="CS58" i="140"/>
  <c r="CP59" i="140"/>
  <c r="CQ59" i="140"/>
  <c r="CR59" i="140"/>
  <c r="CS59" i="140"/>
  <c r="CP60" i="140"/>
  <c r="CQ60" i="140"/>
  <c r="CR60" i="140"/>
  <c r="CS60" i="140"/>
  <c r="CP61" i="140"/>
  <c r="CQ61" i="140"/>
  <c r="CR61" i="140"/>
  <c r="CS61" i="140"/>
  <c r="CP62" i="140"/>
  <c r="CQ62" i="140"/>
  <c r="CR62" i="140"/>
  <c r="CS62" i="140"/>
  <c r="CP63" i="140"/>
  <c r="CQ63" i="140"/>
  <c r="CR63" i="140"/>
  <c r="CS63" i="140"/>
  <c r="CP64" i="140"/>
  <c r="CQ64" i="140"/>
  <c r="CR64" i="140"/>
  <c r="CS64" i="140"/>
  <c r="CP65" i="140"/>
  <c r="CQ65" i="140"/>
  <c r="CR65" i="140"/>
  <c r="CS65" i="140"/>
  <c r="CP66" i="140"/>
  <c r="CQ66" i="140"/>
  <c r="CR66" i="140"/>
  <c r="CS66" i="140"/>
  <c r="CP67" i="140"/>
  <c r="CQ67" i="140"/>
  <c r="CR67" i="140"/>
  <c r="CS67" i="140"/>
  <c r="CP68" i="140"/>
  <c r="CQ68" i="140"/>
  <c r="CR68" i="140"/>
  <c r="CS68" i="140"/>
  <c r="CP69" i="140"/>
  <c r="CQ69" i="140"/>
  <c r="CR69" i="140"/>
  <c r="CS69" i="140"/>
  <c r="CP70" i="140"/>
  <c r="CQ70" i="140"/>
  <c r="CR70" i="140"/>
  <c r="CS70" i="140"/>
  <c r="CP71" i="140"/>
  <c r="CQ71" i="140"/>
  <c r="CR71" i="140"/>
  <c r="CS71" i="140"/>
  <c r="CP72" i="140"/>
  <c r="CQ72" i="140"/>
  <c r="CR72" i="140"/>
  <c r="CS72" i="140"/>
  <c r="CP73" i="140"/>
  <c r="CQ73" i="140"/>
  <c r="CR73" i="140"/>
  <c r="CS73" i="140"/>
  <c r="CP74" i="140"/>
  <c r="CQ74" i="140"/>
  <c r="CR74" i="140"/>
  <c r="CS74" i="140"/>
  <c r="CP75" i="140"/>
  <c r="CQ75" i="140"/>
  <c r="CR75" i="140"/>
  <c r="CS75" i="140"/>
  <c r="CP76" i="140"/>
  <c r="CQ76" i="140"/>
  <c r="CR76" i="140"/>
  <c r="CS76" i="140"/>
  <c r="CP77" i="140"/>
  <c r="CQ77" i="140"/>
  <c r="CR77" i="140"/>
  <c r="CS77" i="140"/>
  <c r="CP78" i="140"/>
  <c r="CQ78" i="140"/>
  <c r="CR78" i="140"/>
  <c r="CS78" i="140"/>
  <c r="CP79" i="140"/>
  <c r="CQ79" i="140"/>
  <c r="CR79" i="140"/>
  <c r="CS79" i="140"/>
  <c r="CP80" i="140"/>
  <c r="CQ80" i="140"/>
  <c r="CR80" i="140"/>
  <c r="CS80" i="140"/>
  <c r="CP81" i="140"/>
  <c r="CQ81" i="140"/>
  <c r="CR81" i="140"/>
  <c r="CS81" i="140"/>
  <c r="CP82" i="140"/>
  <c r="CQ82" i="140"/>
  <c r="CR82" i="140"/>
  <c r="CS82" i="140"/>
  <c r="CP83" i="140"/>
  <c r="CQ83" i="140"/>
  <c r="CR83" i="140"/>
  <c r="CS83" i="140"/>
  <c r="CP84" i="140"/>
  <c r="CQ84" i="140"/>
  <c r="CR84" i="140"/>
  <c r="CS84" i="140"/>
  <c r="CP85" i="140"/>
  <c r="CQ85" i="140"/>
  <c r="CR85" i="140"/>
  <c r="CS85" i="140"/>
  <c r="CP86" i="140"/>
  <c r="CQ86" i="140"/>
  <c r="CR86" i="140"/>
  <c r="CS86" i="140"/>
  <c r="CP87" i="140"/>
  <c r="CQ87" i="140"/>
  <c r="CR87" i="140"/>
  <c r="CS87" i="140"/>
  <c r="CP88" i="140"/>
  <c r="CQ88" i="140"/>
  <c r="CR88" i="140"/>
  <c r="CS88" i="140"/>
  <c r="CP89" i="140"/>
  <c r="CQ89" i="140"/>
  <c r="CR89" i="140"/>
  <c r="CS89" i="140"/>
  <c r="CP90" i="140"/>
  <c r="CQ90" i="140"/>
  <c r="CR90" i="140"/>
  <c r="CS90" i="140"/>
  <c r="CP91" i="140"/>
  <c r="CQ91" i="140"/>
  <c r="CR91" i="140"/>
  <c r="CS91" i="140"/>
  <c r="CP92" i="140"/>
  <c r="CQ92" i="140"/>
  <c r="CR92" i="140"/>
  <c r="CS92" i="140"/>
  <c r="CP93" i="140"/>
  <c r="CQ93" i="140"/>
  <c r="CR93" i="140"/>
  <c r="CS93" i="140"/>
  <c r="CP94" i="140"/>
  <c r="CQ94" i="140"/>
  <c r="CR94" i="140"/>
  <c r="CS94" i="140"/>
  <c r="CP95" i="140"/>
  <c r="CQ95" i="140"/>
  <c r="CR95" i="140"/>
  <c r="CS95" i="140"/>
  <c r="CP96" i="140"/>
  <c r="CQ96" i="140"/>
  <c r="CR96" i="140"/>
  <c r="CS96" i="140"/>
  <c r="CP97" i="140"/>
  <c r="CQ97" i="140"/>
  <c r="CR97" i="140"/>
  <c r="CS97" i="140"/>
  <c r="CP98" i="140"/>
  <c r="CQ98" i="140"/>
  <c r="CR98" i="140"/>
  <c r="CS98" i="140"/>
  <c r="CP99" i="140"/>
  <c r="CQ99" i="140"/>
  <c r="CR99" i="140"/>
  <c r="CS99" i="140"/>
  <c r="CP100" i="140"/>
  <c r="CQ100" i="140"/>
  <c r="CR100" i="140"/>
  <c r="CS100" i="140"/>
  <c r="CP101" i="140"/>
  <c r="CQ101" i="140"/>
  <c r="CR101" i="140"/>
  <c r="CS101" i="140"/>
  <c r="CP102" i="140"/>
  <c r="CQ102" i="140"/>
  <c r="CR102" i="140"/>
  <c r="CS102" i="140"/>
  <c r="CP103" i="140"/>
  <c r="CQ103" i="140"/>
  <c r="CR103" i="140"/>
  <c r="CS103" i="140"/>
  <c r="CP104" i="140"/>
  <c r="CQ104" i="140"/>
  <c r="CR104" i="140"/>
  <c r="CS104" i="140"/>
  <c r="CP105" i="140"/>
  <c r="CQ105" i="140"/>
  <c r="CR105" i="140"/>
  <c r="CS105" i="140"/>
  <c r="CP106" i="140"/>
  <c r="CQ106" i="140"/>
  <c r="CR106" i="140"/>
  <c r="CS106" i="140"/>
  <c r="CP107" i="140"/>
  <c r="CQ107" i="140"/>
  <c r="CR107" i="140"/>
  <c r="CS107" i="140"/>
  <c r="CP108" i="140"/>
  <c r="CQ108" i="140"/>
  <c r="CR108" i="140"/>
  <c r="CS108" i="140"/>
  <c r="CP109" i="140"/>
  <c r="CQ109" i="140"/>
  <c r="CR109" i="140"/>
  <c r="CS109" i="140"/>
  <c r="CP110" i="140"/>
  <c r="CQ110" i="140"/>
  <c r="CR110" i="140"/>
  <c r="CS110" i="140"/>
  <c r="CP111" i="140"/>
  <c r="CQ111" i="140"/>
  <c r="CR111" i="140"/>
  <c r="CS111" i="140"/>
  <c r="CP112" i="140"/>
  <c r="CQ112" i="140"/>
  <c r="CR112" i="140"/>
  <c r="CS112" i="140"/>
  <c r="CP113" i="140"/>
  <c r="CQ113" i="140"/>
  <c r="CR113" i="140"/>
  <c r="CS113" i="140"/>
  <c r="CP114" i="140"/>
  <c r="CQ114" i="140"/>
  <c r="CR114" i="140"/>
  <c r="CS114" i="140"/>
  <c r="CP115" i="140"/>
  <c r="CQ115" i="140"/>
  <c r="CR115" i="140"/>
  <c r="CS115" i="140"/>
  <c r="CP116" i="140"/>
  <c r="CQ116" i="140"/>
  <c r="CR116" i="140"/>
  <c r="CS116" i="140"/>
  <c r="CP117" i="140"/>
  <c r="CQ117" i="140"/>
  <c r="CR117" i="140"/>
  <c r="CS117" i="140"/>
  <c r="CP118" i="140"/>
  <c r="CQ118" i="140"/>
  <c r="CR118" i="140"/>
  <c r="CS118" i="140"/>
  <c r="CP119" i="140"/>
  <c r="CQ119" i="140"/>
  <c r="CR119" i="140"/>
  <c r="CS119" i="140"/>
  <c r="CP120" i="140"/>
  <c r="CQ120" i="140"/>
  <c r="CR120" i="140"/>
  <c r="CS120" i="140"/>
  <c r="CP121" i="140"/>
  <c r="CQ121" i="140"/>
  <c r="CR121" i="140"/>
  <c r="CS121" i="140"/>
  <c r="CP122" i="140"/>
  <c r="CQ122" i="140"/>
  <c r="CR122" i="140"/>
  <c r="CS122" i="140"/>
  <c r="CP123" i="140"/>
  <c r="CQ123" i="140"/>
  <c r="CR123" i="140"/>
  <c r="CS123" i="140"/>
  <c r="CP124" i="140"/>
  <c r="CQ124" i="140"/>
  <c r="CR124" i="140"/>
  <c r="CS124" i="140"/>
  <c r="CP125" i="140"/>
  <c r="CQ125" i="140"/>
  <c r="CR125" i="140"/>
  <c r="CS125" i="140"/>
  <c r="CP126" i="140"/>
  <c r="CQ126" i="140"/>
  <c r="CR126" i="140"/>
  <c r="CS126" i="140"/>
  <c r="CP127" i="140"/>
  <c r="CQ127" i="140"/>
  <c r="CR127" i="140"/>
  <c r="CS127" i="140"/>
  <c r="CP128" i="140"/>
  <c r="CQ128" i="140"/>
  <c r="CR128" i="140"/>
  <c r="CS128" i="140"/>
  <c r="CP129" i="140"/>
  <c r="CQ129" i="140"/>
  <c r="CR129" i="140"/>
  <c r="CS129" i="140"/>
  <c r="CP130" i="140"/>
  <c r="CQ130" i="140"/>
  <c r="CR130" i="140"/>
  <c r="CS130" i="140"/>
  <c r="CP131" i="140"/>
  <c r="CQ131" i="140"/>
  <c r="CR131" i="140"/>
  <c r="CS131" i="140"/>
  <c r="CP132" i="140"/>
  <c r="CQ132" i="140"/>
  <c r="CR132" i="140"/>
  <c r="CS132" i="140"/>
  <c r="CP133" i="140"/>
  <c r="CQ133" i="140"/>
  <c r="CR133" i="140"/>
  <c r="CS133" i="140"/>
  <c r="CP134" i="140"/>
  <c r="CQ134" i="140"/>
  <c r="CR134" i="140"/>
  <c r="CS134" i="140"/>
  <c r="CP135" i="140"/>
  <c r="CQ135" i="140"/>
  <c r="CR135" i="140"/>
  <c r="CS135" i="140"/>
  <c r="CP136" i="140"/>
  <c r="CQ136" i="140"/>
  <c r="CR136" i="140"/>
  <c r="CS136" i="140"/>
  <c r="CP137" i="140"/>
  <c r="CQ137" i="140"/>
  <c r="CR137" i="140"/>
  <c r="CS137" i="140"/>
  <c r="CP138" i="140"/>
  <c r="CQ138" i="140"/>
  <c r="CR138" i="140"/>
  <c r="CS138" i="140"/>
  <c r="CP139" i="140"/>
  <c r="CQ139" i="140"/>
  <c r="CR139" i="140"/>
  <c r="CS139" i="140"/>
  <c r="CP140" i="140"/>
  <c r="CQ140" i="140"/>
  <c r="CR140" i="140"/>
  <c r="CS140" i="140"/>
  <c r="CP141" i="140"/>
  <c r="CQ141" i="140"/>
  <c r="CR141" i="140"/>
  <c r="CS141" i="140"/>
  <c r="CP142" i="140"/>
  <c r="CQ142" i="140"/>
  <c r="CR142" i="140"/>
  <c r="CS142" i="140"/>
  <c r="CP143" i="140"/>
  <c r="CQ143" i="140"/>
  <c r="CR143" i="140"/>
  <c r="CS143" i="140"/>
  <c r="CP144" i="140"/>
  <c r="CQ144" i="140"/>
  <c r="CR144" i="140"/>
  <c r="CS144" i="140"/>
  <c r="CP145" i="140"/>
  <c r="CQ145" i="140"/>
  <c r="CR145" i="140"/>
  <c r="CS145" i="140"/>
  <c r="CP146" i="140"/>
  <c r="CQ146" i="140"/>
  <c r="CR146" i="140"/>
  <c r="CS146" i="140"/>
  <c r="CP147" i="140"/>
  <c r="CQ147" i="140"/>
  <c r="CR147" i="140"/>
  <c r="CS147" i="140"/>
  <c r="CP148" i="140"/>
  <c r="CQ148" i="140"/>
  <c r="CR148" i="140"/>
  <c r="CS148" i="140"/>
  <c r="CP149" i="140"/>
  <c r="CQ149" i="140"/>
  <c r="CR149" i="140"/>
  <c r="CS149" i="140"/>
  <c r="CP150" i="140"/>
  <c r="CQ150" i="140"/>
  <c r="CR150" i="140"/>
  <c r="CS150" i="140"/>
  <c r="CP151" i="140"/>
  <c r="CQ151" i="140"/>
  <c r="CR151" i="140"/>
  <c r="CS151" i="140"/>
  <c r="CP152" i="140"/>
  <c r="CQ152" i="140"/>
  <c r="CR152" i="140"/>
  <c r="CS152" i="140"/>
  <c r="CP153" i="140"/>
  <c r="CQ153" i="140"/>
  <c r="CR153" i="140"/>
  <c r="CS153" i="140"/>
  <c r="CP154" i="140"/>
  <c r="CQ154" i="140"/>
  <c r="CR154" i="140"/>
  <c r="CS154" i="140"/>
  <c r="CP155" i="140"/>
  <c r="CQ155" i="140"/>
  <c r="CR155" i="140"/>
  <c r="CS155" i="140"/>
  <c r="CP156" i="140"/>
  <c r="CQ156" i="140"/>
  <c r="CR156" i="140"/>
  <c r="CS156" i="140"/>
  <c r="CP157" i="140"/>
  <c r="CQ157" i="140"/>
  <c r="CR157" i="140"/>
  <c r="CS157" i="140"/>
  <c r="CP158" i="140"/>
  <c r="CQ158" i="140"/>
  <c r="CR158" i="140"/>
  <c r="CS158" i="140"/>
  <c r="CP159" i="140"/>
  <c r="CQ159" i="140"/>
  <c r="CR159" i="140"/>
  <c r="CS159" i="140"/>
  <c r="CQ3" i="140"/>
  <c r="CR3" i="140"/>
  <c r="CS3" i="140"/>
  <c r="CP3" i="140"/>
  <c r="CI4" i="140"/>
  <c r="AF11" i="4" s="1"/>
  <c r="CI5" i="140"/>
  <c r="AF12" i="4" s="1"/>
  <c r="CI6" i="140"/>
  <c r="AF13" i="4" s="1"/>
  <c r="CI7" i="140"/>
  <c r="AF14" i="4" s="1"/>
  <c r="CI8" i="140"/>
  <c r="AF15" i="4" s="1"/>
  <c r="CI9" i="140"/>
  <c r="AF17" i="4" s="1"/>
  <c r="CI10" i="140"/>
  <c r="AF18" i="4" s="1"/>
  <c r="CI11" i="140"/>
  <c r="AF19" i="4" s="1"/>
  <c r="CI12" i="140"/>
  <c r="AF20" i="4" s="1"/>
  <c r="CI13" i="140"/>
  <c r="AF21" i="4" s="1"/>
  <c r="CI14" i="140"/>
  <c r="AF23" i="4" s="1"/>
  <c r="CI15" i="140"/>
  <c r="AF26" i="4" s="1"/>
  <c r="CI16" i="140"/>
  <c r="AF27" i="4" s="1"/>
  <c r="CI17" i="140"/>
  <c r="AF28" i="4" s="1"/>
  <c r="CI18" i="140"/>
  <c r="AF33" i="4" s="1"/>
  <c r="CI19" i="140"/>
  <c r="AF34" i="4" s="1"/>
  <c r="CI20" i="140"/>
  <c r="AF36" i="4" s="1"/>
  <c r="CI21" i="140"/>
  <c r="AF42" i="4" s="1"/>
  <c r="CI22" i="140"/>
  <c r="AF43" i="4" s="1"/>
  <c r="CI23" i="140"/>
  <c r="AF44" i="4" s="1"/>
  <c r="CI24" i="140"/>
  <c r="AF45" i="4" s="1"/>
  <c r="CI25" i="140"/>
  <c r="AF46" i="4" s="1"/>
  <c r="CI26" i="140"/>
  <c r="AF47" i="4" s="1"/>
  <c r="CI27" i="140"/>
  <c r="AF49" i="4" s="1"/>
  <c r="CI28" i="140"/>
  <c r="AF50" i="4" s="1"/>
  <c r="CI29" i="140"/>
  <c r="AF51" i="4" s="1"/>
  <c r="CI30" i="140"/>
  <c r="AF54" i="4" s="1"/>
  <c r="CI31" i="140"/>
  <c r="AF57" i="4" s="1"/>
  <c r="CI32" i="140"/>
  <c r="AF58" i="4" s="1"/>
  <c r="CI33" i="140"/>
  <c r="AF59" i="4" s="1"/>
  <c r="CI34" i="140"/>
  <c r="AF64" i="4" s="1"/>
  <c r="CI35" i="140"/>
  <c r="AF65" i="4" s="1"/>
  <c r="CI36" i="140"/>
  <c r="AF66" i="4" s="1"/>
  <c r="CI37" i="140"/>
  <c r="AF67" i="4" s="1"/>
  <c r="CI38" i="140"/>
  <c r="AF73" i="4" s="1"/>
  <c r="CI39" i="140"/>
  <c r="AF74" i="4" s="1"/>
  <c r="CI40" i="140"/>
  <c r="AF75" i="4" s="1"/>
  <c r="CI41" i="140"/>
  <c r="AF76" i="4" s="1"/>
  <c r="CI42" i="140"/>
  <c r="AF80" i="4" s="1"/>
  <c r="CI43" i="140"/>
  <c r="AF89" i="4" s="1"/>
  <c r="CI44" i="140"/>
  <c r="AF93" i="4" s="1"/>
  <c r="CI45" i="140"/>
  <c r="AF95" i="4" s="1"/>
  <c r="CI46" i="140"/>
  <c r="AF97" i="4" s="1"/>
  <c r="CI47" i="140"/>
  <c r="AF99" i="4" s="1"/>
  <c r="CI48" i="140"/>
  <c r="AF101" i="4" s="1"/>
  <c r="CI49" i="140"/>
  <c r="AF102" i="4" s="1"/>
  <c r="CI50" i="140"/>
  <c r="AF103" i="4" s="1"/>
  <c r="CI51" i="140"/>
  <c r="AF104" i="4" s="1"/>
  <c r="CI52" i="140"/>
  <c r="AF105" i="4" s="1"/>
  <c r="CI53" i="140"/>
  <c r="AF111" i="4" s="1"/>
  <c r="CI54" i="140"/>
  <c r="AF112" i="4" s="1"/>
  <c r="CI55" i="140"/>
  <c r="AF113" i="4" s="1"/>
  <c r="CI56" i="140"/>
  <c r="AF114" i="4" s="1"/>
  <c r="CI57" i="140"/>
  <c r="AF119" i="4" s="1"/>
  <c r="CI58" i="140"/>
  <c r="AF124" i="4" s="1"/>
  <c r="CI59" i="140"/>
  <c r="AF125" i="4" s="1"/>
  <c r="CI60" i="140"/>
  <c r="AF128" i="4" s="1"/>
  <c r="CI61" i="140"/>
  <c r="AF129" i="4" s="1"/>
  <c r="CI62" i="140"/>
  <c r="AF131" i="4" s="1"/>
  <c r="CI63" i="140"/>
  <c r="AF132" i="4" s="1"/>
  <c r="CI64" i="140"/>
  <c r="AF133" i="4" s="1"/>
  <c r="CI65" i="140"/>
  <c r="AF134" i="4" s="1"/>
  <c r="CI66" i="140"/>
  <c r="AF135" i="4" s="1"/>
  <c r="CI67" i="140"/>
  <c r="AF136" i="4" s="1"/>
  <c r="CI68" i="140"/>
  <c r="AF137" i="4" s="1"/>
  <c r="CI69" i="140"/>
  <c r="AF138" i="4" s="1"/>
  <c r="CI70" i="140"/>
  <c r="AF140" i="4" s="1"/>
  <c r="CI71" i="140"/>
  <c r="AF141" i="4" s="1"/>
  <c r="CI72" i="140"/>
  <c r="AF142" i="4" s="1"/>
  <c r="CI73" i="140"/>
  <c r="AF143" i="4" s="1"/>
  <c r="CI74" i="140"/>
  <c r="AF145" i="4" s="1"/>
  <c r="CI75" i="140"/>
  <c r="AF146" i="4" s="1"/>
  <c r="CI76" i="140"/>
  <c r="AF149" i="4" s="1"/>
  <c r="CI77" i="140"/>
  <c r="AF152" i="4" s="1"/>
  <c r="CI78" i="140"/>
  <c r="AF154" i="4" s="1"/>
  <c r="CI79" i="140"/>
  <c r="AF156" i="4" s="1"/>
  <c r="CI80" i="140"/>
  <c r="AF185" i="4" s="1"/>
  <c r="CI81" i="140"/>
  <c r="AF186" i="4" s="1"/>
  <c r="CI82" i="140"/>
  <c r="AF187" i="4" s="1"/>
  <c r="CI83" i="140"/>
  <c r="AF188" i="4" s="1"/>
  <c r="CI84" i="140"/>
  <c r="AF189" i="4" s="1"/>
  <c r="CI85" i="140"/>
  <c r="AF194" i="4" s="1"/>
  <c r="CI86" i="140"/>
  <c r="AF202" i="4" s="1"/>
  <c r="CI87" i="140"/>
  <c r="AF203" i="4" s="1"/>
  <c r="CI88" i="140"/>
  <c r="AF208" i="4" s="1"/>
  <c r="CI89" i="140"/>
  <c r="AF210" i="4" s="1"/>
  <c r="CI3" i="140"/>
  <c r="AF10" i="4" s="1"/>
  <c r="N51" i="54"/>
  <c r="N258" i="39" s="1"/>
  <c r="CV4" i="143"/>
  <c r="CW4" i="143"/>
  <c r="CX4" i="143"/>
  <c r="CV5" i="143"/>
  <c r="CW5" i="143"/>
  <c r="CX5" i="143"/>
  <c r="CV6" i="143"/>
  <c r="CW6" i="143"/>
  <c r="CX6" i="143"/>
  <c r="CV7" i="143"/>
  <c r="CW7" i="143"/>
  <c r="CX7" i="143"/>
  <c r="CV8" i="143"/>
  <c r="CW8" i="143"/>
  <c r="CX8" i="143"/>
  <c r="CV9" i="143"/>
  <c r="CW9" i="143"/>
  <c r="CX9" i="143"/>
  <c r="CV10" i="143"/>
  <c r="CW10" i="143"/>
  <c r="CX10" i="143"/>
  <c r="CV11" i="143"/>
  <c r="CW11" i="143"/>
  <c r="CX11" i="143"/>
  <c r="CV12" i="143"/>
  <c r="CW12" i="143"/>
  <c r="CX12" i="143"/>
  <c r="CV13" i="143"/>
  <c r="CW13" i="143"/>
  <c r="CX13" i="143"/>
  <c r="CV14" i="143"/>
  <c r="CW14" i="143"/>
  <c r="CX14" i="143"/>
  <c r="CV15" i="143"/>
  <c r="CW15" i="143"/>
  <c r="CX15" i="143"/>
  <c r="CV16" i="143"/>
  <c r="CW16" i="143"/>
  <c r="CX16" i="143"/>
  <c r="CV17" i="143"/>
  <c r="CW17" i="143"/>
  <c r="CX17" i="143"/>
  <c r="CV18" i="143"/>
  <c r="CW18" i="143"/>
  <c r="CX18" i="143"/>
  <c r="CV19" i="143"/>
  <c r="CW19" i="143"/>
  <c r="CX19" i="143"/>
  <c r="CV20" i="143"/>
  <c r="CW20" i="143"/>
  <c r="CX20" i="143"/>
  <c r="CV21" i="143"/>
  <c r="CW21" i="143"/>
  <c r="CX21" i="143"/>
  <c r="CV22" i="143"/>
  <c r="CW22" i="143"/>
  <c r="CX22" i="143"/>
  <c r="CV23" i="143"/>
  <c r="CW23" i="143"/>
  <c r="CX23" i="143"/>
  <c r="CV24" i="143"/>
  <c r="CW24" i="143"/>
  <c r="CX24" i="143"/>
  <c r="CV25" i="143"/>
  <c r="CW25" i="143"/>
  <c r="CX25" i="143"/>
  <c r="CV26" i="143"/>
  <c r="CW26" i="143"/>
  <c r="CX26" i="143"/>
  <c r="CW3" i="143"/>
  <c r="CX3" i="143"/>
  <c r="CV3" i="143"/>
  <c r="P70" i="54"/>
  <c r="N23" i="35"/>
  <c r="O23" i="35" s="1"/>
  <c r="AE62" i="35"/>
  <c r="AE58" i="35"/>
  <c r="DM4" i="141"/>
  <c r="DN4" i="141"/>
  <c r="DO4" i="141"/>
  <c r="DM5" i="141"/>
  <c r="DN5" i="141"/>
  <c r="DO5" i="141"/>
  <c r="DM6" i="141"/>
  <c r="DN6" i="141"/>
  <c r="DO6" i="141"/>
  <c r="DM7" i="141"/>
  <c r="DN7" i="141"/>
  <c r="DO7" i="141"/>
  <c r="DM8" i="141"/>
  <c r="DN8" i="141"/>
  <c r="DO8" i="141"/>
  <c r="DM9" i="141"/>
  <c r="DN9" i="141"/>
  <c r="DO9" i="141"/>
  <c r="DM10" i="141"/>
  <c r="DN10" i="141"/>
  <c r="DO10" i="141"/>
  <c r="DM11" i="141"/>
  <c r="DN11" i="141"/>
  <c r="DO11" i="141"/>
  <c r="DM12" i="141"/>
  <c r="DN12" i="141"/>
  <c r="DO12" i="141"/>
  <c r="DM13" i="141"/>
  <c r="DN13" i="141"/>
  <c r="DO13" i="141"/>
  <c r="DM14" i="141"/>
  <c r="DN14" i="141"/>
  <c r="DO14" i="141"/>
  <c r="DM15" i="141"/>
  <c r="DN15" i="141"/>
  <c r="DO15" i="141"/>
  <c r="DM16" i="141"/>
  <c r="DN16" i="141"/>
  <c r="DO16" i="141"/>
  <c r="DM17" i="141"/>
  <c r="DN17" i="141"/>
  <c r="DO17" i="141"/>
  <c r="DM18" i="141"/>
  <c r="DN18" i="141"/>
  <c r="DO18" i="141"/>
  <c r="DM19" i="141"/>
  <c r="DN19" i="141"/>
  <c r="DO19" i="141"/>
  <c r="DM20" i="141"/>
  <c r="DN20" i="141"/>
  <c r="DO20" i="141"/>
  <c r="DM21" i="141"/>
  <c r="DN21" i="141"/>
  <c r="DO21" i="141"/>
  <c r="DM22" i="141"/>
  <c r="DN22" i="141"/>
  <c r="DO22" i="141"/>
  <c r="DM23" i="141"/>
  <c r="DN23" i="141"/>
  <c r="DO23" i="141"/>
  <c r="DM24" i="141"/>
  <c r="DN24" i="141"/>
  <c r="DO24" i="141"/>
  <c r="DM25" i="141"/>
  <c r="DN25" i="141"/>
  <c r="DO25" i="141"/>
  <c r="DM26" i="141"/>
  <c r="DN26" i="141"/>
  <c r="DO26" i="141"/>
  <c r="DM27" i="141"/>
  <c r="DN27" i="141"/>
  <c r="DO27" i="141"/>
  <c r="DM28" i="141"/>
  <c r="DN28" i="141"/>
  <c r="DO28" i="141"/>
  <c r="DM29" i="141"/>
  <c r="DN29" i="141"/>
  <c r="DO29" i="141"/>
  <c r="DM30" i="141"/>
  <c r="DN30" i="141"/>
  <c r="DO30" i="141"/>
  <c r="DM31" i="141"/>
  <c r="DN31" i="141"/>
  <c r="DO31" i="141"/>
  <c r="DM32" i="141"/>
  <c r="DN32" i="141"/>
  <c r="DO32" i="141"/>
  <c r="DM33" i="141"/>
  <c r="DN33" i="141"/>
  <c r="DO33" i="141"/>
  <c r="DM34" i="141"/>
  <c r="DN34" i="141"/>
  <c r="DO34" i="141"/>
  <c r="DM35" i="141"/>
  <c r="DN35" i="141"/>
  <c r="DO35" i="141"/>
  <c r="DM36" i="141"/>
  <c r="DN36" i="141"/>
  <c r="DO36" i="141"/>
  <c r="DM37" i="141"/>
  <c r="DN37" i="141"/>
  <c r="DO37" i="141"/>
  <c r="DM38" i="141"/>
  <c r="DN38" i="141"/>
  <c r="DO38" i="141"/>
  <c r="DM39" i="141"/>
  <c r="DN39" i="141"/>
  <c r="DO39" i="141"/>
  <c r="DM40" i="141"/>
  <c r="DN40" i="141"/>
  <c r="DO40" i="141"/>
  <c r="DM41" i="141"/>
  <c r="DN41" i="141"/>
  <c r="DO41" i="141"/>
  <c r="DM42" i="141"/>
  <c r="DN42" i="141"/>
  <c r="DO42" i="141"/>
  <c r="DM43" i="141"/>
  <c r="DN43" i="141"/>
  <c r="DO43" i="141"/>
  <c r="DM44" i="141"/>
  <c r="DN44" i="141"/>
  <c r="DO44" i="141"/>
  <c r="DM45" i="141"/>
  <c r="DN45" i="141"/>
  <c r="DO45" i="141"/>
  <c r="DM46" i="141"/>
  <c r="DN46" i="141"/>
  <c r="DO46" i="141"/>
  <c r="DM47" i="141"/>
  <c r="DN47" i="141"/>
  <c r="DO47" i="141"/>
  <c r="DM48" i="141"/>
  <c r="DN48" i="141"/>
  <c r="DO48" i="141"/>
  <c r="DM49" i="141"/>
  <c r="DN49" i="141"/>
  <c r="DO49" i="141"/>
  <c r="DM50" i="141"/>
  <c r="DN50" i="141"/>
  <c r="DO50" i="141"/>
  <c r="DM51" i="141"/>
  <c r="DN51" i="141"/>
  <c r="DO51" i="141"/>
  <c r="DM52" i="141"/>
  <c r="DN52" i="141"/>
  <c r="DO52" i="141"/>
  <c r="DM53" i="141"/>
  <c r="DN53" i="141"/>
  <c r="DO53" i="141"/>
  <c r="DM54" i="141"/>
  <c r="DN54" i="141"/>
  <c r="DO54" i="141"/>
  <c r="DM55" i="141"/>
  <c r="DN55" i="141"/>
  <c r="DO55" i="141"/>
  <c r="DM56" i="141"/>
  <c r="DN56" i="141"/>
  <c r="DO56" i="141"/>
  <c r="DN3" i="141"/>
  <c r="DO3" i="141"/>
  <c r="DM3" i="141"/>
  <c r="DD4" i="141"/>
  <c r="AE15" i="35" s="1"/>
  <c r="DD5" i="141"/>
  <c r="AE26" i="35" s="1"/>
  <c r="AE21" i="35" s="1"/>
  <c r="DD6" i="141"/>
  <c r="AE42" i="35" s="1"/>
  <c r="AE37" i="35" s="1"/>
  <c r="DD7" i="141"/>
  <c r="AE57" i="35" s="1"/>
  <c r="AE55" i="35" s="1"/>
  <c r="AE54" i="35" s="1"/>
  <c r="AE53" i="35" s="1"/>
  <c r="DD8" i="141"/>
  <c r="DD3" i="141"/>
  <c r="AE18" i="35" s="1"/>
  <c r="AE41" i="37"/>
  <c r="AE37" i="37"/>
  <c r="AE29" i="37"/>
  <c r="AE59" i="37"/>
  <c r="AE58" i="37"/>
  <c r="AE57" i="37"/>
  <c r="AE56" i="37"/>
  <c r="AE55" i="37"/>
  <c r="AE54" i="37"/>
  <c r="AE53" i="37"/>
  <c r="AE51" i="37"/>
  <c r="AE48" i="37"/>
  <c r="AE47" i="37"/>
  <c r="AE46" i="37"/>
  <c r="AE26" i="37"/>
  <c r="AE28" i="37"/>
  <c r="J28" i="37" s="1"/>
  <c r="K28" i="37" s="1"/>
  <c r="AE18" i="37"/>
  <c r="AE17" i="37"/>
  <c r="AE20" i="37"/>
  <c r="AE19" i="37"/>
  <c r="DE4" i="142"/>
  <c r="DE5" i="142"/>
  <c r="DE6" i="142"/>
  <c r="DE7" i="142"/>
  <c r="DE8" i="142"/>
  <c r="DE9" i="142"/>
  <c r="DE10" i="142"/>
  <c r="DE11" i="142"/>
  <c r="DE12" i="142"/>
  <c r="DE13" i="142"/>
  <c r="DE14" i="142"/>
  <c r="DE15" i="142"/>
  <c r="DE16" i="142"/>
  <c r="DE17" i="142"/>
  <c r="DE18" i="142"/>
  <c r="DE19" i="142"/>
  <c r="DE20" i="142"/>
  <c r="DE21" i="142"/>
  <c r="DE3" i="142"/>
  <c r="DO4" i="142"/>
  <c r="DP4" i="142"/>
  <c r="DQ4" i="142"/>
  <c r="DO5" i="142"/>
  <c r="DP5" i="142"/>
  <c r="DQ5" i="142"/>
  <c r="DO6" i="142"/>
  <c r="DP6" i="142"/>
  <c r="DQ6" i="142"/>
  <c r="DO7" i="142"/>
  <c r="DP7" i="142"/>
  <c r="DQ7" i="142"/>
  <c r="DO8" i="142"/>
  <c r="DP8" i="142"/>
  <c r="DQ8" i="142"/>
  <c r="DO9" i="142"/>
  <c r="DP9" i="142"/>
  <c r="DQ9" i="142"/>
  <c r="DO10" i="142"/>
  <c r="DP10" i="142"/>
  <c r="DQ10" i="142"/>
  <c r="DO11" i="142"/>
  <c r="DP11" i="142"/>
  <c r="DQ11" i="142"/>
  <c r="DO12" i="142"/>
  <c r="DP12" i="142"/>
  <c r="DQ12" i="142"/>
  <c r="DO13" i="142"/>
  <c r="DP13" i="142"/>
  <c r="DQ13" i="142"/>
  <c r="DO14" i="142"/>
  <c r="DP14" i="142"/>
  <c r="DQ14" i="142"/>
  <c r="DO15" i="142"/>
  <c r="DP15" i="142"/>
  <c r="DQ15" i="142"/>
  <c r="DO16" i="142"/>
  <c r="DP16" i="142"/>
  <c r="DQ16" i="142"/>
  <c r="DO17" i="142"/>
  <c r="DP17" i="142"/>
  <c r="DQ17" i="142"/>
  <c r="DO18" i="142"/>
  <c r="DP18" i="142"/>
  <c r="DQ18" i="142"/>
  <c r="DO19" i="142"/>
  <c r="DP19" i="142"/>
  <c r="DQ19" i="142"/>
  <c r="DO20" i="142"/>
  <c r="DP20" i="142"/>
  <c r="DQ20" i="142"/>
  <c r="DO21" i="142"/>
  <c r="DP21" i="142"/>
  <c r="DQ21" i="142"/>
  <c r="DO22" i="142"/>
  <c r="DP22" i="142"/>
  <c r="DQ22" i="142"/>
  <c r="DO23" i="142"/>
  <c r="DP23" i="142"/>
  <c r="DQ23" i="142"/>
  <c r="DO24" i="142"/>
  <c r="DP24" i="142"/>
  <c r="DQ24" i="142"/>
  <c r="DO25" i="142"/>
  <c r="DP25" i="142"/>
  <c r="DQ25" i="142"/>
  <c r="DO26" i="142"/>
  <c r="DP26" i="142"/>
  <c r="DQ26" i="142"/>
  <c r="DO27" i="142"/>
  <c r="DP27" i="142"/>
  <c r="DQ27" i="142"/>
  <c r="DO28" i="142"/>
  <c r="DP28" i="142"/>
  <c r="DQ28" i="142"/>
  <c r="DO29" i="142"/>
  <c r="DP29" i="142"/>
  <c r="DQ29" i="142"/>
  <c r="DO30" i="142"/>
  <c r="DP30" i="142"/>
  <c r="DQ30" i="142"/>
  <c r="DO31" i="142"/>
  <c r="DP31" i="142"/>
  <c r="DQ31" i="142"/>
  <c r="DO32" i="142"/>
  <c r="DP32" i="142"/>
  <c r="DQ32" i="142"/>
  <c r="DO33" i="142"/>
  <c r="DP33" i="142"/>
  <c r="DQ33" i="142"/>
  <c r="DO34" i="142"/>
  <c r="DP34" i="142"/>
  <c r="DQ34" i="142"/>
  <c r="DO35" i="142"/>
  <c r="DP35" i="142"/>
  <c r="DQ35" i="142"/>
  <c r="DO36" i="142"/>
  <c r="DP36" i="142"/>
  <c r="DQ36" i="142"/>
  <c r="DO37" i="142"/>
  <c r="DP37" i="142"/>
  <c r="DQ37" i="142"/>
  <c r="DO38" i="142"/>
  <c r="DP38" i="142"/>
  <c r="DQ38" i="142"/>
  <c r="DO39" i="142"/>
  <c r="DP39" i="142"/>
  <c r="DQ39" i="142"/>
  <c r="DO40" i="142"/>
  <c r="DP40" i="142"/>
  <c r="DQ40" i="142"/>
  <c r="DO41" i="142"/>
  <c r="DP41" i="142"/>
  <c r="DQ41" i="142"/>
  <c r="DO42" i="142"/>
  <c r="DP42" i="142"/>
  <c r="DQ42" i="142"/>
  <c r="DO43" i="142"/>
  <c r="DP43" i="142"/>
  <c r="DQ43" i="142"/>
  <c r="DO44" i="142"/>
  <c r="DP44" i="142"/>
  <c r="DQ44" i="142"/>
  <c r="DO45" i="142"/>
  <c r="DP45" i="142"/>
  <c r="DQ45" i="142"/>
  <c r="DO46" i="142"/>
  <c r="DP46" i="142"/>
  <c r="DQ46" i="142"/>
  <c r="DO47" i="142"/>
  <c r="DP47" i="142"/>
  <c r="DQ47" i="142"/>
  <c r="DO48" i="142"/>
  <c r="DP48" i="142"/>
  <c r="DQ48" i="142"/>
  <c r="DO49" i="142"/>
  <c r="DP49" i="142"/>
  <c r="DQ49" i="142"/>
  <c r="DO50" i="142"/>
  <c r="DP50" i="142"/>
  <c r="DQ50" i="142"/>
  <c r="DO51" i="142"/>
  <c r="DP51" i="142"/>
  <c r="DQ51" i="142"/>
  <c r="DO52" i="142"/>
  <c r="DP52" i="142"/>
  <c r="DQ52" i="142"/>
  <c r="DO53" i="142"/>
  <c r="DP53" i="142"/>
  <c r="DQ53" i="142"/>
  <c r="DO54" i="142"/>
  <c r="DP54" i="142"/>
  <c r="DQ54" i="142"/>
  <c r="DO55" i="142"/>
  <c r="DP55" i="142"/>
  <c r="DQ55" i="142"/>
  <c r="DO56" i="142"/>
  <c r="DP56" i="142"/>
  <c r="DQ56" i="142"/>
  <c r="DO57" i="142"/>
  <c r="DP57" i="142"/>
  <c r="DQ57" i="142"/>
  <c r="DO58" i="142"/>
  <c r="DP58" i="142"/>
  <c r="DQ58" i="142"/>
  <c r="DO59" i="142"/>
  <c r="DP59" i="142"/>
  <c r="DQ59" i="142"/>
  <c r="DO60" i="142"/>
  <c r="DP60" i="142"/>
  <c r="DQ60" i="142"/>
  <c r="DO61" i="142"/>
  <c r="DP61" i="142"/>
  <c r="DQ61" i="142"/>
  <c r="DO62" i="142"/>
  <c r="DP62" i="142"/>
  <c r="DQ62" i="142"/>
  <c r="DO63" i="142"/>
  <c r="DP63" i="142"/>
  <c r="DQ63" i="142"/>
  <c r="DO64" i="142"/>
  <c r="DP64" i="142"/>
  <c r="DQ64" i="142"/>
  <c r="DO65" i="142"/>
  <c r="DP65" i="142"/>
  <c r="DQ65" i="142"/>
  <c r="DO66" i="142"/>
  <c r="DP66" i="142"/>
  <c r="DQ66" i="142"/>
  <c r="DO67" i="142"/>
  <c r="DP67" i="142"/>
  <c r="DQ67" i="142"/>
  <c r="DO68" i="142"/>
  <c r="DP68" i="142"/>
  <c r="DQ68" i="142"/>
  <c r="DO69" i="142"/>
  <c r="DP69" i="142"/>
  <c r="DQ69" i="142"/>
  <c r="DP70" i="142"/>
  <c r="DQ70" i="142"/>
  <c r="DP3" i="142"/>
  <c r="DQ3" i="142"/>
  <c r="DO3" i="142"/>
  <c r="S175" i="4"/>
  <c r="S184" i="4"/>
  <c r="S81" i="4"/>
  <c r="S82" i="4"/>
  <c r="S151" i="4"/>
  <c r="N167" i="4"/>
  <c r="N168" i="4"/>
  <c r="N169" i="4"/>
  <c r="N171" i="4"/>
  <c r="N172" i="4"/>
  <c r="N173" i="4"/>
  <c r="N174" i="4"/>
  <c r="N177" i="4"/>
  <c r="N179" i="4"/>
  <c r="N180" i="4"/>
  <c r="N181" i="4"/>
  <c r="N182" i="4"/>
  <c r="N183" i="4"/>
  <c r="N196" i="4"/>
  <c r="N197" i="4"/>
  <c r="N198" i="4"/>
  <c r="N199" i="4"/>
  <c r="N200" i="4"/>
  <c r="N201" i="4"/>
  <c r="N204" i="4"/>
  <c r="N205" i="4"/>
  <c r="N206" i="4"/>
  <c r="N207" i="4"/>
  <c r="N213" i="4"/>
  <c r="N24" i="4"/>
  <c r="N25" i="4"/>
  <c r="N32" i="4"/>
  <c r="N48" i="4"/>
  <c r="N55" i="4"/>
  <c r="N56" i="4"/>
  <c r="N63" i="4"/>
  <c r="N78" i="4"/>
  <c r="N84" i="4"/>
  <c r="N94" i="4"/>
  <c r="N96" i="4"/>
  <c r="N117" i="4"/>
  <c r="N127" i="4"/>
  <c r="N147" i="4"/>
  <c r="I183" i="39"/>
  <c r="I184" i="39"/>
  <c r="N13" i="54"/>
  <c r="N168" i="39" s="1"/>
  <c r="N14" i="54"/>
  <c r="N169" i="39" s="1"/>
  <c r="N17" i="54"/>
  <c r="N172" i="39" s="1"/>
  <c r="N18" i="54"/>
  <c r="N173" i="39" s="1"/>
  <c r="N22" i="54"/>
  <c r="N177" i="39" s="1"/>
  <c r="N24" i="54"/>
  <c r="N179" i="39" s="1"/>
  <c r="N28" i="54"/>
  <c r="N183" i="39" s="1"/>
  <c r="N29" i="54"/>
  <c r="N184" i="39" s="1"/>
  <c r="N31" i="54"/>
  <c r="N186" i="39" s="1"/>
  <c r="N12" i="54"/>
  <c r="N167" i="39" s="1"/>
  <c r="N23" i="37"/>
  <c r="O23" i="37" s="1"/>
  <c r="N34" i="37"/>
  <c r="O34" i="37" s="1"/>
  <c r="N36" i="37"/>
  <c r="O36" i="37" s="1"/>
  <c r="N39" i="37"/>
  <c r="O39" i="37" s="1"/>
  <c r="N42" i="37"/>
  <c r="O42" i="37" s="1"/>
  <c r="N43" i="37"/>
  <c r="O43" i="37" s="1"/>
  <c r="N63" i="37"/>
  <c r="O63" i="37" s="1"/>
  <c r="N49" i="54"/>
  <c r="N52" i="54"/>
  <c r="N53" i="54"/>
  <c r="N54" i="54"/>
  <c r="N55" i="54"/>
  <c r="N56" i="54"/>
  <c r="N57" i="54"/>
  <c r="N50" i="54"/>
  <c r="CF4" i="143"/>
  <c r="CG4" i="143"/>
  <c r="CH4" i="143"/>
  <c r="CF5" i="143"/>
  <c r="CG5" i="143"/>
  <c r="CH5" i="143"/>
  <c r="CF6" i="143"/>
  <c r="CG6" i="143"/>
  <c r="CH6" i="143"/>
  <c r="CF7" i="143"/>
  <c r="CG7" i="143"/>
  <c r="CH7" i="143"/>
  <c r="CF8" i="143"/>
  <c r="N21" i="54" s="1"/>
  <c r="N176" i="39" s="1"/>
  <c r="CG8" i="143"/>
  <c r="CH8" i="143"/>
  <c r="CF9" i="143"/>
  <c r="CG9" i="143"/>
  <c r="CH9" i="143"/>
  <c r="CF10" i="143"/>
  <c r="N25" i="54" s="1"/>
  <c r="N180" i="39" s="1"/>
  <c r="CG10" i="143"/>
  <c r="CH10" i="143"/>
  <c r="CF11" i="143"/>
  <c r="CG11" i="143"/>
  <c r="CH11" i="143"/>
  <c r="CF12" i="143"/>
  <c r="N27" i="54" s="1"/>
  <c r="N182" i="39" s="1"/>
  <c r="CG12" i="143"/>
  <c r="CH12" i="143"/>
  <c r="CF13" i="143"/>
  <c r="CG13" i="143"/>
  <c r="CH13" i="143"/>
  <c r="CF14" i="143"/>
  <c r="CG14" i="143"/>
  <c r="CH14" i="143"/>
  <c r="CF15" i="143"/>
  <c r="CG15" i="143"/>
  <c r="CH15" i="143"/>
  <c r="CF16" i="143"/>
  <c r="CG16" i="143"/>
  <c r="CH16" i="143"/>
  <c r="CF17" i="143"/>
  <c r="CG17" i="143"/>
  <c r="CH17" i="143"/>
  <c r="CF18" i="143"/>
  <c r="CG18" i="143"/>
  <c r="CH18" i="143"/>
  <c r="CF19" i="143"/>
  <c r="CG19" i="143"/>
  <c r="CH19" i="143"/>
  <c r="CF20" i="143"/>
  <c r="CG20" i="143"/>
  <c r="CH20" i="143"/>
  <c r="CF21" i="143"/>
  <c r="CG21" i="143"/>
  <c r="CH21" i="143"/>
  <c r="CF22" i="143"/>
  <c r="CG22" i="143"/>
  <c r="CH22" i="143"/>
  <c r="CF23" i="143"/>
  <c r="CG23" i="143"/>
  <c r="CH23" i="143"/>
  <c r="CG3" i="143"/>
  <c r="CH3" i="143"/>
  <c r="CF3" i="143"/>
  <c r="BX5" i="139"/>
  <c r="R150" i="4"/>
  <c r="Q150" i="39" s="1"/>
  <c r="Q150" i="4"/>
  <c r="P150" i="39" s="1"/>
  <c r="P204" i="39"/>
  <c r="Q204" i="39"/>
  <c r="H204" i="39"/>
  <c r="F204" i="39"/>
  <c r="O167" i="4"/>
  <c r="P167" i="4" s="1"/>
  <c r="O168" i="4"/>
  <c r="P168" i="4" s="1"/>
  <c r="O169" i="4"/>
  <c r="P169" i="4" s="1"/>
  <c r="O171" i="4"/>
  <c r="P171" i="4" s="1"/>
  <c r="O172" i="4"/>
  <c r="O173" i="4"/>
  <c r="P173" i="4" s="1"/>
  <c r="O174" i="4"/>
  <c r="O177" i="4"/>
  <c r="P177" i="4" s="1"/>
  <c r="O179" i="4"/>
  <c r="P179" i="4" s="1"/>
  <c r="O180" i="4"/>
  <c r="P180" i="4" s="1"/>
  <c r="O181" i="4"/>
  <c r="P181" i="4" s="1"/>
  <c r="O182" i="4"/>
  <c r="O183" i="4"/>
  <c r="O196" i="4"/>
  <c r="P196" i="4" s="1"/>
  <c r="O197" i="4"/>
  <c r="O198" i="4"/>
  <c r="P198" i="4" s="1"/>
  <c r="O199" i="4"/>
  <c r="P199" i="4" s="1"/>
  <c r="O200" i="4"/>
  <c r="P200" i="4" s="1"/>
  <c r="O201" i="4"/>
  <c r="P201" i="4" s="1"/>
  <c r="O204" i="4"/>
  <c r="O205" i="4"/>
  <c r="O206" i="4"/>
  <c r="P206" i="4" s="1"/>
  <c r="O207" i="4"/>
  <c r="O213" i="4"/>
  <c r="P213" i="4" s="1"/>
  <c r="O24" i="4"/>
  <c r="P24" i="4" s="1"/>
  <c r="O25" i="4"/>
  <c r="P25" i="4" s="1"/>
  <c r="O32" i="4"/>
  <c r="P32" i="4" s="1"/>
  <c r="O48" i="4"/>
  <c r="P48" i="4" s="1"/>
  <c r="O55" i="4"/>
  <c r="O56" i="4"/>
  <c r="P56" i="4" s="1"/>
  <c r="O63" i="4"/>
  <c r="O78" i="4"/>
  <c r="P78" i="4" s="1"/>
  <c r="O84" i="4"/>
  <c r="P84" i="4" s="1"/>
  <c r="O94" i="4"/>
  <c r="P94" i="4" s="1"/>
  <c r="O96" i="4"/>
  <c r="P96" i="4" s="1"/>
  <c r="O117" i="4"/>
  <c r="O127" i="4"/>
  <c r="O147" i="4"/>
  <c r="P147" i="4" s="1"/>
  <c r="CB146" i="140"/>
  <c r="CC146" i="140"/>
  <c r="CD146" i="140"/>
  <c r="CE146" i="140"/>
  <c r="CB147" i="140"/>
  <c r="CC147" i="140"/>
  <c r="CD147" i="140"/>
  <c r="CE147" i="140"/>
  <c r="CB148" i="140"/>
  <c r="CC148" i="140"/>
  <c r="CD148" i="140"/>
  <c r="CE148" i="140"/>
  <c r="CB149" i="140"/>
  <c r="CC149" i="140"/>
  <c r="CD149" i="140"/>
  <c r="CE149" i="140"/>
  <c r="CB150" i="140"/>
  <c r="CC150" i="140"/>
  <c r="CD150" i="140"/>
  <c r="CE150" i="140"/>
  <c r="CB151" i="140"/>
  <c r="CC151" i="140"/>
  <c r="CD151" i="140"/>
  <c r="CE151" i="140"/>
  <c r="CB152" i="140"/>
  <c r="CC152" i="140"/>
  <c r="CD152" i="140"/>
  <c r="CE152" i="140"/>
  <c r="CB153" i="140"/>
  <c r="CC153" i="140"/>
  <c r="CD153" i="140"/>
  <c r="CE153" i="140"/>
  <c r="CB154" i="140"/>
  <c r="CC154" i="140"/>
  <c r="CD154" i="140"/>
  <c r="CE154" i="140"/>
  <c r="CB155" i="140"/>
  <c r="CC155" i="140"/>
  <c r="CD155" i="140"/>
  <c r="CE155" i="140"/>
  <c r="CB156" i="140"/>
  <c r="CC156" i="140"/>
  <c r="CD156" i="140"/>
  <c r="CE156" i="140"/>
  <c r="CB157" i="140"/>
  <c r="CC157" i="140"/>
  <c r="CD157" i="140"/>
  <c r="CE157" i="140"/>
  <c r="G175" i="4"/>
  <c r="P151" i="39"/>
  <c r="Q151" i="39"/>
  <c r="H151" i="39"/>
  <c r="I150" i="4"/>
  <c r="H150" i="39" s="1"/>
  <c r="F148" i="39"/>
  <c r="CB127" i="140"/>
  <c r="CC127" i="140"/>
  <c r="CD127" i="140"/>
  <c r="CE127" i="140"/>
  <c r="CB4" i="140"/>
  <c r="CC4" i="140"/>
  <c r="CD4" i="140"/>
  <c r="CE4" i="140"/>
  <c r="CB5" i="140"/>
  <c r="CC5" i="140"/>
  <c r="CD5" i="140"/>
  <c r="CE5" i="140"/>
  <c r="CB6" i="140"/>
  <c r="CC6" i="140"/>
  <c r="CD6" i="140"/>
  <c r="CE6" i="140"/>
  <c r="CB7" i="140"/>
  <c r="CC7" i="140"/>
  <c r="CD7" i="140"/>
  <c r="CE7" i="140"/>
  <c r="CB8" i="140"/>
  <c r="CC8" i="140"/>
  <c r="CD8" i="140"/>
  <c r="CE8" i="140"/>
  <c r="CB9" i="140"/>
  <c r="CC9" i="140"/>
  <c r="CD9" i="140"/>
  <c r="CE9" i="140"/>
  <c r="CB10" i="140"/>
  <c r="CC10" i="140"/>
  <c r="CD10" i="140"/>
  <c r="CE10" i="140"/>
  <c r="CB11" i="140"/>
  <c r="CC11" i="140"/>
  <c r="CD11" i="140"/>
  <c r="CE11" i="140"/>
  <c r="CB12" i="140"/>
  <c r="CC12" i="140"/>
  <c r="CD12" i="140"/>
  <c r="CE12" i="140"/>
  <c r="CB13" i="140"/>
  <c r="CC13" i="140"/>
  <c r="CD13" i="140"/>
  <c r="CE13" i="140"/>
  <c r="CB14" i="140"/>
  <c r="CC14" i="140"/>
  <c r="CD14" i="140"/>
  <c r="CE14" i="140"/>
  <c r="CB15" i="140"/>
  <c r="CC15" i="140"/>
  <c r="CD15" i="140"/>
  <c r="CE15" i="140"/>
  <c r="CB16" i="140"/>
  <c r="CC16" i="140"/>
  <c r="CD16" i="140"/>
  <c r="CE16" i="140"/>
  <c r="CB17" i="140"/>
  <c r="CC17" i="140"/>
  <c r="CD17" i="140"/>
  <c r="CE17" i="140"/>
  <c r="CB18" i="140"/>
  <c r="CC18" i="140"/>
  <c r="CD18" i="140"/>
  <c r="CE18" i="140"/>
  <c r="CB19" i="140"/>
  <c r="CC19" i="140"/>
  <c r="CD19" i="140"/>
  <c r="CE19" i="140"/>
  <c r="CB20" i="140"/>
  <c r="CC20" i="140"/>
  <c r="CD20" i="140"/>
  <c r="CE20" i="140"/>
  <c r="CB21" i="140"/>
  <c r="CC21" i="140"/>
  <c r="CD21" i="140"/>
  <c r="CE21" i="140"/>
  <c r="CB22" i="140"/>
  <c r="CC22" i="140"/>
  <c r="CD22" i="140"/>
  <c r="CE22" i="140"/>
  <c r="CB23" i="140"/>
  <c r="CC23" i="140"/>
  <c r="CD23" i="140"/>
  <c r="CE23" i="140"/>
  <c r="CB24" i="140"/>
  <c r="CC24" i="140"/>
  <c r="CD24" i="140"/>
  <c r="CE24" i="140"/>
  <c r="CB25" i="140"/>
  <c r="CC25" i="140"/>
  <c r="CD25" i="140"/>
  <c r="CE25" i="140"/>
  <c r="CB26" i="140"/>
  <c r="CC26" i="140"/>
  <c r="CD26" i="140"/>
  <c r="CE26" i="140"/>
  <c r="CB27" i="140"/>
  <c r="CC27" i="140"/>
  <c r="CD27" i="140"/>
  <c r="CE27" i="140"/>
  <c r="CB28" i="140"/>
  <c r="CC28" i="140"/>
  <c r="CD28" i="140"/>
  <c r="CE28" i="140"/>
  <c r="CB29" i="140"/>
  <c r="CC29" i="140"/>
  <c r="CD29" i="140"/>
  <c r="CE29" i="140"/>
  <c r="CB30" i="140"/>
  <c r="CC30" i="140"/>
  <c r="CD30" i="140"/>
  <c r="CE30" i="140"/>
  <c r="CB31" i="140"/>
  <c r="CC31" i="140"/>
  <c r="CD31" i="140"/>
  <c r="CE31" i="140"/>
  <c r="CB32" i="140"/>
  <c r="CC32" i="140"/>
  <c r="CD32" i="140"/>
  <c r="CE32" i="140"/>
  <c r="CB33" i="140"/>
  <c r="CC33" i="140"/>
  <c r="CD33" i="140"/>
  <c r="CE33" i="140"/>
  <c r="CB34" i="140"/>
  <c r="CC34" i="140"/>
  <c r="CD34" i="140"/>
  <c r="CE34" i="140"/>
  <c r="CB35" i="140"/>
  <c r="CC35" i="140"/>
  <c r="CD35" i="140"/>
  <c r="CE35" i="140"/>
  <c r="CB36" i="140"/>
  <c r="CC36" i="140"/>
  <c r="CD36" i="140"/>
  <c r="CE36" i="140"/>
  <c r="CB37" i="140"/>
  <c r="CC37" i="140"/>
  <c r="CD37" i="140"/>
  <c r="CE37" i="140"/>
  <c r="CB38" i="140"/>
  <c r="CC38" i="140"/>
  <c r="CD38" i="140"/>
  <c r="CE38" i="140"/>
  <c r="CB39" i="140"/>
  <c r="CC39" i="140"/>
  <c r="CD39" i="140"/>
  <c r="CE39" i="140"/>
  <c r="CB40" i="140"/>
  <c r="CC40" i="140"/>
  <c r="CD40" i="140"/>
  <c r="CE40" i="140"/>
  <c r="CB41" i="140"/>
  <c r="CC41" i="140"/>
  <c r="CD41" i="140"/>
  <c r="CE41" i="140"/>
  <c r="CB42" i="140"/>
  <c r="CC42" i="140"/>
  <c r="CD42" i="140"/>
  <c r="CE42" i="140"/>
  <c r="CB43" i="140"/>
  <c r="CC43" i="140"/>
  <c r="CD43" i="140"/>
  <c r="CE43" i="140"/>
  <c r="CB44" i="140"/>
  <c r="CC44" i="140"/>
  <c r="CD44" i="140"/>
  <c r="CE44" i="140"/>
  <c r="CB45" i="140"/>
  <c r="CC45" i="140"/>
  <c r="CD45" i="140"/>
  <c r="CE45" i="140"/>
  <c r="CB46" i="140"/>
  <c r="CC46" i="140"/>
  <c r="CD46" i="140"/>
  <c r="CE46" i="140"/>
  <c r="CB47" i="140"/>
  <c r="CC47" i="140"/>
  <c r="CD47" i="140"/>
  <c r="CE47" i="140"/>
  <c r="CB48" i="140"/>
  <c r="CC48" i="140"/>
  <c r="CD48" i="140"/>
  <c r="CE48" i="140"/>
  <c r="CB49" i="140"/>
  <c r="CC49" i="140"/>
  <c r="CD49" i="140"/>
  <c r="CE49" i="140"/>
  <c r="CB50" i="140"/>
  <c r="CC50" i="140"/>
  <c r="CD50" i="140"/>
  <c r="CE50" i="140"/>
  <c r="CB51" i="140"/>
  <c r="CC51" i="140"/>
  <c r="CD51" i="140"/>
  <c r="CE51" i="140"/>
  <c r="CB52" i="140"/>
  <c r="CC52" i="140"/>
  <c r="CD52" i="140"/>
  <c r="CE52" i="140"/>
  <c r="CB53" i="140"/>
  <c r="CC53" i="140"/>
  <c r="CD53" i="140"/>
  <c r="CE53" i="140"/>
  <c r="CB54" i="140"/>
  <c r="CC54" i="140"/>
  <c r="CD54" i="140"/>
  <c r="CE54" i="140"/>
  <c r="CB55" i="140"/>
  <c r="CC55" i="140"/>
  <c r="CD55" i="140"/>
  <c r="CE55" i="140"/>
  <c r="CB56" i="140"/>
  <c r="CC56" i="140"/>
  <c r="CD56" i="140"/>
  <c r="CE56" i="140"/>
  <c r="CB57" i="140"/>
  <c r="CC57" i="140"/>
  <c r="CD57" i="140"/>
  <c r="CE57" i="140"/>
  <c r="CB58" i="140"/>
  <c r="CC58" i="140"/>
  <c r="CD58" i="140"/>
  <c r="CE58" i="140"/>
  <c r="CB59" i="140"/>
  <c r="CC59" i="140"/>
  <c r="CD59" i="140"/>
  <c r="CE59" i="140"/>
  <c r="CB60" i="140"/>
  <c r="CC60" i="140"/>
  <c r="CD60" i="140"/>
  <c r="CE60" i="140"/>
  <c r="CB61" i="140"/>
  <c r="CC61" i="140"/>
  <c r="CD61" i="140"/>
  <c r="CE61" i="140"/>
  <c r="CB62" i="140"/>
  <c r="CC62" i="140"/>
  <c r="CD62" i="140"/>
  <c r="CE62" i="140"/>
  <c r="CB63" i="140"/>
  <c r="CC63" i="140"/>
  <c r="CD63" i="140"/>
  <c r="CE63" i="140"/>
  <c r="CB64" i="140"/>
  <c r="CC64" i="140"/>
  <c r="CD64" i="140"/>
  <c r="CE64" i="140"/>
  <c r="CB65" i="140"/>
  <c r="CC65" i="140"/>
  <c r="CD65" i="140"/>
  <c r="CE65" i="140"/>
  <c r="CB66" i="140"/>
  <c r="CC66" i="140"/>
  <c r="CD66" i="140"/>
  <c r="CE66" i="140"/>
  <c r="CB67" i="140"/>
  <c r="CC67" i="140"/>
  <c r="CD67" i="140"/>
  <c r="CE67" i="140"/>
  <c r="CB68" i="140"/>
  <c r="CC68" i="140"/>
  <c r="CD68" i="140"/>
  <c r="CE68" i="140"/>
  <c r="CB69" i="140"/>
  <c r="CC69" i="140"/>
  <c r="CD69" i="140"/>
  <c r="CE69" i="140"/>
  <c r="CB70" i="140"/>
  <c r="CC70" i="140"/>
  <c r="CD70" i="140"/>
  <c r="CE70" i="140"/>
  <c r="CB71" i="140"/>
  <c r="CC71" i="140"/>
  <c r="CD71" i="140"/>
  <c r="CE71" i="140"/>
  <c r="CB72" i="140"/>
  <c r="CC72" i="140"/>
  <c r="CD72" i="140"/>
  <c r="CE72" i="140"/>
  <c r="CB73" i="140"/>
  <c r="CC73" i="140"/>
  <c r="CD73" i="140"/>
  <c r="CE73" i="140"/>
  <c r="CB74" i="140"/>
  <c r="CC74" i="140"/>
  <c r="CD74" i="140"/>
  <c r="CE74" i="140"/>
  <c r="CB75" i="140"/>
  <c r="CC75" i="140"/>
  <c r="CD75" i="140"/>
  <c r="CE75" i="140"/>
  <c r="CB76" i="140"/>
  <c r="CC76" i="140"/>
  <c r="CD76" i="140"/>
  <c r="CE76" i="140"/>
  <c r="CB77" i="140"/>
  <c r="CC77" i="140"/>
  <c r="CD77" i="140"/>
  <c r="CE77" i="140"/>
  <c r="CB78" i="140"/>
  <c r="CC78" i="140"/>
  <c r="CD78" i="140"/>
  <c r="CE78" i="140"/>
  <c r="CB79" i="140"/>
  <c r="CC79" i="140"/>
  <c r="CD79" i="140"/>
  <c r="CE79" i="140"/>
  <c r="CB80" i="140"/>
  <c r="CC80" i="140"/>
  <c r="CD80" i="140"/>
  <c r="CE80" i="140"/>
  <c r="CB81" i="140"/>
  <c r="CC81" i="140"/>
  <c r="CD81" i="140"/>
  <c r="CE81" i="140"/>
  <c r="CB82" i="140"/>
  <c r="CC82" i="140"/>
  <c r="CD82" i="140"/>
  <c r="CE82" i="140"/>
  <c r="CB83" i="140"/>
  <c r="CC83" i="140"/>
  <c r="CD83" i="140"/>
  <c r="CE83" i="140"/>
  <c r="CB84" i="140"/>
  <c r="CC84" i="140"/>
  <c r="CD84" i="140"/>
  <c r="CE84" i="140"/>
  <c r="CB85" i="140"/>
  <c r="CC85" i="140"/>
  <c r="CD85" i="140"/>
  <c r="CE85" i="140"/>
  <c r="CB86" i="140"/>
  <c r="CC86" i="140"/>
  <c r="CD86" i="140"/>
  <c r="CE86" i="140"/>
  <c r="CB87" i="140"/>
  <c r="CC87" i="140"/>
  <c r="CD87" i="140"/>
  <c r="CE87" i="140"/>
  <c r="CB88" i="140"/>
  <c r="CC88" i="140"/>
  <c r="CD88" i="140"/>
  <c r="CE88" i="140"/>
  <c r="CB89" i="140"/>
  <c r="CC89" i="140"/>
  <c r="CD89" i="140"/>
  <c r="CE89" i="140"/>
  <c r="CB90" i="140"/>
  <c r="CC90" i="140"/>
  <c r="CD90" i="140"/>
  <c r="CE90" i="140"/>
  <c r="CB91" i="140"/>
  <c r="CC91" i="140"/>
  <c r="CD91" i="140"/>
  <c r="CE91" i="140"/>
  <c r="CB92" i="140"/>
  <c r="CC92" i="140"/>
  <c r="CD92" i="140"/>
  <c r="CE92" i="140"/>
  <c r="CB93" i="140"/>
  <c r="CC93" i="140"/>
  <c r="CD93" i="140"/>
  <c r="CE93" i="140"/>
  <c r="CB94" i="140"/>
  <c r="CC94" i="140"/>
  <c r="CD94" i="140"/>
  <c r="CE94" i="140"/>
  <c r="CB95" i="140"/>
  <c r="CC95" i="140"/>
  <c r="CD95" i="140"/>
  <c r="CE95" i="140"/>
  <c r="CB96" i="140"/>
  <c r="CC96" i="140"/>
  <c r="CD96" i="140"/>
  <c r="CE96" i="140"/>
  <c r="CB97" i="140"/>
  <c r="CC97" i="140"/>
  <c r="CD97" i="140"/>
  <c r="CE97" i="140"/>
  <c r="CB98" i="140"/>
  <c r="CC98" i="140"/>
  <c r="CD98" i="140"/>
  <c r="CE98" i="140"/>
  <c r="CB99" i="140"/>
  <c r="CC99" i="140"/>
  <c r="CD99" i="140"/>
  <c r="CE99" i="140"/>
  <c r="CB100" i="140"/>
  <c r="CC100" i="140"/>
  <c r="CD100" i="140"/>
  <c r="CE100" i="140"/>
  <c r="CB101" i="140"/>
  <c r="CC101" i="140"/>
  <c r="CD101" i="140"/>
  <c r="CE101" i="140"/>
  <c r="CB102" i="140"/>
  <c r="CC102" i="140"/>
  <c r="CD102" i="140"/>
  <c r="CE102" i="140"/>
  <c r="CB103" i="140"/>
  <c r="CC103" i="140"/>
  <c r="CD103" i="140"/>
  <c r="CE103" i="140"/>
  <c r="CB104" i="140"/>
  <c r="CC104" i="140"/>
  <c r="CD104" i="140"/>
  <c r="CE104" i="140"/>
  <c r="CB105" i="140"/>
  <c r="CC105" i="140"/>
  <c r="CD105" i="140"/>
  <c r="CE105" i="140"/>
  <c r="CB106" i="140"/>
  <c r="CC106" i="140"/>
  <c r="CD106" i="140"/>
  <c r="CE106" i="140"/>
  <c r="CB107" i="140"/>
  <c r="CC107" i="140"/>
  <c r="CD107" i="140"/>
  <c r="CE107" i="140"/>
  <c r="CB108" i="140"/>
  <c r="CC108" i="140"/>
  <c r="CD108" i="140"/>
  <c r="CE108" i="140"/>
  <c r="CB109" i="140"/>
  <c r="CC109" i="140"/>
  <c r="CD109" i="140"/>
  <c r="CE109" i="140"/>
  <c r="CB110" i="140"/>
  <c r="CC110" i="140"/>
  <c r="CD110" i="140"/>
  <c r="CE110" i="140"/>
  <c r="CB111" i="140"/>
  <c r="CC111" i="140"/>
  <c r="CD111" i="140"/>
  <c r="CE111" i="140"/>
  <c r="CB112" i="140"/>
  <c r="CC112" i="140"/>
  <c r="CD112" i="140"/>
  <c r="CE112" i="140"/>
  <c r="CB113" i="140"/>
  <c r="CC113" i="140"/>
  <c r="CD113" i="140"/>
  <c r="CE113" i="140"/>
  <c r="CB114" i="140"/>
  <c r="CC114" i="140"/>
  <c r="CD114" i="140"/>
  <c r="CE114" i="140"/>
  <c r="CB115" i="140"/>
  <c r="CC115" i="140"/>
  <c r="CD115" i="140"/>
  <c r="CE115" i="140"/>
  <c r="CB116" i="140"/>
  <c r="CC116" i="140"/>
  <c r="CD116" i="140"/>
  <c r="CE116" i="140"/>
  <c r="CB117" i="140"/>
  <c r="CC117" i="140"/>
  <c r="CD117" i="140"/>
  <c r="CE117" i="140"/>
  <c r="CB118" i="140"/>
  <c r="CC118" i="140"/>
  <c r="CD118" i="140"/>
  <c r="CE118" i="140"/>
  <c r="CB119" i="140"/>
  <c r="CC119" i="140"/>
  <c r="CD119" i="140"/>
  <c r="CE119" i="140"/>
  <c r="CB120" i="140"/>
  <c r="CC120" i="140"/>
  <c r="CD120" i="140"/>
  <c r="CE120" i="140"/>
  <c r="CB121" i="140"/>
  <c r="CC121" i="140"/>
  <c r="CD121" i="140"/>
  <c r="CE121" i="140"/>
  <c r="CB122" i="140"/>
  <c r="CC122" i="140"/>
  <c r="CD122" i="140"/>
  <c r="CE122" i="140"/>
  <c r="CB123" i="140"/>
  <c r="CC123" i="140"/>
  <c r="CD123" i="140"/>
  <c r="CE123" i="140"/>
  <c r="CB124" i="140"/>
  <c r="CC124" i="140"/>
  <c r="CD124" i="140"/>
  <c r="CE124" i="140"/>
  <c r="CB125" i="140"/>
  <c r="CC125" i="140"/>
  <c r="CD125" i="140"/>
  <c r="CE125" i="140"/>
  <c r="CB126" i="140"/>
  <c r="CC126" i="140"/>
  <c r="CD126" i="140"/>
  <c r="CE126" i="140"/>
  <c r="CB128" i="140"/>
  <c r="CC128" i="140"/>
  <c r="CD128" i="140"/>
  <c r="CE128" i="140"/>
  <c r="CB129" i="140"/>
  <c r="CC129" i="140"/>
  <c r="CD129" i="140"/>
  <c r="CE129" i="140"/>
  <c r="CB130" i="140"/>
  <c r="CC130" i="140"/>
  <c r="CD130" i="140"/>
  <c r="CE130" i="140"/>
  <c r="CB131" i="140"/>
  <c r="CC131" i="140"/>
  <c r="CD131" i="140"/>
  <c r="CE131" i="140"/>
  <c r="CB132" i="140"/>
  <c r="CC132" i="140"/>
  <c r="CD132" i="140"/>
  <c r="CE132" i="140"/>
  <c r="CB133" i="140"/>
  <c r="CC133" i="140"/>
  <c r="CD133" i="140"/>
  <c r="CE133" i="140"/>
  <c r="CB134" i="140"/>
  <c r="CC134" i="140"/>
  <c r="CD134" i="140"/>
  <c r="CE134" i="140"/>
  <c r="CB135" i="140"/>
  <c r="CC135" i="140"/>
  <c r="CD135" i="140"/>
  <c r="CE135" i="140"/>
  <c r="CB136" i="140"/>
  <c r="CC136" i="140"/>
  <c r="CD136" i="140"/>
  <c r="CE136" i="140"/>
  <c r="CB137" i="140"/>
  <c r="CC137" i="140"/>
  <c r="CD137" i="140"/>
  <c r="CE137" i="140"/>
  <c r="CB138" i="140"/>
  <c r="CC138" i="140"/>
  <c r="CD138" i="140"/>
  <c r="CE138" i="140"/>
  <c r="CB139" i="140"/>
  <c r="CC139" i="140"/>
  <c r="CD139" i="140"/>
  <c r="CE139" i="140"/>
  <c r="CB140" i="140"/>
  <c r="CC140" i="140"/>
  <c r="CD140" i="140"/>
  <c r="CE140" i="140"/>
  <c r="CB141" i="140"/>
  <c r="CC141" i="140"/>
  <c r="CD141" i="140"/>
  <c r="CE141" i="140"/>
  <c r="CB142" i="140"/>
  <c r="CC142" i="140"/>
  <c r="CD142" i="140"/>
  <c r="CE142" i="140"/>
  <c r="CB143" i="140"/>
  <c r="CC143" i="140"/>
  <c r="CD143" i="140"/>
  <c r="CE143" i="140"/>
  <c r="CB144" i="140"/>
  <c r="CC144" i="140"/>
  <c r="CD144" i="140"/>
  <c r="CE144" i="140"/>
  <c r="CB145" i="140"/>
  <c r="CC145" i="140"/>
  <c r="CD145" i="140"/>
  <c r="CE145" i="140"/>
  <c r="CC3" i="140"/>
  <c r="CD3" i="140"/>
  <c r="CE3" i="140"/>
  <c r="CB3" i="140"/>
  <c r="BT103" i="140"/>
  <c r="BU4" i="140"/>
  <c r="AD11" i="4" s="1"/>
  <c r="BU5" i="140"/>
  <c r="AD12" i="4" s="1"/>
  <c r="BU6" i="140"/>
  <c r="AD13" i="4" s="1"/>
  <c r="BU7" i="140"/>
  <c r="AD14" i="4" s="1"/>
  <c r="BU8" i="140"/>
  <c r="AD15" i="4" s="1"/>
  <c r="BU9" i="140"/>
  <c r="AD17" i="4" s="1"/>
  <c r="BU10" i="140"/>
  <c r="AD18" i="4" s="1"/>
  <c r="BU11" i="140"/>
  <c r="AD19" i="4" s="1"/>
  <c r="BU12" i="140"/>
  <c r="AD20" i="4" s="1"/>
  <c r="BU13" i="140"/>
  <c r="AD21" i="4" s="1"/>
  <c r="BU14" i="140"/>
  <c r="AD22" i="4" s="1"/>
  <c r="BU15" i="140"/>
  <c r="AD23" i="4" s="1"/>
  <c r="BU16" i="140"/>
  <c r="AD26" i="4" s="1"/>
  <c r="BU17" i="140"/>
  <c r="AD27" i="4" s="1"/>
  <c r="BU18" i="140"/>
  <c r="AD28" i="4" s="1"/>
  <c r="BU19" i="140"/>
  <c r="AD29" i="4" s="1"/>
  <c r="BU20" i="140"/>
  <c r="AD30" i="4" s="1"/>
  <c r="BU21" i="140"/>
  <c r="AD31" i="4" s="1"/>
  <c r="BU22" i="140"/>
  <c r="AD33" i="4" s="1"/>
  <c r="BU23" i="140"/>
  <c r="AD34" i="4" s="1"/>
  <c r="BU24" i="140"/>
  <c r="AD36" i="4" s="1"/>
  <c r="BU25" i="140"/>
  <c r="AD38" i="4" s="1"/>
  <c r="BU26" i="140"/>
  <c r="AD40" i="4" s="1"/>
  <c r="BU27" i="140"/>
  <c r="AD42" i="4" s="1"/>
  <c r="BU28" i="140"/>
  <c r="AD43" i="4" s="1"/>
  <c r="BU29" i="140"/>
  <c r="AD44" i="4" s="1"/>
  <c r="BU30" i="140"/>
  <c r="AD45" i="4" s="1"/>
  <c r="BU31" i="140"/>
  <c r="AD46" i="4" s="1"/>
  <c r="BU32" i="140"/>
  <c r="AD47" i="4" s="1"/>
  <c r="BU33" i="140"/>
  <c r="AD49" i="4" s="1"/>
  <c r="BU34" i="140"/>
  <c r="AD50" i="4" s="1"/>
  <c r="BU35" i="140"/>
  <c r="AD51" i="4" s="1"/>
  <c r="BU36" i="140"/>
  <c r="AD52" i="4" s="1"/>
  <c r="BU37" i="140"/>
  <c r="AD53" i="4" s="1"/>
  <c r="BU38" i="140"/>
  <c r="AD54" i="4" s="1"/>
  <c r="BU39" i="140"/>
  <c r="AD57" i="4" s="1"/>
  <c r="BU40" i="140"/>
  <c r="AD58" i="4" s="1"/>
  <c r="BU41" i="140"/>
  <c r="AD59" i="4" s="1"/>
  <c r="BU42" i="140"/>
  <c r="AD60" i="4" s="1"/>
  <c r="BU43" i="140"/>
  <c r="AD61" i="4" s="1"/>
  <c r="BU44" i="140"/>
  <c r="AD62" i="4" s="1"/>
  <c r="BU45" i="140"/>
  <c r="AD64" i="4" s="1"/>
  <c r="BU46" i="140"/>
  <c r="AD65" i="4" s="1"/>
  <c r="BU47" i="140"/>
  <c r="AD66" i="4" s="1"/>
  <c r="BU48" i="140"/>
  <c r="AD67" i="4" s="1"/>
  <c r="BU49" i="140"/>
  <c r="AD69" i="4" s="1"/>
  <c r="BU50" i="140"/>
  <c r="AD71" i="4" s="1"/>
  <c r="BU51" i="140"/>
  <c r="AD73" i="4" s="1"/>
  <c r="BU52" i="140"/>
  <c r="AD74" i="4" s="1"/>
  <c r="BU53" i="140"/>
  <c r="AD75" i="4" s="1"/>
  <c r="BU54" i="140"/>
  <c r="AD76" i="4" s="1"/>
  <c r="BU55" i="140"/>
  <c r="AD80" i="4" s="1"/>
  <c r="BU56" i="140"/>
  <c r="AD89" i="4" s="1"/>
  <c r="BU57" i="140"/>
  <c r="AD90" i="4" s="1"/>
  <c r="BU58" i="140"/>
  <c r="AD95" i="4" s="1"/>
  <c r="BU59" i="140"/>
  <c r="AD99" i="4" s="1"/>
  <c r="BU60" i="140"/>
  <c r="AD101" i="4" s="1"/>
  <c r="BU61" i="140"/>
  <c r="AD102" i="4" s="1"/>
  <c r="BU62" i="140"/>
  <c r="AD103" i="4" s="1"/>
  <c r="BU63" i="140"/>
  <c r="AD104" i="4" s="1"/>
  <c r="BU64" i="140"/>
  <c r="AD105" i="4" s="1"/>
  <c r="BU65" i="140"/>
  <c r="AD106" i="4" s="1"/>
  <c r="BU66" i="140"/>
  <c r="AD107" i="4" s="1"/>
  <c r="BU67" i="140"/>
  <c r="AD108" i="4" s="1"/>
  <c r="BU68" i="140"/>
  <c r="AD111" i="4" s="1"/>
  <c r="BU69" i="140"/>
  <c r="AD112" i="4" s="1"/>
  <c r="BU70" i="140"/>
  <c r="AD113" i="4" s="1"/>
  <c r="BU71" i="140"/>
  <c r="AD114" i="4" s="1"/>
  <c r="BU72" i="140"/>
  <c r="AD116" i="4" s="1"/>
  <c r="BU73" i="140"/>
  <c r="AD118" i="4" s="1"/>
  <c r="BU74" i="140"/>
  <c r="AD120" i="4" s="1"/>
  <c r="BU75" i="140"/>
  <c r="AD121" i="4" s="1"/>
  <c r="BU76" i="140"/>
  <c r="AD124" i="4" s="1"/>
  <c r="BU77" i="140"/>
  <c r="AD125" i="4" s="1"/>
  <c r="BU78" i="140"/>
  <c r="AD126" i="4" s="1"/>
  <c r="BU79" i="140"/>
  <c r="AD128" i="4" s="1"/>
  <c r="BU80" i="140"/>
  <c r="AD129" i="4" s="1"/>
  <c r="BU81" i="140"/>
  <c r="AD131" i="4" s="1"/>
  <c r="BU82" i="140"/>
  <c r="AD132" i="4" s="1"/>
  <c r="BU83" i="140"/>
  <c r="AD133" i="4" s="1"/>
  <c r="BU84" i="140"/>
  <c r="AD134" i="4" s="1"/>
  <c r="BU85" i="140"/>
  <c r="AD135" i="4" s="1"/>
  <c r="BU86" i="140"/>
  <c r="AD136" i="4" s="1"/>
  <c r="BU87" i="140"/>
  <c r="AD140" i="4" s="1"/>
  <c r="BU88" i="140"/>
  <c r="AD141" i="4" s="1"/>
  <c r="BU89" i="140"/>
  <c r="AD142" i="4" s="1"/>
  <c r="BU90" i="140"/>
  <c r="AD143" i="4" s="1"/>
  <c r="BU91" i="140"/>
  <c r="AD145" i="4" s="1"/>
  <c r="BU92" i="140"/>
  <c r="AD146" i="4" s="1"/>
  <c r="BU93" i="140"/>
  <c r="AD148" i="4" s="1"/>
  <c r="BU94" i="140"/>
  <c r="AD156" i="4" s="1"/>
  <c r="BU95" i="140"/>
  <c r="AD185" i="4" s="1"/>
  <c r="BU96" i="140"/>
  <c r="AD186" i="4" s="1"/>
  <c r="BU97" i="140"/>
  <c r="AD187" i="4" s="1"/>
  <c r="BU98" i="140"/>
  <c r="AD188" i="4" s="1"/>
  <c r="BU99" i="140"/>
  <c r="AD189" i="4" s="1"/>
  <c r="BU100" i="140"/>
  <c r="AD208" i="4" s="1"/>
  <c r="BU101" i="140"/>
  <c r="AD209" i="4" s="1"/>
  <c r="BU102" i="140"/>
  <c r="AD210" i="4" s="1"/>
  <c r="BU3" i="140"/>
  <c r="AD10" i="4" s="1"/>
  <c r="BI3" i="136"/>
  <c r="CU53" i="137"/>
  <c r="CV53" i="137"/>
  <c r="CT53" i="137"/>
  <c r="AC61" i="35"/>
  <c r="AC47" i="35"/>
  <c r="AC46" i="35" s="1"/>
  <c r="AD44" i="35"/>
  <c r="AC44" i="35"/>
  <c r="AC35" i="35"/>
  <c r="AC33" i="35"/>
  <c r="AC27" i="35"/>
  <c r="CU4" i="141"/>
  <c r="CV4" i="141"/>
  <c r="CW4" i="141"/>
  <c r="CU5" i="141"/>
  <c r="CV5" i="141"/>
  <c r="CW5" i="141"/>
  <c r="CU6" i="141"/>
  <c r="CV6" i="141"/>
  <c r="CW6" i="141"/>
  <c r="CU7" i="141"/>
  <c r="CV7" i="141"/>
  <c r="CW7" i="141"/>
  <c r="CU8" i="141"/>
  <c r="CV8" i="141"/>
  <c r="CW8" i="141"/>
  <c r="CU9" i="141"/>
  <c r="CV9" i="141"/>
  <c r="CW9" i="141"/>
  <c r="CU10" i="141"/>
  <c r="CV10" i="141"/>
  <c r="CW10" i="141"/>
  <c r="CU11" i="141"/>
  <c r="CV11" i="141"/>
  <c r="CW11" i="141"/>
  <c r="CU12" i="141"/>
  <c r="CV12" i="141"/>
  <c r="CW12" i="141"/>
  <c r="CU13" i="141"/>
  <c r="CV13" i="141"/>
  <c r="CW13" i="141"/>
  <c r="CU14" i="141"/>
  <c r="CV14" i="141"/>
  <c r="CW14" i="141"/>
  <c r="CU15" i="141"/>
  <c r="CV15" i="141"/>
  <c r="CW15" i="141"/>
  <c r="CU16" i="141"/>
  <c r="CV16" i="141"/>
  <c r="CW16" i="141"/>
  <c r="CU17" i="141"/>
  <c r="CV17" i="141"/>
  <c r="CW17" i="141"/>
  <c r="CU18" i="141"/>
  <c r="CV18" i="141"/>
  <c r="CW18" i="141"/>
  <c r="CU19" i="141"/>
  <c r="CV19" i="141"/>
  <c r="CW19" i="141"/>
  <c r="CU20" i="141"/>
  <c r="CV20" i="141"/>
  <c r="CW20" i="141"/>
  <c r="CU21" i="141"/>
  <c r="CV21" i="141"/>
  <c r="CW21" i="141"/>
  <c r="CU22" i="141"/>
  <c r="CV22" i="141"/>
  <c r="CW22" i="141"/>
  <c r="CU23" i="141"/>
  <c r="CV23" i="141"/>
  <c r="CW23" i="141"/>
  <c r="CU24" i="141"/>
  <c r="CV24" i="141"/>
  <c r="CW24" i="141"/>
  <c r="CU25" i="141"/>
  <c r="CV25" i="141"/>
  <c r="CW25" i="141"/>
  <c r="CU26" i="141"/>
  <c r="CV26" i="141"/>
  <c r="CW26" i="141"/>
  <c r="CU27" i="141"/>
  <c r="CV27" i="141"/>
  <c r="CW27" i="141"/>
  <c r="CU28" i="141"/>
  <c r="CV28" i="141"/>
  <c r="CW28" i="141"/>
  <c r="CU29" i="141"/>
  <c r="CV29" i="141"/>
  <c r="CW29" i="141"/>
  <c r="CU30" i="141"/>
  <c r="CV30" i="141"/>
  <c r="CW30" i="141"/>
  <c r="CU31" i="141"/>
  <c r="CV31" i="141"/>
  <c r="CW31" i="141"/>
  <c r="CU32" i="141"/>
  <c r="CV32" i="141"/>
  <c r="CW32" i="141"/>
  <c r="CU33" i="141"/>
  <c r="CV33" i="141"/>
  <c r="CW33" i="141"/>
  <c r="CU34" i="141"/>
  <c r="CV34" i="141"/>
  <c r="CW34" i="141"/>
  <c r="CU35" i="141"/>
  <c r="CV35" i="141"/>
  <c r="CW35" i="141"/>
  <c r="CU36" i="141"/>
  <c r="CV36" i="141"/>
  <c r="CW36" i="141"/>
  <c r="CU37" i="141"/>
  <c r="CV37" i="141"/>
  <c r="CW37" i="141"/>
  <c r="CU38" i="141"/>
  <c r="CV38" i="141"/>
  <c r="CW38" i="141"/>
  <c r="CU39" i="141"/>
  <c r="CV39" i="141"/>
  <c r="CW39" i="141"/>
  <c r="CU40" i="141"/>
  <c r="CV40" i="141"/>
  <c r="CW40" i="141"/>
  <c r="CU41" i="141"/>
  <c r="CV41" i="141"/>
  <c r="CW41" i="141"/>
  <c r="CU42" i="141"/>
  <c r="CV42" i="141"/>
  <c r="CW42" i="141"/>
  <c r="CU43" i="141"/>
  <c r="CV43" i="141"/>
  <c r="CW43" i="141"/>
  <c r="CU44" i="141"/>
  <c r="CV44" i="141"/>
  <c r="CW44" i="141"/>
  <c r="CU45" i="141"/>
  <c r="CV45" i="141"/>
  <c r="CW45" i="141"/>
  <c r="CU46" i="141"/>
  <c r="CV46" i="141"/>
  <c r="CW46" i="141"/>
  <c r="CU47" i="141"/>
  <c r="CV47" i="141"/>
  <c r="CW47" i="141"/>
  <c r="CU48" i="141"/>
  <c r="CV48" i="141"/>
  <c r="CW48" i="141"/>
  <c r="CU49" i="141"/>
  <c r="CV49" i="141"/>
  <c r="CW49" i="141"/>
  <c r="CU50" i="141"/>
  <c r="CV50" i="141"/>
  <c r="CW50" i="141"/>
  <c r="CU51" i="141"/>
  <c r="CV51" i="141"/>
  <c r="CW51" i="141"/>
  <c r="CU52" i="141"/>
  <c r="CV52" i="141"/>
  <c r="CW52" i="141"/>
  <c r="CU53" i="141"/>
  <c r="CV53" i="141"/>
  <c r="CW53" i="141"/>
  <c r="CU54" i="141"/>
  <c r="CV54" i="141"/>
  <c r="CW54" i="141"/>
  <c r="CU55" i="141"/>
  <c r="CV55" i="141"/>
  <c r="CW55" i="141"/>
  <c r="CU56" i="141"/>
  <c r="CV56" i="141"/>
  <c r="CW56" i="141"/>
  <c r="CV3" i="141"/>
  <c r="CW3" i="141"/>
  <c r="CU3" i="141"/>
  <c r="CL4" i="141"/>
  <c r="AC15" i="35" s="1"/>
  <c r="CL5" i="141"/>
  <c r="AC17" i="35" s="1"/>
  <c r="CL6" i="141"/>
  <c r="AC23" i="35" s="1"/>
  <c r="CL7" i="141"/>
  <c r="AC26" i="35" s="1"/>
  <c r="CL8" i="141"/>
  <c r="AC39" i="35" s="1"/>
  <c r="AC37" i="35" s="1"/>
  <c r="CL9" i="141"/>
  <c r="AC57" i="35" s="1"/>
  <c r="AC55" i="35" s="1"/>
  <c r="AC54" i="35" s="1"/>
  <c r="AC53" i="35" s="1"/>
  <c r="CL3" i="141"/>
  <c r="AC18" i="35" s="1"/>
  <c r="CM7" i="142"/>
  <c r="AC26" i="37" s="1"/>
  <c r="AC41" i="37"/>
  <c r="AC38" i="37"/>
  <c r="AC37" i="37" s="1"/>
  <c r="CV4" i="142"/>
  <c r="CW4" i="142"/>
  <c r="CX4" i="142"/>
  <c r="CV5" i="142"/>
  <c r="CW5" i="142"/>
  <c r="CX5" i="142"/>
  <c r="CV6" i="142"/>
  <c r="CW6" i="142"/>
  <c r="CX6" i="142"/>
  <c r="CV7" i="142"/>
  <c r="CW7" i="142"/>
  <c r="CX7" i="142"/>
  <c r="CV8" i="142"/>
  <c r="CW8" i="142"/>
  <c r="CX8" i="142"/>
  <c r="CV9" i="142"/>
  <c r="CW9" i="142"/>
  <c r="CX9" i="142"/>
  <c r="CV10" i="142"/>
  <c r="CW10" i="142"/>
  <c r="CX10" i="142"/>
  <c r="CV11" i="142"/>
  <c r="CW11" i="142"/>
  <c r="CX11" i="142"/>
  <c r="CV12" i="142"/>
  <c r="CW12" i="142"/>
  <c r="CX12" i="142"/>
  <c r="CV13" i="142"/>
  <c r="CW13" i="142"/>
  <c r="CX13" i="142"/>
  <c r="CV14" i="142"/>
  <c r="CW14" i="142"/>
  <c r="CX14" i="142"/>
  <c r="CV15" i="142"/>
  <c r="CW15" i="142"/>
  <c r="CX15" i="142"/>
  <c r="CV16" i="142"/>
  <c r="CW16" i="142"/>
  <c r="CX16" i="142"/>
  <c r="CV17" i="142"/>
  <c r="CW17" i="142"/>
  <c r="CX17" i="142"/>
  <c r="CV18" i="142"/>
  <c r="CW18" i="142"/>
  <c r="CX18" i="142"/>
  <c r="CV19" i="142"/>
  <c r="CW19" i="142"/>
  <c r="CX19" i="142"/>
  <c r="CV20" i="142"/>
  <c r="CW20" i="142"/>
  <c r="CX20" i="142"/>
  <c r="CV21" i="142"/>
  <c r="CW21" i="142"/>
  <c r="CX21" i="142"/>
  <c r="CV22" i="142"/>
  <c r="CW22" i="142"/>
  <c r="CX22" i="142"/>
  <c r="CV23" i="142"/>
  <c r="CW23" i="142"/>
  <c r="CX23" i="142"/>
  <c r="CV24" i="142"/>
  <c r="CW24" i="142"/>
  <c r="CX24" i="142"/>
  <c r="CV25" i="142"/>
  <c r="CW25" i="142"/>
  <c r="CX25" i="142"/>
  <c r="CV26" i="142"/>
  <c r="CW26" i="142"/>
  <c r="CX26" i="142"/>
  <c r="CV27" i="142"/>
  <c r="CW27" i="142"/>
  <c r="CX27" i="142"/>
  <c r="CV28" i="142"/>
  <c r="CW28" i="142"/>
  <c r="CX28" i="142"/>
  <c r="CV29" i="142"/>
  <c r="CW29" i="142"/>
  <c r="CX29" i="142"/>
  <c r="CV30" i="142"/>
  <c r="CW30" i="142"/>
  <c r="CX30" i="142"/>
  <c r="CV31" i="142"/>
  <c r="CW31" i="142"/>
  <c r="CX31" i="142"/>
  <c r="CV32" i="142"/>
  <c r="CW32" i="142"/>
  <c r="CX32" i="142"/>
  <c r="CV33" i="142"/>
  <c r="CW33" i="142"/>
  <c r="CX33" i="142"/>
  <c r="CV34" i="142"/>
  <c r="CW34" i="142"/>
  <c r="CX34" i="142"/>
  <c r="CV35" i="142"/>
  <c r="CW35" i="142"/>
  <c r="CX35" i="142"/>
  <c r="CV36" i="142"/>
  <c r="CW36" i="142"/>
  <c r="CX36" i="142"/>
  <c r="CV37" i="142"/>
  <c r="CW37" i="142"/>
  <c r="CX37" i="142"/>
  <c r="CV38" i="142"/>
  <c r="CW38" i="142"/>
  <c r="CX38" i="142"/>
  <c r="CV39" i="142"/>
  <c r="CW39" i="142"/>
  <c r="CX39" i="142"/>
  <c r="CV40" i="142"/>
  <c r="CW40" i="142"/>
  <c r="CX40" i="142"/>
  <c r="CV41" i="142"/>
  <c r="CW41" i="142"/>
  <c r="CX41" i="142"/>
  <c r="CV42" i="142"/>
  <c r="CW42" i="142"/>
  <c r="CX42" i="142"/>
  <c r="CV43" i="142"/>
  <c r="CW43" i="142"/>
  <c r="CX43" i="142"/>
  <c r="CV44" i="142"/>
  <c r="CW44" i="142"/>
  <c r="CX44" i="142"/>
  <c r="CV45" i="142"/>
  <c r="CW45" i="142"/>
  <c r="CX45" i="142"/>
  <c r="CV46" i="142"/>
  <c r="CW46" i="142"/>
  <c r="CX46" i="142"/>
  <c r="CV47" i="142"/>
  <c r="CW47" i="142"/>
  <c r="CX47" i="142"/>
  <c r="CV48" i="142"/>
  <c r="CW48" i="142"/>
  <c r="CX48" i="142"/>
  <c r="CV49" i="142"/>
  <c r="CW49" i="142"/>
  <c r="CX49" i="142"/>
  <c r="CV50" i="142"/>
  <c r="CW50" i="142"/>
  <c r="CX50" i="142"/>
  <c r="CV51" i="142"/>
  <c r="CW51" i="142"/>
  <c r="CX51" i="142"/>
  <c r="CV52" i="142"/>
  <c r="CW52" i="142"/>
  <c r="CX52" i="142"/>
  <c r="CV53" i="142"/>
  <c r="CW53" i="142"/>
  <c r="CX53" i="142"/>
  <c r="CV54" i="142"/>
  <c r="CW54" i="142"/>
  <c r="CX54" i="142"/>
  <c r="CV55" i="142"/>
  <c r="CW55" i="142"/>
  <c r="CX55" i="142"/>
  <c r="CV56" i="142"/>
  <c r="CW56" i="142"/>
  <c r="CX56" i="142"/>
  <c r="CV57" i="142"/>
  <c r="CW57" i="142"/>
  <c r="CX57" i="142"/>
  <c r="CV58" i="142"/>
  <c r="CW58" i="142"/>
  <c r="CX58" i="142"/>
  <c r="CV59" i="142"/>
  <c r="CW59" i="142"/>
  <c r="CX59" i="142"/>
  <c r="CV60" i="142"/>
  <c r="CW60" i="142"/>
  <c r="CX60" i="142"/>
  <c r="CV61" i="142"/>
  <c r="CW61" i="142"/>
  <c r="CX61" i="142"/>
  <c r="CV62" i="142"/>
  <c r="CW62" i="142"/>
  <c r="CX62" i="142"/>
  <c r="CV63" i="142"/>
  <c r="CW63" i="142"/>
  <c r="CX63" i="142"/>
  <c r="CV64" i="142"/>
  <c r="CW64" i="142"/>
  <c r="CX64" i="142"/>
  <c r="CV65" i="142"/>
  <c r="CW65" i="142"/>
  <c r="CX65" i="142"/>
  <c r="CV66" i="142"/>
  <c r="CW66" i="142"/>
  <c r="CX66" i="142"/>
  <c r="CV67" i="142"/>
  <c r="CW67" i="142"/>
  <c r="CX67" i="142"/>
  <c r="CV68" i="142"/>
  <c r="CW68" i="142"/>
  <c r="CX68" i="142"/>
  <c r="CW3" i="142"/>
  <c r="CX3" i="142"/>
  <c r="CV3" i="142"/>
  <c r="CM4" i="142"/>
  <c r="AC18" i="37" s="1"/>
  <c r="CM5" i="142"/>
  <c r="CM6" i="142"/>
  <c r="AC27" i="37" s="1"/>
  <c r="CM8" i="142"/>
  <c r="AC46" i="37" s="1"/>
  <c r="CM9" i="142"/>
  <c r="AC47" i="37" s="1"/>
  <c r="CM10" i="142"/>
  <c r="AC51" i="37" s="1"/>
  <c r="CM11" i="142"/>
  <c r="AC54" i="37" s="1"/>
  <c r="CM12" i="142"/>
  <c r="AC55" i="37" s="1"/>
  <c r="CM13" i="142"/>
  <c r="AC56" i="37" s="1"/>
  <c r="CM14" i="142"/>
  <c r="AC59" i="37" s="1"/>
  <c r="CM3" i="142"/>
  <c r="I162" i="39"/>
  <c r="G166" i="4"/>
  <c r="H215" i="39"/>
  <c r="G167" i="4"/>
  <c r="G168" i="4"/>
  <c r="G169" i="4"/>
  <c r="G170" i="4"/>
  <c r="G171" i="4"/>
  <c r="G172" i="4"/>
  <c r="G173" i="4"/>
  <c r="G174" i="4"/>
  <c r="F189" i="39"/>
  <c r="G78" i="4"/>
  <c r="G79" i="4"/>
  <c r="G77" i="4"/>
  <c r="G75" i="4"/>
  <c r="F77" i="39"/>
  <c r="F13" i="39"/>
  <c r="F32" i="39"/>
  <c r="G32" i="4"/>
  <c r="F39" i="39"/>
  <c r="F36" i="39"/>
  <c r="F45" i="39"/>
  <c r="AB81" i="4"/>
  <c r="AB176" i="4"/>
  <c r="AB165" i="4"/>
  <c r="AB87" i="4"/>
  <c r="AB69" i="4"/>
  <c r="AB60" i="4"/>
  <c r="BS3" i="136"/>
  <c r="BM4" i="140"/>
  <c r="BN4" i="140"/>
  <c r="BO4" i="140"/>
  <c r="BP4" i="140"/>
  <c r="BM5" i="140"/>
  <c r="BN5" i="140"/>
  <c r="BO5" i="140"/>
  <c r="BP5" i="140"/>
  <c r="BM6" i="140"/>
  <c r="BN6" i="140"/>
  <c r="BO6" i="140"/>
  <c r="BP6" i="140"/>
  <c r="BM7" i="140"/>
  <c r="BN7" i="140"/>
  <c r="BO7" i="140"/>
  <c r="BP7" i="140"/>
  <c r="BM8" i="140"/>
  <c r="BN8" i="140"/>
  <c r="BO8" i="140"/>
  <c r="BP8" i="140"/>
  <c r="BM9" i="140"/>
  <c r="BN9" i="140"/>
  <c r="BO9" i="140"/>
  <c r="BP9" i="140"/>
  <c r="BM10" i="140"/>
  <c r="BN10" i="140"/>
  <c r="BO10" i="140"/>
  <c r="BP10" i="140"/>
  <c r="BM11" i="140"/>
  <c r="BN11" i="140"/>
  <c r="BO11" i="140"/>
  <c r="BP11" i="140"/>
  <c r="BM12" i="140"/>
  <c r="BN12" i="140"/>
  <c r="BO12" i="140"/>
  <c r="BP12" i="140"/>
  <c r="BM13" i="140"/>
  <c r="BN13" i="140"/>
  <c r="BO13" i="140"/>
  <c r="BP13" i="140"/>
  <c r="BM14" i="140"/>
  <c r="BN14" i="140"/>
  <c r="BO14" i="140"/>
  <c r="BP14" i="140"/>
  <c r="BM15" i="140"/>
  <c r="BN15" i="140"/>
  <c r="BO15" i="140"/>
  <c r="BP15" i="140"/>
  <c r="BM16" i="140"/>
  <c r="BN16" i="140"/>
  <c r="BO16" i="140"/>
  <c r="BP16" i="140"/>
  <c r="BM17" i="140"/>
  <c r="BN17" i="140"/>
  <c r="BO17" i="140"/>
  <c r="BP17" i="140"/>
  <c r="BM18" i="140"/>
  <c r="BN18" i="140"/>
  <c r="BO18" i="140"/>
  <c r="BP18" i="140"/>
  <c r="BM19" i="140"/>
  <c r="BN19" i="140"/>
  <c r="BO19" i="140"/>
  <c r="BP19" i="140"/>
  <c r="BM20" i="140"/>
  <c r="BN20" i="140"/>
  <c r="BO20" i="140"/>
  <c r="BP20" i="140"/>
  <c r="BM21" i="140"/>
  <c r="BN21" i="140"/>
  <c r="BO21" i="140"/>
  <c r="BP21" i="140"/>
  <c r="BM22" i="140"/>
  <c r="BN22" i="140"/>
  <c r="BO22" i="140"/>
  <c r="BP22" i="140"/>
  <c r="BM23" i="140"/>
  <c r="BN23" i="140"/>
  <c r="BO23" i="140"/>
  <c r="BP23" i="140"/>
  <c r="BM24" i="140"/>
  <c r="BN24" i="140"/>
  <c r="BO24" i="140"/>
  <c r="BP24" i="140"/>
  <c r="BM25" i="140"/>
  <c r="BN25" i="140"/>
  <c r="BO25" i="140"/>
  <c r="BP25" i="140"/>
  <c r="BM26" i="140"/>
  <c r="BN26" i="140"/>
  <c r="BO26" i="140"/>
  <c r="BP26" i="140"/>
  <c r="BM27" i="140"/>
  <c r="BN27" i="140"/>
  <c r="BO27" i="140"/>
  <c r="BP27" i="140"/>
  <c r="BM28" i="140"/>
  <c r="BN28" i="140"/>
  <c r="BO28" i="140"/>
  <c r="BP28" i="140"/>
  <c r="BM29" i="140"/>
  <c r="BN29" i="140"/>
  <c r="BO29" i="140"/>
  <c r="BP29" i="140"/>
  <c r="BM30" i="140"/>
  <c r="BN30" i="140"/>
  <c r="BO30" i="140"/>
  <c r="BP30" i="140"/>
  <c r="BM31" i="140"/>
  <c r="BN31" i="140"/>
  <c r="BO31" i="140"/>
  <c r="BP31" i="140"/>
  <c r="BM32" i="140"/>
  <c r="BN32" i="140"/>
  <c r="BO32" i="140"/>
  <c r="BP32" i="140"/>
  <c r="BM33" i="140"/>
  <c r="BN33" i="140"/>
  <c r="BO33" i="140"/>
  <c r="BP33" i="140"/>
  <c r="BM34" i="140"/>
  <c r="BN34" i="140"/>
  <c r="BO34" i="140"/>
  <c r="BP34" i="140"/>
  <c r="BM35" i="140"/>
  <c r="BN35" i="140"/>
  <c r="BO35" i="140"/>
  <c r="BP35" i="140"/>
  <c r="BM36" i="140"/>
  <c r="BN36" i="140"/>
  <c r="BO36" i="140"/>
  <c r="BP36" i="140"/>
  <c r="BM37" i="140"/>
  <c r="BN37" i="140"/>
  <c r="BO37" i="140"/>
  <c r="BP37" i="140"/>
  <c r="BM38" i="140"/>
  <c r="BN38" i="140"/>
  <c r="BO38" i="140"/>
  <c r="BP38" i="140"/>
  <c r="BM39" i="140"/>
  <c r="BN39" i="140"/>
  <c r="BO39" i="140"/>
  <c r="BP39" i="140"/>
  <c r="BM40" i="140"/>
  <c r="BN40" i="140"/>
  <c r="BO40" i="140"/>
  <c r="BP40" i="140"/>
  <c r="BM41" i="140"/>
  <c r="BN41" i="140"/>
  <c r="BO41" i="140"/>
  <c r="BP41" i="140"/>
  <c r="BM42" i="140"/>
  <c r="BN42" i="140"/>
  <c r="BO42" i="140"/>
  <c r="BP42" i="140"/>
  <c r="BM43" i="140"/>
  <c r="BN43" i="140"/>
  <c r="BO43" i="140"/>
  <c r="BP43" i="140"/>
  <c r="BM44" i="140"/>
  <c r="BN44" i="140"/>
  <c r="BO44" i="140"/>
  <c r="BP44" i="140"/>
  <c r="BM45" i="140"/>
  <c r="BN45" i="140"/>
  <c r="BO45" i="140"/>
  <c r="BP45" i="140"/>
  <c r="BM46" i="140"/>
  <c r="BN46" i="140"/>
  <c r="BO46" i="140"/>
  <c r="BP46" i="140"/>
  <c r="BM47" i="140"/>
  <c r="BN47" i="140"/>
  <c r="BO47" i="140"/>
  <c r="BP47" i="140"/>
  <c r="BM48" i="140"/>
  <c r="BN48" i="140"/>
  <c r="BO48" i="140"/>
  <c r="BP48" i="140"/>
  <c r="BM49" i="140"/>
  <c r="BN49" i="140"/>
  <c r="BO49" i="140"/>
  <c r="BP49" i="140"/>
  <c r="BM50" i="140"/>
  <c r="BN50" i="140"/>
  <c r="BO50" i="140"/>
  <c r="BP50" i="140"/>
  <c r="BM51" i="140"/>
  <c r="BN51" i="140"/>
  <c r="BO51" i="140"/>
  <c r="BP51" i="140"/>
  <c r="BM52" i="140"/>
  <c r="BN52" i="140"/>
  <c r="BO52" i="140"/>
  <c r="BP52" i="140"/>
  <c r="BM53" i="140"/>
  <c r="BN53" i="140"/>
  <c r="BO53" i="140"/>
  <c r="BP53" i="140"/>
  <c r="BM54" i="140"/>
  <c r="BN54" i="140"/>
  <c r="BO54" i="140"/>
  <c r="BP54" i="140"/>
  <c r="BM55" i="140"/>
  <c r="BN55" i="140"/>
  <c r="BO55" i="140"/>
  <c r="BP55" i="140"/>
  <c r="BM56" i="140"/>
  <c r="BN56" i="140"/>
  <c r="BO56" i="140"/>
  <c r="BP56" i="140"/>
  <c r="BM57" i="140"/>
  <c r="BN57" i="140"/>
  <c r="BO57" i="140"/>
  <c r="BP57" i="140"/>
  <c r="BM58" i="140"/>
  <c r="BN58" i="140"/>
  <c r="BO58" i="140"/>
  <c r="BP58" i="140"/>
  <c r="BM59" i="140"/>
  <c r="BN59" i="140"/>
  <c r="BO59" i="140"/>
  <c r="BP59" i="140"/>
  <c r="BM60" i="140"/>
  <c r="BN60" i="140"/>
  <c r="BO60" i="140"/>
  <c r="BP60" i="140"/>
  <c r="BM61" i="140"/>
  <c r="BN61" i="140"/>
  <c r="BO61" i="140"/>
  <c r="BP61" i="140"/>
  <c r="BM62" i="140"/>
  <c r="BN62" i="140"/>
  <c r="BO62" i="140"/>
  <c r="BP62" i="140"/>
  <c r="BM63" i="140"/>
  <c r="BN63" i="140"/>
  <c r="BO63" i="140"/>
  <c r="BP63" i="140"/>
  <c r="BM64" i="140"/>
  <c r="BN64" i="140"/>
  <c r="BO64" i="140"/>
  <c r="BP64" i="140"/>
  <c r="BM65" i="140"/>
  <c r="BN65" i="140"/>
  <c r="BO65" i="140"/>
  <c r="BP65" i="140"/>
  <c r="BM66" i="140"/>
  <c r="BN66" i="140"/>
  <c r="BO66" i="140"/>
  <c r="BP66" i="140"/>
  <c r="BM67" i="140"/>
  <c r="BN67" i="140"/>
  <c r="BO67" i="140"/>
  <c r="BP67" i="140"/>
  <c r="BM68" i="140"/>
  <c r="BN68" i="140"/>
  <c r="BO68" i="140"/>
  <c r="BP68" i="140"/>
  <c r="BM69" i="140"/>
  <c r="BN69" i="140"/>
  <c r="BO69" i="140"/>
  <c r="BP69" i="140"/>
  <c r="BM70" i="140"/>
  <c r="BN70" i="140"/>
  <c r="BO70" i="140"/>
  <c r="BP70" i="140"/>
  <c r="BM71" i="140"/>
  <c r="BN71" i="140"/>
  <c r="BO71" i="140"/>
  <c r="BP71" i="140"/>
  <c r="BM72" i="140"/>
  <c r="BN72" i="140"/>
  <c r="BO72" i="140"/>
  <c r="BP72" i="140"/>
  <c r="BM73" i="140"/>
  <c r="BN73" i="140"/>
  <c r="BO73" i="140"/>
  <c r="BP73" i="140"/>
  <c r="BM74" i="140"/>
  <c r="BN74" i="140"/>
  <c r="BO74" i="140"/>
  <c r="BP74" i="140"/>
  <c r="BM75" i="140"/>
  <c r="BN75" i="140"/>
  <c r="BO75" i="140"/>
  <c r="BP75" i="140"/>
  <c r="BM76" i="140"/>
  <c r="BN76" i="140"/>
  <c r="BO76" i="140"/>
  <c r="BP76" i="140"/>
  <c r="BM77" i="140"/>
  <c r="BN77" i="140"/>
  <c r="BO77" i="140"/>
  <c r="BP77" i="140"/>
  <c r="BM78" i="140"/>
  <c r="BN78" i="140"/>
  <c r="BO78" i="140"/>
  <c r="BP78" i="140"/>
  <c r="BM79" i="140"/>
  <c r="BN79" i="140"/>
  <c r="BO79" i="140"/>
  <c r="BP79" i="140"/>
  <c r="BM80" i="140"/>
  <c r="BN80" i="140"/>
  <c r="BO80" i="140"/>
  <c r="BP80" i="140"/>
  <c r="BM81" i="140"/>
  <c r="BN81" i="140"/>
  <c r="BO81" i="140"/>
  <c r="BP81" i="140"/>
  <c r="BM82" i="140"/>
  <c r="BN82" i="140"/>
  <c r="BO82" i="140"/>
  <c r="BP82" i="140"/>
  <c r="BM83" i="140"/>
  <c r="BN83" i="140"/>
  <c r="BO83" i="140"/>
  <c r="BP83" i="140"/>
  <c r="BM84" i="140"/>
  <c r="BN84" i="140"/>
  <c r="BO84" i="140"/>
  <c r="BP84" i="140"/>
  <c r="BM85" i="140"/>
  <c r="BN85" i="140"/>
  <c r="BO85" i="140"/>
  <c r="BP85" i="140"/>
  <c r="BM86" i="140"/>
  <c r="BN86" i="140"/>
  <c r="BO86" i="140"/>
  <c r="BP86" i="140"/>
  <c r="BM87" i="140"/>
  <c r="BN87" i="140"/>
  <c r="BO87" i="140"/>
  <c r="BP87" i="140"/>
  <c r="BM88" i="140"/>
  <c r="BN88" i="140"/>
  <c r="BO88" i="140"/>
  <c r="BP88" i="140"/>
  <c r="BM89" i="140"/>
  <c r="BN89" i="140"/>
  <c r="BO89" i="140"/>
  <c r="BP89" i="140"/>
  <c r="BM90" i="140"/>
  <c r="BN90" i="140"/>
  <c r="BO90" i="140"/>
  <c r="BP90" i="140"/>
  <c r="BM91" i="140"/>
  <c r="BN91" i="140"/>
  <c r="BO91" i="140"/>
  <c r="BP91" i="140"/>
  <c r="BM92" i="140"/>
  <c r="BN92" i="140"/>
  <c r="BO92" i="140"/>
  <c r="BP92" i="140"/>
  <c r="BM93" i="140"/>
  <c r="BN93" i="140"/>
  <c r="BO93" i="140"/>
  <c r="BP93" i="140"/>
  <c r="BM94" i="140"/>
  <c r="BN94" i="140"/>
  <c r="BO94" i="140"/>
  <c r="BP94" i="140"/>
  <c r="BM95" i="140"/>
  <c r="BN95" i="140"/>
  <c r="BO95" i="140"/>
  <c r="BP95" i="140"/>
  <c r="BM96" i="140"/>
  <c r="BN96" i="140"/>
  <c r="BO96" i="140"/>
  <c r="BP96" i="140"/>
  <c r="BM97" i="140"/>
  <c r="BN97" i="140"/>
  <c r="BO97" i="140"/>
  <c r="BP97" i="140"/>
  <c r="BM98" i="140"/>
  <c r="BN98" i="140"/>
  <c r="BO98" i="140"/>
  <c r="BP98" i="140"/>
  <c r="BM99" i="140"/>
  <c r="BN99" i="140"/>
  <c r="BO99" i="140"/>
  <c r="BP99" i="140"/>
  <c r="BM100" i="140"/>
  <c r="BN100" i="140"/>
  <c r="BO100" i="140"/>
  <c r="BP100" i="140"/>
  <c r="BM101" i="140"/>
  <c r="BN101" i="140"/>
  <c r="BO101" i="140"/>
  <c r="BP101" i="140"/>
  <c r="BM102" i="140"/>
  <c r="BN102" i="140"/>
  <c r="BO102" i="140"/>
  <c r="BP102" i="140"/>
  <c r="BM103" i="140"/>
  <c r="BN103" i="140"/>
  <c r="BO103" i="140"/>
  <c r="BP103" i="140"/>
  <c r="BM104" i="140"/>
  <c r="BN104" i="140"/>
  <c r="BO104" i="140"/>
  <c r="BP104" i="140"/>
  <c r="BM105" i="140"/>
  <c r="BN105" i="140"/>
  <c r="BO105" i="140"/>
  <c r="BP105" i="140"/>
  <c r="BM106" i="140"/>
  <c r="BN106" i="140"/>
  <c r="BO106" i="140"/>
  <c r="BP106" i="140"/>
  <c r="BM107" i="140"/>
  <c r="BN107" i="140"/>
  <c r="BO107" i="140"/>
  <c r="BP107" i="140"/>
  <c r="BM108" i="140"/>
  <c r="BN108" i="140"/>
  <c r="BO108" i="140"/>
  <c r="BP108" i="140"/>
  <c r="BM109" i="140"/>
  <c r="BN109" i="140"/>
  <c r="BO109" i="140"/>
  <c r="BP109" i="140"/>
  <c r="BM110" i="140"/>
  <c r="BN110" i="140"/>
  <c r="BO110" i="140"/>
  <c r="BP110" i="140"/>
  <c r="BM111" i="140"/>
  <c r="BN111" i="140"/>
  <c r="BO111" i="140"/>
  <c r="BP111" i="140"/>
  <c r="BM112" i="140"/>
  <c r="BN112" i="140"/>
  <c r="BO112" i="140"/>
  <c r="BP112" i="140"/>
  <c r="BM113" i="140"/>
  <c r="BN113" i="140"/>
  <c r="BO113" i="140"/>
  <c r="BP113" i="140"/>
  <c r="BM114" i="140"/>
  <c r="BN114" i="140"/>
  <c r="BO114" i="140"/>
  <c r="BP114" i="140"/>
  <c r="BM115" i="140"/>
  <c r="BN115" i="140"/>
  <c r="BO115" i="140"/>
  <c r="BP115" i="140"/>
  <c r="BM116" i="140"/>
  <c r="BN116" i="140"/>
  <c r="BO116" i="140"/>
  <c r="BP116" i="140"/>
  <c r="BM117" i="140"/>
  <c r="BN117" i="140"/>
  <c r="BO117" i="140"/>
  <c r="BP117" i="140"/>
  <c r="BM118" i="140"/>
  <c r="BN118" i="140"/>
  <c r="BO118" i="140"/>
  <c r="BP118" i="140"/>
  <c r="BM119" i="140"/>
  <c r="BN119" i="140"/>
  <c r="BO119" i="140"/>
  <c r="BP119" i="140"/>
  <c r="BM120" i="140"/>
  <c r="BN120" i="140"/>
  <c r="BO120" i="140"/>
  <c r="BP120" i="140"/>
  <c r="BM121" i="140"/>
  <c r="BN121" i="140"/>
  <c r="BO121" i="140"/>
  <c r="BP121" i="140"/>
  <c r="BM122" i="140"/>
  <c r="BN122" i="140"/>
  <c r="BO122" i="140"/>
  <c r="BP122" i="140"/>
  <c r="BM123" i="140"/>
  <c r="BN123" i="140"/>
  <c r="BO123" i="140"/>
  <c r="BP123" i="140"/>
  <c r="BM124" i="140"/>
  <c r="BN124" i="140"/>
  <c r="BO124" i="140"/>
  <c r="BP124" i="140"/>
  <c r="BM125" i="140"/>
  <c r="BN125" i="140"/>
  <c r="BO125" i="140"/>
  <c r="BP125" i="140"/>
  <c r="BM126" i="140"/>
  <c r="BN126" i="140"/>
  <c r="BO126" i="140"/>
  <c r="BP126" i="140"/>
  <c r="BM127" i="140"/>
  <c r="BN127" i="140"/>
  <c r="BO127" i="140"/>
  <c r="BP127" i="140"/>
  <c r="BM128" i="140"/>
  <c r="BN128" i="140"/>
  <c r="BO128" i="140"/>
  <c r="BP128" i="140"/>
  <c r="BM129" i="140"/>
  <c r="BN129" i="140"/>
  <c r="BO129" i="140"/>
  <c r="BP129" i="140"/>
  <c r="BM130" i="140"/>
  <c r="BN130" i="140"/>
  <c r="BO130" i="140"/>
  <c r="BP130" i="140"/>
  <c r="BM131" i="140"/>
  <c r="BN131" i="140"/>
  <c r="BO131" i="140"/>
  <c r="BP131" i="140"/>
  <c r="BM132" i="140"/>
  <c r="BN132" i="140"/>
  <c r="BO132" i="140"/>
  <c r="BP132" i="140"/>
  <c r="BM133" i="140"/>
  <c r="BN133" i="140"/>
  <c r="BO133" i="140"/>
  <c r="BP133" i="140"/>
  <c r="BM134" i="140"/>
  <c r="BN134" i="140"/>
  <c r="BO134" i="140"/>
  <c r="BP134" i="140"/>
  <c r="BM135" i="140"/>
  <c r="BN135" i="140"/>
  <c r="BO135" i="140"/>
  <c r="BP135" i="140"/>
  <c r="BM136" i="140"/>
  <c r="BN136" i="140"/>
  <c r="BO136" i="140"/>
  <c r="BP136" i="140"/>
  <c r="BM137" i="140"/>
  <c r="BN137" i="140"/>
  <c r="BO137" i="140"/>
  <c r="BP137" i="140"/>
  <c r="BM138" i="140"/>
  <c r="BN138" i="140"/>
  <c r="BO138" i="140"/>
  <c r="BP138" i="140"/>
  <c r="BM139" i="140"/>
  <c r="BN139" i="140"/>
  <c r="BO139" i="140"/>
  <c r="BP139" i="140"/>
  <c r="BM140" i="140"/>
  <c r="BN140" i="140"/>
  <c r="BO140" i="140"/>
  <c r="BP140" i="140"/>
  <c r="BM141" i="140"/>
  <c r="BN141" i="140"/>
  <c r="BO141" i="140"/>
  <c r="BP141" i="140"/>
  <c r="BM142" i="140"/>
  <c r="BN142" i="140"/>
  <c r="BO142" i="140"/>
  <c r="BP142" i="140"/>
  <c r="BM143" i="140"/>
  <c r="BN143" i="140"/>
  <c r="BO143" i="140"/>
  <c r="BP143" i="140"/>
  <c r="BM144" i="140"/>
  <c r="BN144" i="140"/>
  <c r="BO144" i="140"/>
  <c r="BP144" i="140"/>
  <c r="BM145" i="140"/>
  <c r="BN145" i="140"/>
  <c r="BO145" i="140"/>
  <c r="BP145" i="140"/>
  <c r="BM146" i="140"/>
  <c r="BN146" i="140"/>
  <c r="BO146" i="140"/>
  <c r="BP146" i="140"/>
  <c r="BM147" i="140"/>
  <c r="BN147" i="140"/>
  <c r="BO147" i="140"/>
  <c r="BP147" i="140"/>
  <c r="BM148" i="140"/>
  <c r="BN148" i="140"/>
  <c r="BO148" i="140"/>
  <c r="BP148" i="140"/>
  <c r="BM149" i="140"/>
  <c r="BN149" i="140"/>
  <c r="BO149" i="140"/>
  <c r="BP149" i="140"/>
  <c r="BM150" i="140"/>
  <c r="BN150" i="140"/>
  <c r="BO150" i="140"/>
  <c r="BP150" i="140"/>
  <c r="BM151" i="140"/>
  <c r="BN151" i="140"/>
  <c r="BO151" i="140"/>
  <c r="BP151" i="140"/>
  <c r="BM152" i="140"/>
  <c r="BN152" i="140"/>
  <c r="BO152" i="140"/>
  <c r="BP152" i="140"/>
  <c r="BM153" i="140"/>
  <c r="BN153" i="140"/>
  <c r="BO153" i="140"/>
  <c r="BP153" i="140"/>
  <c r="BM154" i="140"/>
  <c r="BN154" i="140"/>
  <c r="BO154" i="140"/>
  <c r="BP154" i="140"/>
  <c r="BM155" i="140"/>
  <c r="BN155" i="140"/>
  <c r="BO155" i="140"/>
  <c r="BP155" i="140"/>
  <c r="BM156" i="140"/>
  <c r="BN156" i="140"/>
  <c r="BO156" i="140"/>
  <c r="BP156" i="140"/>
  <c r="BN3" i="140"/>
  <c r="BO3" i="140"/>
  <c r="BP3" i="140"/>
  <c r="BM3" i="140"/>
  <c r="BF4" i="140"/>
  <c r="BF5" i="140"/>
  <c r="BF6" i="140"/>
  <c r="AB13" i="4" s="1"/>
  <c r="BF7" i="140"/>
  <c r="AB14" i="4" s="1"/>
  <c r="BF8" i="140"/>
  <c r="AB15" i="4" s="1"/>
  <c r="BF9" i="140"/>
  <c r="AB17" i="4" s="1"/>
  <c r="BF10" i="140"/>
  <c r="AB18" i="4" s="1"/>
  <c r="BF11" i="140"/>
  <c r="AB19" i="4" s="1"/>
  <c r="BF12" i="140"/>
  <c r="AB20" i="4" s="1"/>
  <c r="BF13" i="140"/>
  <c r="AB21" i="4" s="1"/>
  <c r="BF14" i="140"/>
  <c r="AB23" i="4" s="1"/>
  <c r="BF15" i="140"/>
  <c r="BF16" i="140"/>
  <c r="AB28" i="4" s="1"/>
  <c r="AB26" i="4" s="1"/>
  <c r="BF17" i="140"/>
  <c r="BF18" i="140"/>
  <c r="AB34" i="4" s="1"/>
  <c r="BF19" i="140"/>
  <c r="AB36" i="4" s="1"/>
  <c r="BF20" i="140"/>
  <c r="BF21" i="140"/>
  <c r="BF22" i="140"/>
  <c r="AB44" i="4" s="1"/>
  <c r="BF23" i="140"/>
  <c r="AB45" i="4" s="1"/>
  <c r="BF24" i="140"/>
  <c r="AB46" i="4" s="1"/>
  <c r="BF25" i="140"/>
  <c r="AB47" i="4" s="1"/>
  <c r="BF26" i="140"/>
  <c r="AB49" i="4" s="1"/>
  <c r="BF27" i="140"/>
  <c r="AB50" i="4" s="1"/>
  <c r="BF28" i="140"/>
  <c r="AB51" i="4" s="1"/>
  <c r="BF29" i="140"/>
  <c r="AB54" i="4" s="1"/>
  <c r="BF30" i="140"/>
  <c r="BF31" i="140"/>
  <c r="AB59" i="4" s="1"/>
  <c r="AB57" i="4" s="1"/>
  <c r="BF32" i="140"/>
  <c r="BF33" i="140"/>
  <c r="AB65" i="4" s="1"/>
  <c r="BF34" i="140"/>
  <c r="AB66" i="4" s="1"/>
  <c r="BF35" i="140"/>
  <c r="AB67" i="4" s="1"/>
  <c r="BF36" i="140"/>
  <c r="BF37" i="140"/>
  <c r="BF38" i="140"/>
  <c r="AB75" i="4" s="1"/>
  <c r="BF39" i="140"/>
  <c r="AB76" i="4" s="1"/>
  <c r="BF40" i="140"/>
  <c r="AB79" i="4" s="1"/>
  <c r="BF41" i="140"/>
  <c r="BF42" i="140"/>
  <c r="BF43" i="140"/>
  <c r="AB86" i="4" s="1"/>
  <c r="AB83" i="4" s="1"/>
  <c r="BF44" i="140"/>
  <c r="BF45" i="140"/>
  <c r="AB90" i="4" s="1"/>
  <c r="BF46" i="140"/>
  <c r="AB92" i="4" s="1"/>
  <c r="BF47" i="140"/>
  <c r="AB95" i="4" s="1"/>
  <c r="BF48" i="140"/>
  <c r="AB98" i="4" s="1"/>
  <c r="BF49" i="140"/>
  <c r="AB101" i="4" s="1"/>
  <c r="BF50" i="140"/>
  <c r="AB102" i="4" s="1"/>
  <c r="BF51" i="140"/>
  <c r="BF52" i="140"/>
  <c r="AB104" i="4" s="1"/>
  <c r="BF53" i="140"/>
  <c r="AB105" i="4" s="1"/>
  <c r="BF54" i="140"/>
  <c r="AB106" i="4" s="1"/>
  <c r="BF55" i="140"/>
  <c r="AB107" i="4" s="1"/>
  <c r="BF56" i="140"/>
  <c r="AB108" i="4" s="1"/>
  <c r="BF57" i="140"/>
  <c r="AB111" i="4" s="1"/>
  <c r="BF58" i="140"/>
  <c r="BF59" i="140"/>
  <c r="AB113" i="4" s="1"/>
  <c r="BF60" i="140"/>
  <c r="AB114" i="4" s="1"/>
  <c r="BF61" i="140"/>
  <c r="AB118" i="4" s="1"/>
  <c r="BF62" i="140"/>
  <c r="BF63" i="140"/>
  <c r="AB121" i="4" s="1"/>
  <c r="AB120" i="4" s="1"/>
  <c r="BF64" i="140"/>
  <c r="BF65" i="140"/>
  <c r="AB125" i="4" s="1"/>
  <c r="BF66" i="140"/>
  <c r="AB128" i="4" s="1"/>
  <c r="BF67" i="140"/>
  <c r="AB129" i="4" s="1"/>
  <c r="BF68" i="140"/>
  <c r="AB131" i="4" s="1"/>
  <c r="BF69" i="140"/>
  <c r="BF70" i="140"/>
  <c r="AB133" i="4" s="1"/>
  <c r="BF71" i="140"/>
  <c r="AB135" i="4" s="1"/>
  <c r="BF72" i="140"/>
  <c r="AB136" i="4" s="1"/>
  <c r="BF73" i="140"/>
  <c r="BF74" i="140"/>
  <c r="AB141" i="4" s="1"/>
  <c r="BF75" i="140"/>
  <c r="AB143" i="4" s="1"/>
  <c r="BF76" i="140"/>
  <c r="BF77" i="140"/>
  <c r="AB146" i="4" s="1"/>
  <c r="AB145" i="4" s="1"/>
  <c r="BF78" i="140"/>
  <c r="BF79" i="140"/>
  <c r="BF80" i="140"/>
  <c r="AB186" i="4" s="1"/>
  <c r="AB185" i="4" s="1"/>
  <c r="BF81" i="140"/>
  <c r="BF82" i="140"/>
  <c r="BF83" i="140"/>
  <c r="AB189" i="4" s="1"/>
  <c r="AB188" i="4" s="1"/>
  <c r="AB187" i="4" s="1"/>
  <c r="BF3" i="140"/>
  <c r="CC52" i="137"/>
  <c r="CD52" i="137"/>
  <c r="CB52" i="137"/>
  <c r="BH84" i="136"/>
  <c r="BQ4" i="143"/>
  <c r="BR4" i="143"/>
  <c r="BS4" i="143"/>
  <c r="BQ5" i="143"/>
  <c r="BR5" i="143"/>
  <c r="BS5" i="143"/>
  <c r="BQ6" i="143"/>
  <c r="BR6" i="143"/>
  <c r="BS6" i="143"/>
  <c r="BQ7" i="143"/>
  <c r="BR7" i="143"/>
  <c r="BS7" i="143"/>
  <c r="BQ8" i="143"/>
  <c r="BR8" i="143"/>
  <c r="BS8" i="143"/>
  <c r="BQ9" i="143"/>
  <c r="BR9" i="143"/>
  <c r="BS9" i="143"/>
  <c r="BQ10" i="143"/>
  <c r="BR10" i="143"/>
  <c r="BS10" i="143"/>
  <c r="BQ11" i="143"/>
  <c r="BR11" i="143"/>
  <c r="BS11" i="143"/>
  <c r="BQ12" i="143"/>
  <c r="BR12" i="143"/>
  <c r="BS12" i="143"/>
  <c r="BQ13" i="143"/>
  <c r="BR13" i="143"/>
  <c r="BS13" i="143"/>
  <c r="BR3" i="143"/>
  <c r="BR14" i="143" s="1"/>
  <c r="BS3" i="143"/>
  <c r="BS14" i="143" s="1"/>
  <c r="BQ3" i="143"/>
  <c r="BQ14" i="143" s="1"/>
  <c r="BK9" i="139"/>
  <c r="BL9" i="139"/>
  <c r="BM9" i="139"/>
  <c r="BD5" i="139"/>
  <c r="J32" i="37"/>
  <c r="K32" i="37" s="1"/>
  <c r="AB29" i="37"/>
  <c r="AA33" i="37"/>
  <c r="AA35" i="37"/>
  <c r="AA37" i="37"/>
  <c r="AA41" i="37"/>
  <c r="AA61" i="37"/>
  <c r="AA46" i="37"/>
  <c r="AB18" i="37"/>
  <c r="AB23" i="37"/>
  <c r="CD4" i="142"/>
  <c r="CE4" i="142"/>
  <c r="CF4" i="142"/>
  <c r="CD5" i="142"/>
  <c r="CE5" i="142"/>
  <c r="CF5" i="142"/>
  <c r="CD6" i="142"/>
  <c r="CE6" i="142"/>
  <c r="CF6" i="142"/>
  <c r="CD7" i="142"/>
  <c r="CE7" i="142"/>
  <c r="CF7" i="142"/>
  <c r="CD8" i="142"/>
  <c r="CE8" i="142"/>
  <c r="CF8" i="142"/>
  <c r="CD9" i="142"/>
  <c r="CE9" i="142"/>
  <c r="CF9" i="142"/>
  <c r="CD10" i="142"/>
  <c r="CE10" i="142"/>
  <c r="CF10" i="142"/>
  <c r="CD11" i="142"/>
  <c r="CE11" i="142"/>
  <c r="CF11" i="142"/>
  <c r="CD12" i="142"/>
  <c r="CE12" i="142"/>
  <c r="CF12" i="142"/>
  <c r="CD13" i="142"/>
  <c r="CE13" i="142"/>
  <c r="CF13" i="142"/>
  <c r="CD14" i="142"/>
  <c r="CE14" i="142"/>
  <c r="CF14" i="142"/>
  <c r="CD15" i="142"/>
  <c r="CE15" i="142"/>
  <c r="CF15" i="142"/>
  <c r="CD16" i="142"/>
  <c r="CE16" i="142"/>
  <c r="CF16" i="142"/>
  <c r="CD17" i="142"/>
  <c r="CE17" i="142"/>
  <c r="CF17" i="142"/>
  <c r="CD18" i="142"/>
  <c r="CE18" i="142"/>
  <c r="CF18" i="142"/>
  <c r="CD19" i="142"/>
  <c r="CE19" i="142"/>
  <c r="CF19" i="142"/>
  <c r="CD20" i="142"/>
  <c r="CE20" i="142"/>
  <c r="CF20" i="142"/>
  <c r="CD21" i="142"/>
  <c r="CE21" i="142"/>
  <c r="CF21" i="142"/>
  <c r="CD22" i="142"/>
  <c r="CE22" i="142"/>
  <c r="CF22" i="142"/>
  <c r="CD23" i="142"/>
  <c r="CE23" i="142"/>
  <c r="CF23" i="142"/>
  <c r="CD24" i="142"/>
  <c r="CE24" i="142"/>
  <c r="CF24" i="142"/>
  <c r="CD25" i="142"/>
  <c r="CE25" i="142"/>
  <c r="CF25" i="142"/>
  <c r="CD26" i="142"/>
  <c r="CE26" i="142"/>
  <c r="CF26" i="142"/>
  <c r="CD27" i="142"/>
  <c r="CE27" i="142"/>
  <c r="CF27" i="142"/>
  <c r="CD28" i="142"/>
  <c r="CE28" i="142"/>
  <c r="CF28" i="142"/>
  <c r="CD29" i="142"/>
  <c r="CE29" i="142"/>
  <c r="CF29" i="142"/>
  <c r="CD30" i="142"/>
  <c r="CE30" i="142"/>
  <c r="CF30" i="142"/>
  <c r="CD31" i="142"/>
  <c r="CE31" i="142"/>
  <c r="CF31" i="142"/>
  <c r="CD32" i="142"/>
  <c r="CE32" i="142"/>
  <c r="CF32" i="142"/>
  <c r="CD33" i="142"/>
  <c r="CE33" i="142"/>
  <c r="CF33" i="142"/>
  <c r="CD34" i="142"/>
  <c r="CE34" i="142"/>
  <c r="CF34" i="142"/>
  <c r="CD35" i="142"/>
  <c r="CE35" i="142"/>
  <c r="CF35" i="142"/>
  <c r="CD36" i="142"/>
  <c r="CE36" i="142"/>
  <c r="CF36" i="142"/>
  <c r="CD37" i="142"/>
  <c r="CE37" i="142"/>
  <c r="CF37" i="142"/>
  <c r="CD38" i="142"/>
  <c r="CE38" i="142"/>
  <c r="CF38" i="142"/>
  <c r="CD39" i="142"/>
  <c r="CE39" i="142"/>
  <c r="CF39" i="142"/>
  <c r="CD40" i="142"/>
  <c r="CE40" i="142"/>
  <c r="CF40" i="142"/>
  <c r="CD41" i="142"/>
  <c r="CE41" i="142"/>
  <c r="CF41" i="142"/>
  <c r="CD42" i="142"/>
  <c r="CE42" i="142"/>
  <c r="CF42" i="142"/>
  <c r="CD43" i="142"/>
  <c r="CE43" i="142"/>
  <c r="CF43" i="142"/>
  <c r="CD44" i="142"/>
  <c r="CE44" i="142"/>
  <c r="CF44" i="142"/>
  <c r="CD45" i="142"/>
  <c r="CE45" i="142"/>
  <c r="CF45" i="142"/>
  <c r="CD46" i="142"/>
  <c r="CE46" i="142"/>
  <c r="CF46" i="142"/>
  <c r="CD47" i="142"/>
  <c r="CE47" i="142"/>
  <c r="CF47" i="142"/>
  <c r="CD48" i="142"/>
  <c r="CE48" i="142"/>
  <c r="CF48" i="142"/>
  <c r="CD49" i="142"/>
  <c r="CE49" i="142"/>
  <c r="CF49" i="142"/>
  <c r="CD50" i="142"/>
  <c r="CE50" i="142"/>
  <c r="CF50" i="142"/>
  <c r="CD51" i="142"/>
  <c r="CE51" i="142"/>
  <c r="CF51" i="142"/>
  <c r="CD52" i="142"/>
  <c r="CE52" i="142"/>
  <c r="CF52" i="142"/>
  <c r="CD53" i="142"/>
  <c r="CE53" i="142"/>
  <c r="CF53" i="142"/>
  <c r="CD54" i="142"/>
  <c r="CE54" i="142"/>
  <c r="CF54" i="142"/>
  <c r="CD55" i="142"/>
  <c r="CE55" i="142"/>
  <c r="CF55" i="142"/>
  <c r="CD56" i="142"/>
  <c r="CE56" i="142"/>
  <c r="CF56" i="142"/>
  <c r="CD57" i="142"/>
  <c r="CE57" i="142"/>
  <c r="CF57" i="142"/>
  <c r="CD58" i="142"/>
  <c r="CE58" i="142"/>
  <c r="CF58" i="142"/>
  <c r="CD59" i="142"/>
  <c r="CE59" i="142"/>
  <c r="CF59" i="142"/>
  <c r="CD60" i="142"/>
  <c r="CE60" i="142"/>
  <c r="CF60" i="142"/>
  <c r="CD61" i="142"/>
  <c r="CE61" i="142"/>
  <c r="CF61" i="142"/>
  <c r="CD62" i="142"/>
  <c r="CE62" i="142"/>
  <c r="CF62" i="142"/>
  <c r="CD63" i="142"/>
  <c r="CE63" i="142"/>
  <c r="CF63" i="142"/>
  <c r="CD64" i="142"/>
  <c r="CE64" i="142"/>
  <c r="CF64" i="142"/>
  <c r="CD65" i="142"/>
  <c r="CE65" i="142"/>
  <c r="CF65" i="142"/>
  <c r="CD66" i="142"/>
  <c r="CE66" i="142"/>
  <c r="CF66" i="142"/>
  <c r="CD67" i="142"/>
  <c r="CE67" i="142"/>
  <c r="CF67" i="142"/>
  <c r="CE3" i="142"/>
  <c r="CF3" i="142"/>
  <c r="CD3" i="142"/>
  <c r="BT17" i="142"/>
  <c r="BU4" i="142"/>
  <c r="BU5" i="142"/>
  <c r="AA21" i="37" s="1"/>
  <c r="BU6" i="142"/>
  <c r="AA17" i="37" s="1"/>
  <c r="BU7" i="142"/>
  <c r="AA27" i="37" s="1"/>
  <c r="BU8" i="142"/>
  <c r="AA26" i="37" s="1"/>
  <c r="BU9" i="142"/>
  <c r="AA31" i="37" s="1"/>
  <c r="J31" i="37" s="1"/>
  <c r="K31" i="37" s="1"/>
  <c r="BU10" i="142"/>
  <c r="BU11" i="142"/>
  <c r="AA47" i="37" s="1"/>
  <c r="BU12" i="142"/>
  <c r="AA51" i="37" s="1"/>
  <c r="BU13" i="142"/>
  <c r="AA53" i="37" s="1"/>
  <c r="BU14" i="142"/>
  <c r="AA54" i="37" s="1"/>
  <c r="BU15" i="142"/>
  <c r="AA56" i="37" s="1"/>
  <c r="BU16" i="142"/>
  <c r="AA59" i="37" s="1"/>
  <c r="BU3" i="142"/>
  <c r="AA18" i="37" s="1"/>
  <c r="BC3" i="142"/>
  <c r="H11" i="35"/>
  <c r="AA61" i="35"/>
  <c r="AA11" i="35"/>
  <c r="AA21" i="35"/>
  <c r="AA35" i="35"/>
  <c r="AA33" i="35"/>
  <c r="AA27" i="35"/>
  <c r="AA44" i="35"/>
  <c r="AA47" i="35"/>
  <c r="AA46" i="35" s="1"/>
  <c r="AB28" i="35"/>
  <c r="AB22" i="35"/>
  <c r="AB44" i="35"/>
  <c r="AB13" i="35"/>
  <c r="AB33" i="35"/>
  <c r="CC4" i="141"/>
  <c r="CD4" i="141"/>
  <c r="CE4" i="141"/>
  <c r="CC5" i="141"/>
  <c r="CD5" i="141"/>
  <c r="CE5" i="141"/>
  <c r="CC6" i="141"/>
  <c r="CD6" i="141"/>
  <c r="CE6" i="141"/>
  <c r="CC7" i="141"/>
  <c r="CD7" i="141"/>
  <c r="CE7" i="141"/>
  <c r="CC8" i="141"/>
  <c r="CD8" i="141"/>
  <c r="CE8" i="141"/>
  <c r="CC9" i="141"/>
  <c r="CD9" i="141"/>
  <c r="CE9" i="141"/>
  <c r="CC10" i="141"/>
  <c r="CD10" i="141"/>
  <c r="CE10" i="141"/>
  <c r="CC11" i="141"/>
  <c r="CD11" i="141"/>
  <c r="CE11" i="141"/>
  <c r="CC12" i="141"/>
  <c r="CD12" i="141"/>
  <c r="CE12" i="141"/>
  <c r="CC13" i="141"/>
  <c r="CD13" i="141"/>
  <c r="CE13" i="141"/>
  <c r="CC14" i="141"/>
  <c r="CD14" i="141"/>
  <c r="CE14" i="141"/>
  <c r="CC15" i="141"/>
  <c r="CD15" i="141"/>
  <c r="CE15" i="141"/>
  <c r="CC16" i="141"/>
  <c r="CD16" i="141"/>
  <c r="CE16" i="141"/>
  <c r="CC17" i="141"/>
  <c r="CD17" i="141"/>
  <c r="CE17" i="141"/>
  <c r="CC18" i="141"/>
  <c r="CD18" i="141"/>
  <c r="CE18" i="141"/>
  <c r="CC19" i="141"/>
  <c r="CD19" i="141"/>
  <c r="CE19" i="141"/>
  <c r="CC20" i="141"/>
  <c r="CD20" i="141"/>
  <c r="CE20" i="141"/>
  <c r="CC21" i="141"/>
  <c r="CD21" i="141"/>
  <c r="CE21" i="141"/>
  <c r="CC22" i="141"/>
  <c r="CD22" i="141"/>
  <c r="CE22" i="141"/>
  <c r="CC23" i="141"/>
  <c r="CD23" i="141"/>
  <c r="CE23" i="141"/>
  <c r="CC24" i="141"/>
  <c r="CD24" i="141"/>
  <c r="CE24" i="141"/>
  <c r="CC25" i="141"/>
  <c r="CD25" i="141"/>
  <c r="CE25" i="141"/>
  <c r="CC26" i="141"/>
  <c r="CD26" i="141"/>
  <c r="CE26" i="141"/>
  <c r="CC27" i="141"/>
  <c r="CD27" i="141"/>
  <c r="CE27" i="141"/>
  <c r="CC28" i="141"/>
  <c r="CD28" i="141"/>
  <c r="CE28" i="141"/>
  <c r="CC29" i="141"/>
  <c r="CD29" i="141"/>
  <c r="CE29" i="141"/>
  <c r="CC30" i="141"/>
  <c r="CD30" i="141"/>
  <c r="CE30" i="141"/>
  <c r="CC31" i="141"/>
  <c r="CD31" i="141"/>
  <c r="CE31" i="141"/>
  <c r="CC32" i="141"/>
  <c r="CD32" i="141"/>
  <c r="CE32" i="141"/>
  <c r="CC33" i="141"/>
  <c r="CD33" i="141"/>
  <c r="CE33" i="141"/>
  <c r="CC34" i="141"/>
  <c r="CD34" i="141"/>
  <c r="CE34" i="141"/>
  <c r="CC35" i="141"/>
  <c r="CD35" i="141"/>
  <c r="CE35" i="141"/>
  <c r="CC36" i="141"/>
  <c r="CD36" i="141"/>
  <c r="CE36" i="141"/>
  <c r="CC37" i="141"/>
  <c r="CD37" i="141"/>
  <c r="CE37" i="141"/>
  <c r="CC38" i="141"/>
  <c r="CD38" i="141"/>
  <c r="CE38" i="141"/>
  <c r="CC39" i="141"/>
  <c r="CD39" i="141"/>
  <c r="CE39" i="141"/>
  <c r="CC40" i="141"/>
  <c r="CD40" i="141"/>
  <c r="CE40" i="141"/>
  <c r="CC41" i="141"/>
  <c r="CD41" i="141"/>
  <c r="CE41" i="141"/>
  <c r="CC42" i="141"/>
  <c r="CD42" i="141"/>
  <c r="CE42" i="141"/>
  <c r="CC43" i="141"/>
  <c r="CD43" i="141"/>
  <c r="CE43" i="141"/>
  <c r="CC44" i="141"/>
  <c r="CD44" i="141"/>
  <c r="CE44" i="141"/>
  <c r="CC45" i="141"/>
  <c r="CD45" i="141"/>
  <c r="CE45" i="141"/>
  <c r="CC46" i="141"/>
  <c r="CD46" i="141"/>
  <c r="CE46" i="141"/>
  <c r="CC47" i="141"/>
  <c r="CD47" i="141"/>
  <c r="CE47" i="141"/>
  <c r="CC48" i="141"/>
  <c r="CD48" i="141"/>
  <c r="CE48" i="141"/>
  <c r="CC49" i="141"/>
  <c r="CD49" i="141"/>
  <c r="CE49" i="141"/>
  <c r="CC50" i="141"/>
  <c r="CD50" i="141"/>
  <c r="CE50" i="141"/>
  <c r="CC51" i="141"/>
  <c r="CD51" i="141"/>
  <c r="CE51" i="141"/>
  <c r="CC52" i="141"/>
  <c r="CD52" i="141"/>
  <c r="CE52" i="141"/>
  <c r="CC53" i="141"/>
  <c r="CD53" i="141"/>
  <c r="CE53" i="141"/>
  <c r="CD3" i="141"/>
  <c r="CE3" i="141"/>
  <c r="CC3" i="141"/>
  <c r="BK3" i="141"/>
  <c r="BS9" i="141"/>
  <c r="BT4" i="141"/>
  <c r="AA17" i="35" s="1"/>
  <c r="BT5" i="141"/>
  <c r="AA18" i="35" s="1"/>
  <c r="BT6" i="141"/>
  <c r="AA40" i="35" s="1"/>
  <c r="BT7" i="141"/>
  <c r="AA38" i="35" s="1"/>
  <c r="BT8" i="141"/>
  <c r="AA57" i="35" s="1"/>
  <c r="AA55" i="35" s="1"/>
  <c r="AA54" i="35" s="1"/>
  <c r="AA53" i="35" s="1"/>
  <c r="BT3" i="141"/>
  <c r="BB3" i="141"/>
  <c r="Y15" i="35" s="1"/>
  <c r="BS13" i="137"/>
  <c r="BS14" i="137"/>
  <c r="CD3" i="137"/>
  <c r="BL3" i="137"/>
  <c r="BS4" i="137"/>
  <c r="BS5" i="137"/>
  <c r="BS6" i="137"/>
  <c r="BS7" i="137"/>
  <c r="BS8" i="137"/>
  <c r="BS9" i="137"/>
  <c r="BS10" i="137"/>
  <c r="BS11" i="137"/>
  <c r="BS12" i="137"/>
  <c r="BS3" i="137"/>
  <c r="BA3" i="137"/>
  <c r="AW151" i="136"/>
  <c r="BG32" i="137"/>
  <c r="BJ32" i="137" s="1"/>
  <c r="BJ33" i="137"/>
  <c r="BM48" i="138"/>
  <c r="BJ52" i="137"/>
  <c r="BA151" i="136"/>
  <c r="BA144" i="136"/>
  <c r="BA143" i="136"/>
  <c r="AZ4" i="143"/>
  <c r="BA4" i="143"/>
  <c r="BB4" i="143"/>
  <c r="AZ5" i="143"/>
  <c r="BA5" i="143"/>
  <c r="BB5" i="143"/>
  <c r="AZ6" i="143"/>
  <c r="BA6" i="143"/>
  <c r="BB6" i="143"/>
  <c r="AZ7" i="143"/>
  <c r="BA7" i="143"/>
  <c r="BB7" i="143"/>
  <c r="AZ8" i="143"/>
  <c r="BA8" i="143"/>
  <c r="BB8" i="143"/>
  <c r="BA3" i="143"/>
  <c r="BB3" i="143"/>
  <c r="AZ3" i="143"/>
  <c r="Y41" i="37"/>
  <c r="Y35" i="37"/>
  <c r="Y33" i="37"/>
  <c r="Y30" i="37"/>
  <c r="Y29" i="37" s="1"/>
  <c r="BL4" i="142"/>
  <c r="BM4" i="142"/>
  <c r="BN4" i="142"/>
  <c r="BL5" i="142"/>
  <c r="BM5" i="142"/>
  <c r="BN5" i="142"/>
  <c r="BL6" i="142"/>
  <c r="BM6" i="142"/>
  <c r="BN6" i="142"/>
  <c r="BL7" i="142"/>
  <c r="BM7" i="142"/>
  <c r="BN7" i="142"/>
  <c r="BL8" i="142"/>
  <c r="BM8" i="142"/>
  <c r="BN8" i="142"/>
  <c r="BL9" i="142"/>
  <c r="BM9" i="142"/>
  <c r="BN9" i="142"/>
  <c r="BL10" i="142"/>
  <c r="BM10" i="142"/>
  <c r="BN10" i="142"/>
  <c r="BL11" i="142"/>
  <c r="BM11" i="142"/>
  <c r="BN11" i="142"/>
  <c r="BL12" i="142"/>
  <c r="BM12" i="142"/>
  <c r="BN12" i="142"/>
  <c r="BL13" i="142"/>
  <c r="BM13" i="142"/>
  <c r="BN13" i="142"/>
  <c r="BL14" i="142"/>
  <c r="BM14" i="142"/>
  <c r="BN14" i="142"/>
  <c r="BL15" i="142"/>
  <c r="BM15" i="142"/>
  <c r="BN15" i="142"/>
  <c r="BL16" i="142"/>
  <c r="BM16" i="142"/>
  <c r="BN16" i="142"/>
  <c r="BL17" i="142"/>
  <c r="BM17" i="142"/>
  <c r="BN17" i="142"/>
  <c r="BL18" i="142"/>
  <c r="BM18" i="142"/>
  <c r="BN18" i="142"/>
  <c r="BL19" i="142"/>
  <c r="BM19" i="142"/>
  <c r="BN19" i="142"/>
  <c r="BL20" i="142"/>
  <c r="BM20" i="142"/>
  <c r="BN20" i="142"/>
  <c r="BL21" i="142"/>
  <c r="BM21" i="142"/>
  <c r="BN21" i="142"/>
  <c r="BL22" i="142"/>
  <c r="BM22" i="142"/>
  <c r="BN22" i="142"/>
  <c r="BL23" i="142"/>
  <c r="BM23" i="142"/>
  <c r="BN23" i="142"/>
  <c r="BL24" i="142"/>
  <c r="BM24" i="142"/>
  <c r="BN24" i="142"/>
  <c r="BL25" i="142"/>
  <c r="BM25" i="142"/>
  <c r="BN25" i="142"/>
  <c r="BL26" i="142"/>
  <c r="BM26" i="142"/>
  <c r="BN26" i="142"/>
  <c r="BL27" i="142"/>
  <c r="BM27" i="142"/>
  <c r="BN27" i="142"/>
  <c r="BL28" i="142"/>
  <c r="BM28" i="142"/>
  <c r="BN28" i="142"/>
  <c r="BL29" i="142"/>
  <c r="BM29" i="142"/>
  <c r="BN29" i="142"/>
  <c r="BL30" i="142"/>
  <c r="BM30" i="142"/>
  <c r="BN30" i="142"/>
  <c r="BL31" i="142"/>
  <c r="BM31" i="142"/>
  <c r="BN31" i="142"/>
  <c r="BL32" i="142"/>
  <c r="BM32" i="142"/>
  <c r="BN32" i="142"/>
  <c r="BL33" i="142"/>
  <c r="BM33" i="142"/>
  <c r="BN33" i="142"/>
  <c r="BL34" i="142"/>
  <c r="BM34" i="142"/>
  <c r="BN34" i="142"/>
  <c r="BL35" i="142"/>
  <c r="BM35" i="142"/>
  <c r="BN35" i="142"/>
  <c r="BL36" i="142"/>
  <c r="BM36" i="142"/>
  <c r="BN36" i="142"/>
  <c r="BL37" i="142"/>
  <c r="BM37" i="142"/>
  <c r="BN37" i="142"/>
  <c r="BL38" i="142"/>
  <c r="BM38" i="142"/>
  <c r="BN38" i="142"/>
  <c r="BL39" i="142"/>
  <c r="BM39" i="142"/>
  <c r="BN39" i="142"/>
  <c r="BL40" i="142"/>
  <c r="BM40" i="142"/>
  <c r="BN40" i="142"/>
  <c r="BL41" i="142"/>
  <c r="BM41" i="142"/>
  <c r="BN41" i="142"/>
  <c r="BL42" i="142"/>
  <c r="BM42" i="142"/>
  <c r="BN42" i="142"/>
  <c r="BL43" i="142"/>
  <c r="BM43" i="142"/>
  <c r="BN43" i="142"/>
  <c r="BL44" i="142"/>
  <c r="BM44" i="142"/>
  <c r="BN44" i="142"/>
  <c r="BL45" i="142"/>
  <c r="BM45" i="142"/>
  <c r="BN45" i="142"/>
  <c r="BL46" i="142"/>
  <c r="BM46" i="142"/>
  <c r="BN46" i="142"/>
  <c r="BL47" i="142"/>
  <c r="BM47" i="142"/>
  <c r="BN47" i="142"/>
  <c r="BL48" i="142"/>
  <c r="BM48" i="142"/>
  <c r="BN48" i="142"/>
  <c r="BL49" i="142"/>
  <c r="BM49" i="142"/>
  <c r="BN49" i="142"/>
  <c r="BL50" i="142"/>
  <c r="BM50" i="142"/>
  <c r="BN50" i="142"/>
  <c r="BL51" i="142"/>
  <c r="BM51" i="142"/>
  <c r="BN51" i="142"/>
  <c r="BL52" i="142"/>
  <c r="BM52" i="142"/>
  <c r="BN52" i="142"/>
  <c r="BL53" i="142"/>
  <c r="BM53" i="142"/>
  <c r="BN53" i="142"/>
  <c r="BL54" i="142"/>
  <c r="BM54" i="142"/>
  <c r="BN54" i="142"/>
  <c r="BL55" i="142"/>
  <c r="BM55" i="142"/>
  <c r="BN55" i="142"/>
  <c r="BL56" i="142"/>
  <c r="BM56" i="142"/>
  <c r="BN56" i="142"/>
  <c r="BL57" i="142"/>
  <c r="BM57" i="142"/>
  <c r="BN57" i="142"/>
  <c r="BL58" i="142"/>
  <c r="BM58" i="142"/>
  <c r="BN58" i="142"/>
  <c r="BL59" i="142"/>
  <c r="BM59" i="142"/>
  <c r="BN59" i="142"/>
  <c r="BL60" i="142"/>
  <c r="BM60" i="142"/>
  <c r="BN60" i="142"/>
  <c r="BL61" i="142"/>
  <c r="BM61" i="142"/>
  <c r="BN61" i="142"/>
  <c r="BL62" i="142"/>
  <c r="BM62" i="142"/>
  <c r="BN62" i="142"/>
  <c r="BL63" i="142"/>
  <c r="BM63" i="142"/>
  <c r="BN63" i="142"/>
  <c r="BM3" i="142"/>
  <c r="BN3" i="142"/>
  <c r="BL3" i="142"/>
  <c r="BC4" i="142"/>
  <c r="BC5" i="142"/>
  <c r="Y17" i="37" s="1"/>
  <c r="BC6" i="142"/>
  <c r="BC7" i="142"/>
  <c r="Y21" i="37" s="1"/>
  <c r="BC8" i="142"/>
  <c r="BC9" i="142"/>
  <c r="Y26" i="37" s="1"/>
  <c r="Y25" i="37" s="1"/>
  <c r="Y24" i="37" s="1"/>
  <c r="BC10" i="142"/>
  <c r="Y39" i="37" s="1"/>
  <c r="BC11" i="142"/>
  <c r="Y46" i="37" s="1"/>
  <c r="BC12" i="142"/>
  <c r="Y47" i="37" s="1"/>
  <c r="BC13" i="142"/>
  <c r="Y49" i="37" s="1"/>
  <c r="BC14" i="142"/>
  <c r="Y51" i="37" s="1"/>
  <c r="BC15" i="142"/>
  <c r="Y54" i="37" s="1"/>
  <c r="BC16" i="142"/>
  <c r="Y56" i="37" s="1"/>
  <c r="BM49" i="138"/>
  <c r="Y61" i="35"/>
  <c r="Z47" i="35"/>
  <c r="Z46" i="35" s="1"/>
  <c r="Y47" i="35"/>
  <c r="Y46" i="35" s="1"/>
  <c r="Z44" i="35"/>
  <c r="Y44" i="35"/>
  <c r="Y35" i="35"/>
  <c r="Y33" i="35"/>
  <c r="Y27" i="35"/>
  <c r="Y21" i="35"/>
  <c r="Y11" i="35"/>
  <c r="BK4" i="141"/>
  <c r="BL4" i="141"/>
  <c r="BM4" i="141"/>
  <c r="BK5" i="141"/>
  <c r="BL5" i="141"/>
  <c r="BM5" i="141"/>
  <c r="BK6" i="141"/>
  <c r="BL6" i="141"/>
  <c r="BM6" i="141"/>
  <c r="BK7" i="141"/>
  <c r="BL7" i="141"/>
  <c r="BM7" i="141"/>
  <c r="BK8" i="141"/>
  <c r="BL8" i="141"/>
  <c r="BM8" i="141"/>
  <c r="BK9" i="141"/>
  <c r="BL9" i="141"/>
  <c r="BM9" i="141"/>
  <c r="BK10" i="141"/>
  <c r="BL10" i="141"/>
  <c r="BM10" i="141"/>
  <c r="BK11" i="141"/>
  <c r="BL11" i="141"/>
  <c r="BM11" i="141"/>
  <c r="BK12" i="141"/>
  <c r="BL12" i="141"/>
  <c r="BM12" i="141"/>
  <c r="BK13" i="141"/>
  <c r="BL13" i="141"/>
  <c r="BM13" i="141"/>
  <c r="BK14" i="141"/>
  <c r="BL14" i="141"/>
  <c r="BM14" i="141"/>
  <c r="BK15" i="141"/>
  <c r="BL15" i="141"/>
  <c r="BM15" i="141"/>
  <c r="BK16" i="141"/>
  <c r="BL16" i="141"/>
  <c r="BM16" i="141"/>
  <c r="BK17" i="141"/>
  <c r="BL17" i="141"/>
  <c r="BM17" i="141"/>
  <c r="BK18" i="141"/>
  <c r="BL18" i="141"/>
  <c r="BM18" i="141"/>
  <c r="BK19" i="141"/>
  <c r="BL19" i="141"/>
  <c r="BM19" i="141"/>
  <c r="BK20" i="141"/>
  <c r="BL20" i="141"/>
  <c r="BM20" i="141"/>
  <c r="BK21" i="141"/>
  <c r="BL21" i="141"/>
  <c r="BM21" i="141"/>
  <c r="BK22" i="141"/>
  <c r="BL22" i="141"/>
  <c r="BM22" i="141"/>
  <c r="BK23" i="141"/>
  <c r="BL23" i="141"/>
  <c r="BM23" i="141"/>
  <c r="BK24" i="141"/>
  <c r="BL24" i="141"/>
  <c r="BM24" i="141"/>
  <c r="BK25" i="141"/>
  <c r="BL25" i="141"/>
  <c r="BM25" i="141"/>
  <c r="BK26" i="141"/>
  <c r="BL26" i="141"/>
  <c r="BM26" i="141"/>
  <c r="BK27" i="141"/>
  <c r="BL27" i="141"/>
  <c r="BM27" i="141"/>
  <c r="BK28" i="141"/>
  <c r="BL28" i="141"/>
  <c r="BM28" i="141"/>
  <c r="BK29" i="141"/>
  <c r="BL29" i="141"/>
  <c r="BM29" i="141"/>
  <c r="BK30" i="141"/>
  <c r="BL30" i="141"/>
  <c r="BM30" i="141"/>
  <c r="BK31" i="141"/>
  <c r="BL31" i="141"/>
  <c r="BM31" i="141"/>
  <c r="BK32" i="141"/>
  <c r="BL32" i="141"/>
  <c r="BM32" i="141"/>
  <c r="BK33" i="141"/>
  <c r="BL33" i="141"/>
  <c r="BM33" i="141"/>
  <c r="BK34" i="141"/>
  <c r="BL34" i="141"/>
  <c r="BM34" i="141"/>
  <c r="BK35" i="141"/>
  <c r="BL35" i="141"/>
  <c r="BM35" i="141"/>
  <c r="BK36" i="141"/>
  <c r="BL36" i="141"/>
  <c r="BM36" i="141"/>
  <c r="BK37" i="141"/>
  <c r="BL37" i="141"/>
  <c r="BM37" i="141"/>
  <c r="BK38" i="141"/>
  <c r="BL38" i="141"/>
  <c r="BM38" i="141"/>
  <c r="BK39" i="141"/>
  <c r="BL39" i="141"/>
  <c r="BM39" i="141"/>
  <c r="BK40" i="141"/>
  <c r="BL40" i="141"/>
  <c r="BM40" i="141"/>
  <c r="BK41" i="141"/>
  <c r="BL41" i="141"/>
  <c r="BM41" i="141"/>
  <c r="BK42" i="141"/>
  <c r="BL42" i="141"/>
  <c r="BM42" i="141"/>
  <c r="BK43" i="141"/>
  <c r="BL43" i="141"/>
  <c r="BM43" i="141"/>
  <c r="BK44" i="141"/>
  <c r="BL44" i="141"/>
  <c r="BM44" i="141"/>
  <c r="BK45" i="141"/>
  <c r="BL45" i="141"/>
  <c r="BM45" i="141"/>
  <c r="BK46" i="141"/>
  <c r="BL46" i="141"/>
  <c r="BM46" i="141"/>
  <c r="BK47" i="141"/>
  <c r="BL47" i="141"/>
  <c r="BM47" i="141"/>
  <c r="BK48" i="141"/>
  <c r="BL48" i="141"/>
  <c r="BM48" i="141"/>
  <c r="BK49" i="141"/>
  <c r="BL49" i="141"/>
  <c r="BM49" i="141"/>
  <c r="BK50" i="141"/>
  <c r="BL50" i="141"/>
  <c r="BM50" i="141"/>
  <c r="BK51" i="141"/>
  <c r="BL51" i="141"/>
  <c r="BM51" i="141"/>
  <c r="BK52" i="141"/>
  <c r="BL52" i="141"/>
  <c r="BM52" i="141"/>
  <c r="BL3" i="141"/>
  <c r="BM3" i="141"/>
  <c r="BB4" i="141"/>
  <c r="Y18" i="35" s="1"/>
  <c r="BB5" i="141"/>
  <c r="Y39" i="35" s="1"/>
  <c r="Y37" i="35" s="1"/>
  <c r="BB6" i="141"/>
  <c r="Y57" i="35" s="1"/>
  <c r="BB7" i="141"/>
  <c r="Y59" i="35" s="1"/>
  <c r="M51" i="37" l="1"/>
  <c r="L45" i="37"/>
  <c r="N123" i="39"/>
  <c r="AH9" i="4"/>
  <c r="N119" i="4"/>
  <c r="N166" i="4"/>
  <c r="O119" i="4"/>
  <c r="N23" i="54"/>
  <c r="N178" i="39" s="1"/>
  <c r="N26" i="54"/>
  <c r="N181" i="39" s="1"/>
  <c r="N15" i="54"/>
  <c r="N170" i="39" s="1"/>
  <c r="N16" i="54"/>
  <c r="N171" i="39" s="1"/>
  <c r="I185" i="39"/>
  <c r="AG55" i="35"/>
  <c r="AG54" i="35" s="1"/>
  <c r="AG53" i="35" s="1"/>
  <c r="P21" i="35"/>
  <c r="AG14" i="35"/>
  <c r="AG13" i="35" s="1"/>
  <c r="AG21" i="35"/>
  <c r="N56" i="35"/>
  <c r="O56" i="35" s="1"/>
  <c r="AG20" i="35"/>
  <c r="N40" i="35"/>
  <c r="O40" i="35" s="1"/>
  <c r="N58" i="35"/>
  <c r="O58" i="35" s="1"/>
  <c r="N15" i="35"/>
  <c r="O15" i="35" s="1"/>
  <c r="N42" i="35"/>
  <c r="O42" i="35" s="1"/>
  <c r="AE14" i="35"/>
  <c r="AE13" i="35" s="1"/>
  <c r="AG25" i="37"/>
  <c r="AG24" i="37" s="1"/>
  <c r="AG50" i="37"/>
  <c r="AG45" i="37"/>
  <c r="AG16" i="37"/>
  <c r="AG14" i="37" s="1"/>
  <c r="AE50" i="37"/>
  <c r="N22" i="37"/>
  <c r="O22" i="37" s="1"/>
  <c r="N58" i="37"/>
  <c r="O58" i="37" s="1"/>
  <c r="N115" i="4"/>
  <c r="O115" i="4"/>
  <c r="I151" i="39"/>
  <c r="AF9" i="4"/>
  <c r="N108" i="4"/>
  <c r="N210" i="4"/>
  <c r="O194" i="4"/>
  <c r="N101" i="4"/>
  <c r="O69" i="4"/>
  <c r="O118" i="4"/>
  <c r="N49" i="4"/>
  <c r="O202" i="4"/>
  <c r="O90" i="4"/>
  <c r="N79" i="4"/>
  <c r="O70" i="4"/>
  <c r="O61" i="4"/>
  <c r="O34" i="4"/>
  <c r="O23" i="4"/>
  <c r="O15" i="4"/>
  <c r="N59" i="4"/>
  <c r="N68" i="4"/>
  <c r="N203" i="4"/>
  <c r="N92" i="4"/>
  <c r="O86" i="4"/>
  <c r="O76" i="4"/>
  <c r="O40" i="4"/>
  <c r="O31" i="4"/>
  <c r="N21" i="4"/>
  <c r="O13" i="4"/>
  <c r="O77" i="4"/>
  <c r="O51" i="4"/>
  <c r="O99" i="4"/>
  <c r="O93" i="4"/>
  <c r="N80" i="4"/>
  <c r="O71" i="4"/>
  <c r="N67" i="4"/>
  <c r="N65" i="4"/>
  <c r="M57" i="4"/>
  <c r="P63" i="4"/>
  <c r="P207" i="4"/>
  <c r="P117" i="4"/>
  <c r="P55" i="4"/>
  <c r="P205" i="4"/>
  <c r="P183" i="4"/>
  <c r="P172" i="4"/>
  <c r="P204" i="4"/>
  <c r="P182" i="4"/>
  <c r="P127" i="4"/>
  <c r="P197" i="4"/>
  <c r="P174" i="4"/>
  <c r="N156" i="4"/>
  <c r="L151" i="39"/>
  <c r="L150" i="39"/>
  <c r="I150" i="39"/>
  <c r="O143" i="4"/>
  <c r="N153" i="4"/>
  <c r="O98" i="4"/>
  <c r="O210" i="4"/>
  <c r="O114" i="4"/>
  <c r="O106" i="4"/>
  <c r="O144" i="4"/>
  <c r="O142" i="4"/>
  <c r="O134" i="4"/>
  <c r="O128" i="4"/>
  <c r="O122" i="4"/>
  <c r="O113" i="4"/>
  <c r="O107" i="4"/>
  <c r="O87" i="4"/>
  <c r="O211" i="4"/>
  <c r="O141" i="4"/>
  <c r="O133" i="4"/>
  <c r="O95" i="4"/>
  <c r="O102" i="4"/>
  <c r="O139" i="4"/>
  <c r="O131" i="4"/>
  <c r="O110" i="4"/>
  <c r="O88" i="4"/>
  <c r="N140" i="4"/>
  <c r="N132" i="4"/>
  <c r="N116" i="4"/>
  <c r="N103" i="4"/>
  <c r="O153" i="4"/>
  <c r="O112" i="4"/>
  <c r="O104" i="4"/>
  <c r="O105" i="4"/>
  <c r="N152" i="4"/>
  <c r="O156" i="4"/>
  <c r="O208" i="4"/>
  <c r="O149" i="4"/>
  <c r="O136" i="4"/>
  <c r="N186" i="4"/>
  <c r="N165" i="4"/>
  <c r="N31" i="4"/>
  <c r="N109" i="4"/>
  <c r="O120" i="4"/>
  <c r="N125" i="4"/>
  <c r="N146" i="4"/>
  <c r="N138" i="4"/>
  <c r="N130" i="4"/>
  <c r="N155" i="4"/>
  <c r="N194" i="4"/>
  <c r="N100" i="4"/>
  <c r="N145" i="4"/>
  <c r="N137" i="4"/>
  <c r="N129" i="4"/>
  <c r="N154" i="4"/>
  <c r="N122" i="4"/>
  <c r="N89" i="4"/>
  <c r="N121" i="4"/>
  <c r="N143" i="4"/>
  <c r="N135" i="4"/>
  <c r="N212" i="4"/>
  <c r="O111" i="4"/>
  <c r="O103" i="4"/>
  <c r="N142" i="4"/>
  <c r="N134" i="4"/>
  <c r="N148" i="4"/>
  <c r="N211" i="4"/>
  <c r="O188" i="4"/>
  <c r="O186" i="4"/>
  <c r="O165" i="4"/>
  <c r="N124" i="4"/>
  <c r="O138" i="4"/>
  <c r="O130" i="4"/>
  <c r="N107" i="4"/>
  <c r="O137" i="4"/>
  <c r="O129" i="4"/>
  <c r="N144" i="4"/>
  <c r="N136" i="4"/>
  <c r="O148" i="4"/>
  <c r="O155" i="4"/>
  <c r="N208" i="4"/>
  <c r="N114" i="4"/>
  <c r="N106" i="4"/>
  <c r="N98" i="4"/>
  <c r="O146" i="4"/>
  <c r="O154" i="4"/>
  <c r="O89" i="4"/>
  <c r="N88" i="4"/>
  <c r="N113" i="4"/>
  <c r="N105" i="4"/>
  <c r="O116" i="4"/>
  <c r="O135" i="4"/>
  <c r="O145" i="4"/>
  <c r="O65" i="4"/>
  <c r="N87" i="4"/>
  <c r="N112" i="4"/>
  <c r="N104" i="4"/>
  <c r="O121" i="4"/>
  <c r="N141" i="4"/>
  <c r="N133" i="4"/>
  <c r="N149" i="4"/>
  <c r="O152" i="4"/>
  <c r="O109" i="4"/>
  <c r="N111" i="4"/>
  <c r="N120" i="4"/>
  <c r="O212" i="4"/>
  <c r="N95" i="4"/>
  <c r="O100" i="4"/>
  <c r="N110" i="4"/>
  <c r="N102" i="4"/>
  <c r="N118" i="4"/>
  <c r="O140" i="4"/>
  <c r="O132" i="4"/>
  <c r="N128" i="4"/>
  <c r="N139" i="4"/>
  <c r="N131" i="4"/>
  <c r="N126" i="4"/>
  <c r="O151" i="4"/>
  <c r="N151" i="4"/>
  <c r="O150" i="4"/>
  <c r="N150" i="4"/>
  <c r="N45" i="54"/>
  <c r="N19" i="54"/>
  <c r="N174" i="39" s="1"/>
  <c r="N20" i="54"/>
  <c r="N175" i="39" s="1"/>
  <c r="N30" i="54"/>
  <c r="N185" i="39" s="1"/>
  <c r="I171" i="39"/>
  <c r="I180" i="39"/>
  <c r="AE20" i="35"/>
  <c r="BT9" i="141"/>
  <c r="CC54" i="141"/>
  <c r="CL10" i="141"/>
  <c r="CD54" i="141"/>
  <c r="AA15" i="35"/>
  <c r="J15" i="35" s="1"/>
  <c r="K15" i="35" s="1"/>
  <c r="AE16" i="37"/>
  <c r="AE14" i="37" s="1"/>
  <c r="AE45" i="37"/>
  <c r="AE25" i="37"/>
  <c r="AE24" i="37" s="1"/>
  <c r="N55" i="37"/>
  <c r="O55" i="37" s="1"/>
  <c r="N18" i="37"/>
  <c r="O18" i="37" s="1"/>
  <c r="N38" i="37"/>
  <c r="O38" i="37" s="1"/>
  <c r="N20" i="37"/>
  <c r="O20" i="37" s="1"/>
  <c r="N15" i="37"/>
  <c r="O15" i="37" s="1"/>
  <c r="CE68" i="142"/>
  <c r="AC45" i="37"/>
  <c r="CM15" i="142"/>
  <c r="CF68" i="142"/>
  <c r="CD68" i="142"/>
  <c r="AC17" i="37"/>
  <c r="AC16" i="37" s="1"/>
  <c r="N26" i="37"/>
  <c r="O26" i="37" s="1"/>
  <c r="N17" i="37"/>
  <c r="O17" i="37" s="1"/>
  <c r="N28" i="37"/>
  <c r="O28" i="37" s="1"/>
  <c r="N57" i="37"/>
  <c r="O57" i="37" s="1"/>
  <c r="H91" i="37"/>
  <c r="BU17" i="142"/>
  <c r="AC25" i="37"/>
  <c r="AC24" i="37" s="1"/>
  <c r="N59" i="37"/>
  <c r="O59" i="37" s="1"/>
  <c r="N19" i="37"/>
  <c r="O19" i="37" s="1"/>
  <c r="N47" i="37"/>
  <c r="O47" i="37" s="1"/>
  <c r="N62" i="37"/>
  <c r="O62" i="37" s="1"/>
  <c r="N49" i="37"/>
  <c r="O49" i="37" s="1"/>
  <c r="N48" i="37"/>
  <c r="O48" i="37" s="1"/>
  <c r="N21" i="37"/>
  <c r="O21" i="37" s="1"/>
  <c r="N54" i="37"/>
  <c r="O54" i="37" s="1"/>
  <c r="N46" i="37"/>
  <c r="O46" i="37" s="1"/>
  <c r="N60" i="37"/>
  <c r="O60" i="37" s="1"/>
  <c r="N32" i="37"/>
  <c r="O32" i="37" s="1"/>
  <c r="N56" i="37"/>
  <c r="O56" i="37" s="1"/>
  <c r="N51" i="37"/>
  <c r="O51" i="37" s="1"/>
  <c r="N27" i="37"/>
  <c r="O27" i="37" s="1"/>
  <c r="N53" i="37"/>
  <c r="O53" i="37" s="1"/>
  <c r="N31" i="37"/>
  <c r="O31" i="37" s="1"/>
  <c r="N52" i="37"/>
  <c r="O52" i="37" s="1"/>
  <c r="I37" i="35"/>
  <c r="R204" i="39"/>
  <c r="S150" i="4"/>
  <c r="R151" i="39"/>
  <c r="R150" i="39"/>
  <c r="N178" i="4"/>
  <c r="O170" i="4"/>
  <c r="O184" i="4"/>
  <c r="N192" i="4"/>
  <c r="O176" i="4"/>
  <c r="N191" i="4"/>
  <c r="N190" i="4"/>
  <c r="BN157" i="140"/>
  <c r="AD9" i="4"/>
  <c r="BM157" i="140"/>
  <c r="BP157" i="140"/>
  <c r="BO157" i="140"/>
  <c r="BF84" i="140"/>
  <c r="AB124" i="4"/>
  <c r="AB74" i="4"/>
  <c r="AB73" i="4" s="1"/>
  <c r="AB33" i="4"/>
  <c r="AC21" i="35"/>
  <c r="AC20" i="35" s="1"/>
  <c r="AC14" i="35"/>
  <c r="AC13" i="35" s="1"/>
  <c r="AA37" i="35"/>
  <c r="AA20" i="35" s="1"/>
  <c r="AC50" i="37"/>
  <c r="AB156" i="4"/>
  <c r="AB132" i="4"/>
  <c r="AB140" i="4"/>
  <c r="AB112" i="4"/>
  <c r="AB89" i="4"/>
  <c r="AB103" i="4"/>
  <c r="AB64" i="4"/>
  <c r="AB12" i="4"/>
  <c r="AB43" i="4"/>
  <c r="L25" i="37"/>
  <c r="L30" i="37"/>
  <c r="AA25" i="37"/>
  <c r="AA24" i="37" s="1"/>
  <c r="AA45" i="37"/>
  <c r="AA50" i="37"/>
  <c r="AA16" i="37"/>
  <c r="AA30" i="37"/>
  <c r="AA29" i="37" s="1"/>
  <c r="Y55" i="35"/>
  <c r="Y54" i="35" s="1"/>
  <c r="Y53" i="35" s="1"/>
  <c r="Y14" i="35"/>
  <c r="Y13" i="35" s="1"/>
  <c r="CE54" i="141"/>
  <c r="I14" i="35"/>
  <c r="BB8" i="141"/>
  <c r="N18" i="35"/>
  <c r="O18" i="35" s="1"/>
  <c r="N39" i="35"/>
  <c r="O39" i="35" s="1"/>
  <c r="Y18" i="37"/>
  <c r="Y16" i="37" s="1"/>
  <c r="BN64" i="142"/>
  <c r="BC17" i="142"/>
  <c r="BM64" i="142"/>
  <c r="I25" i="37"/>
  <c r="Y50" i="37"/>
  <c r="Y38" i="37"/>
  <c r="Y37" i="37" s="1"/>
  <c r="Y15" i="37"/>
  <c r="BL64" i="142"/>
  <c r="Y45" i="37"/>
  <c r="Y20" i="35"/>
  <c r="AY146" i="140"/>
  <c r="AZ146" i="140"/>
  <c r="BA146" i="140"/>
  <c r="BB146" i="140"/>
  <c r="AY147" i="140"/>
  <c r="AZ147" i="140"/>
  <c r="BA147" i="140"/>
  <c r="BB147" i="140"/>
  <c r="AY148" i="140"/>
  <c r="AZ148" i="140"/>
  <c r="BA148" i="140"/>
  <c r="BB148" i="140"/>
  <c r="AY149" i="140"/>
  <c r="AZ149" i="140"/>
  <c r="BA149" i="140"/>
  <c r="BB149" i="140"/>
  <c r="AY150" i="140"/>
  <c r="AZ150" i="140"/>
  <c r="BA150" i="140"/>
  <c r="BB150" i="140"/>
  <c r="AY151" i="140"/>
  <c r="AZ151" i="140"/>
  <c r="BA151" i="140"/>
  <c r="BB151" i="140"/>
  <c r="AY152" i="140"/>
  <c r="AZ152" i="140"/>
  <c r="BA152" i="140"/>
  <c r="BB152" i="140"/>
  <c r="AY153" i="140"/>
  <c r="AZ153" i="140"/>
  <c r="BA153" i="140"/>
  <c r="BB153" i="140"/>
  <c r="AR4" i="140"/>
  <c r="Z11" i="4" s="1"/>
  <c r="AR5" i="140"/>
  <c r="AR6" i="140"/>
  <c r="AR7" i="140"/>
  <c r="AR8" i="140"/>
  <c r="Z15" i="4" s="1"/>
  <c r="AR9" i="140"/>
  <c r="AR10" i="140"/>
  <c r="AR11" i="140"/>
  <c r="AR12" i="140"/>
  <c r="Z20" i="4" s="1"/>
  <c r="AR13" i="140"/>
  <c r="AR14" i="140"/>
  <c r="AR15" i="140"/>
  <c r="AR16" i="140"/>
  <c r="Z26" i="4" s="1"/>
  <c r="AR17" i="140"/>
  <c r="AR18" i="140"/>
  <c r="AR19" i="140"/>
  <c r="AR20" i="140"/>
  <c r="Z30" i="4" s="1"/>
  <c r="AR21" i="140"/>
  <c r="AR22" i="140"/>
  <c r="AR23" i="140"/>
  <c r="AR24" i="140"/>
  <c r="Z36" i="4" s="1"/>
  <c r="AR25" i="140"/>
  <c r="AR26" i="140"/>
  <c r="AR27" i="140"/>
  <c r="AR28" i="140"/>
  <c r="Z45" i="4" s="1"/>
  <c r="AR29" i="140"/>
  <c r="AR30" i="140"/>
  <c r="AR31" i="140"/>
  <c r="AR32" i="140"/>
  <c r="Z50" i="4" s="1"/>
  <c r="AR33" i="140"/>
  <c r="AR34" i="140"/>
  <c r="AR35" i="140"/>
  <c r="AR36" i="140"/>
  <c r="Z57" i="4" s="1"/>
  <c r="AR37" i="140"/>
  <c r="AR38" i="140"/>
  <c r="AR39" i="140"/>
  <c r="AR40" i="140"/>
  <c r="Z61" i="4" s="1"/>
  <c r="AR41" i="140"/>
  <c r="AR42" i="140"/>
  <c r="AR43" i="140"/>
  <c r="AR44" i="140"/>
  <c r="Z67" i="4" s="1"/>
  <c r="AR45" i="140"/>
  <c r="AR46" i="140"/>
  <c r="AR47" i="140"/>
  <c r="AR48" i="140"/>
  <c r="Z76" i="4" s="1"/>
  <c r="AR49" i="140"/>
  <c r="AR50" i="140"/>
  <c r="AR51" i="140"/>
  <c r="AR52" i="140"/>
  <c r="Z89" i="4" s="1"/>
  <c r="AR53" i="140"/>
  <c r="AR54" i="140"/>
  <c r="AR55" i="140"/>
  <c r="AR56" i="140"/>
  <c r="Z101" i="4" s="1"/>
  <c r="AR57" i="140"/>
  <c r="AR58" i="140"/>
  <c r="AR59" i="140"/>
  <c r="AR60" i="140"/>
  <c r="Z106" i="4" s="1"/>
  <c r="AR61" i="140"/>
  <c r="AR62" i="140"/>
  <c r="AR63" i="140"/>
  <c r="AR64" i="140"/>
  <c r="Z114" i="4" s="1"/>
  <c r="AR65" i="140"/>
  <c r="AR66" i="140"/>
  <c r="AR67" i="140"/>
  <c r="AR68" i="140"/>
  <c r="Z125" i="4" s="1"/>
  <c r="AR69" i="140"/>
  <c r="AR70" i="140"/>
  <c r="AR71" i="140"/>
  <c r="AR72" i="140"/>
  <c r="Z130" i="4" s="1"/>
  <c r="AR73" i="140"/>
  <c r="AR74" i="140"/>
  <c r="AR75" i="140"/>
  <c r="AR76" i="140"/>
  <c r="Z134" i="4" s="1"/>
  <c r="AR77" i="140"/>
  <c r="AR78" i="140"/>
  <c r="AR79" i="140"/>
  <c r="AR80" i="140"/>
  <c r="Z138" i="4" s="1"/>
  <c r="AR81" i="140"/>
  <c r="AR82" i="140"/>
  <c r="AR83" i="140"/>
  <c r="AR84" i="140"/>
  <c r="Z143" i="4" s="1"/>
  <c r="AR85" i="140"/>
  <c r="AR86" i="140"/>
  <c r="AR87" i="140"/>
  <c r="AR88" i="140"/>
  <c r="Z185" i="4" s="1"/>
  <c r="AR89" i="140"/>
  <c r="Z186" i="4" s="1"/>
  <c r="AR90" i="140"/>
  <c r="Z187" i="4" s="1"/>
  <c r="AR91" i="140"/>
  <c r="Z188" i="4" s="1"/>
  <c r="AR92" i="140"/>
  <c r="Z189" i="4" s="1"/>
  <c r="AR93" i="140"/>
  <c r="Z208" i="4" s="1"/>
  <c r="AR94" i="140"/>
  <c r="Z212" i="4" s="1"/>
  <c r="AR3" i="140"/>
  <c r="BB3" i="140"/>
  <c r="BA3" i="140"/>
  <c r="AZ3" i="140"/>
  <c r="AY3" i="140"/>
  <c r="AY4" i="140"/>
  <c r="AZ4" i="140"/>
  <c r="BA4" i="140"/>
  <c r="BB4" i="140"/>
  <c r="AY5" i="140"/>
  <c r="AZ5" i="140"/>
  <c r="BA5" i="140"/>
  <c r="BB5" i="140"/>
  <c r="AY6" i="140"/>
  <c r="AZ6" i="140"/>
  <c r="BA6" i="140"/>
  <c r="BB6" i="140"/>
  <c r="AY7" i="140"/>
  <c r="AZ7" i="140"/>
  <c r="BA7" i="140"/>
  <c r="BB7" i="140"/>
  <c r="AY8" i="140"/>
  <c r="AZ8" i="140"/>
  <c r="BA8" i="140"/>
  <c r="BB8" i="140"/>
  <c r="AY9" i="140"/>
  <c r="AZ9" i="140"/>
  <c r="BA9" i="140"/>
  <c r="BB9" i="140"/>
  <c r="AY10" i="140"/>
  <c r="AZ10" i="140"/>
  <c r="BA10" i="140"/>
  <c r="BB10" i="140"/>
  <c r="AY11" i="140"/>
  <c r="AZ11" i="140"/>
  <c r="BA11" i="140"/>
  <c r="BB11" i="140"/>
  <c r="AY12" i="140"/>
  <c r="AZ12" i="140"/>
  <c r="BA12" i="140"/>
  <c r="BB12" i="140"/>
  <c r="AY13" i="140"/>
  <c r="AZ13" i="140"/>
  <c r="BA13" i="140"/>
  <c r="BB13" i="140"/>
  <c r="AY14" i="140"/>
  <c r="AZ14" i="140"/>
  <c r="BA14" i="140"/>
  <c r="BB14" i="140"/>
  <c r="AY15" i="140"/>
  <c r="AZ15" i="140"/>
  <c r="BA15" i="140"/>
  <c r="BB15" i="140"/>
  <c r="AY16" i="140"/>
  <c r="AZ16" i="140"/>
  <c r="BA16" i="140"/>
  <c r="BB16" i="140"/>
  <c r="AY17" i="140"/>
  <c r="AZ17" i="140"/>
  <c r="BA17" i="140"/>
  <c r="BB17" i="140"/>
  <c r="AY18" i="140"/>
  <c r="AZ18" i="140"/>
  <c r="BA18" i="140"/>
  <c r="BB18" i="140"/>
  <c r="AY19" i="140"/>
  <c r="AZ19" i="140"/>
  <c r="BA19" i="140"/>
  <c r="BB19" i="140"/>
  <c r="AY20" i="140"/>
  <c r="AZ20" i="140"/>
  <c r="BA20" i="140"/>
  <c r="BB20" i="140"/>
  <c r="AY21" i="140"/>
  <c r="AZ21" i="140"/>
  <c r="BA21" i="140"/>
  <c r="BB21" i="140"/>
  <c r="AY22" i="140"/>
  <c r="AZ22" i="140"/>
  <c r="BA22" i="140"/>
  <c r="BB22" i="140"/>
  <c r="AY23" i="140"/>
  <c r="AZ23" i="140"/>
  <c r="BA23" i="140"/>
  <c r="BB23" i="140"/>
  <c r="AY24" i="140"/>
  <c r="AZ24" i="140"/>
  <c r="BA24" i="140"/>
  <c r="BB24" i="140"/>
  <c r="AY25" i="140"/>
  <c r="AZ25" i="140"/>
  <c r="BA25" i="140"/>
  <c r="BB25" i="140"/>
  <c r="AY26" i="140"/>
  <c r="AZ26" i="140"/>
  <c r="BA26" i="140"/>
  <c r="BB26" i="140"/>
  <c r="AY27" i="140"/>
  <c r="AZ27" i="140"/>
  <c r="BA27" i="140"/>
  <c r="BB27" i="140"/>
  <c r="AY28" i="140"/>
  <c r="AZ28" i="140"/>
  <c r="BA28" i="140"/>
  <c r="BB28" i="140"/>
  <c r="AY29" i="140"/>
  <c r="AZ29" i="140"/>
  <c r="BA29" i="140"/>
  <c r="BB29" i="140"/>
  <c r="AY30" i="140"/>
  <c r="AZ30" i="140"/>
  <c r="BA30" i="140"/>
  <c r="BB30" i="140"/>
  <c r="AY31" i="140"/>
  <c r="AZ31" i="140"/>
  <c r="BA31" i="140"/>
  <c r="BB31" i="140"/>
  <c r="AY32" i="140"/>
  <c r="AZ32" i="140"/>
  <c r="BA32" i="140"/>
  <c r="BB32" i="140"/>
  <c r="AY33" i="140"/>
  <c r="AZ33" i="140"/>
  <c r="BA33" i="140"/>
  <c r="BB33" i="140"/>
  <c r="AY34" i="140"/>
  <c r="AZ34" i="140"/>
  <c r="BA34" i="140"/>
  <c r="BB34" i="140"/>
  <c r="AY35" i="140"/>
  <c r="AZ35" i="140"/>
  <c r="BA35" i="140"/>
  <c r="BB35" i="140"/>
  <c r="AY36" i="140"/>
  <c r="AZ36" i="140"/>
  <c r="BA36" i="140"/>
  <c r="BB36" i="140"/>
  <c r="AY37" i="140"/>
  <c r="AZ37" i="140"/>
  <c r="BA37" i="140"/>
  <c r="BB37" i="140"/>
  <c r="AY38" i="140"/>
  <c r="AZ38" i="140"/>
  <c r="BA38" i="140"/>
  <c r="BB38" i="140"/>
  <c r="AY39" i="140"/>
  <c r="AZ39" i="140"/>
  <c r="BA39" i="140"/>
  <c r="BB39" i="140"/>
  <c r="AY40" i="140"/>
  <c r="AZ40" i="140"/>
  <c r="BA40" i="140"/>
  <c r="BB40" i="140"/>
  <c r="AY41" i="140"/>
  <c r="AZ41" i="140"/>
  <c r="BA41" i="140"/>
  <c r="BB41" i="140"/>
  <c r="AY42" i="140"/>
  <c r="AZ42" i="140"/>
  <c r="BA42" i="140"/>
  <c r="BB42" i="140"/>
  <c r="AY43" i="140"/>
  <c r="AZ43" i="140"/>
  <c r="BA43" i="140"/>
  <c r="BB43" i="140"/>
  <c r="AY44" i="140"/>
  <c r="AZ44" i="140"/>
  <c r="BA44" i="140"/>
  <c r="BB44" i="140"/>
  <c r="AY45" i="140"/>
  <c r="AZ45" i="140"/>
  <c r="BA45" i="140"/>
  <c r="BB45" i="140"/>
  <c r="AY46" i="140"/>
  <c r="AZ46" i="140"/>
  <c r="BA46" i="140"/>
  <c r="BB46" i="140"/>
  <c r="AY47" i="140"/>
  <c r="AZ47" i="140"/>
  <c r="BA47" i="140"/>
  <c r="BB47" i="140"/>
  <c r="AY48" i="140"/>
  <c r="AZ48" i="140"/>
  <c r="BA48" i="140"/>
  <c r="BB48" i="140"/>
  <c r="AY49" i="140"/>
  <c r="AZ49" i="140"/>
  <c r="BA49" i="140"/>
  <c r="BB49" i="140"/>
  <c r="AY50" i="140"/>
  <c r="AZ50" i="140"/>
  <c r="BA50" i="140"/>
  <c r="BB50" i="140"/>
  <c r="AY51" i="140"/>
  <c r="AZ51" i="140"/>
  <c r="BA51" i="140"/>
  <c r="BB51" i="140"/>
  <c r="AY52" i="140"/>
  <c r="AZ52" i="140"/>
  <c r="BA52" i="140"/>
  <c r="BB52" i="140"/>
  <c r="AY53" i="140"/>
  <c r="AZ53" i="140"/>
  <c r="BA53" i="140"/>
  <c r="BB53" i="140"/>
  <c r="AY54" i="140"/>
  <c r="AZ54" i="140"/>
  <c r="BA54" i="140"/>
  <c r="BB54" i="140"/>
  <c r="AY55" i="140"/>
  <c r="AZ55" i="140"/>
  <c r="BA55" i="140"/>
  <c r="BB55" i="140"/>
  <c r="AY56" i="140"/>
  <c r="AZ56" i="140"/>
  <c r="BA56" i="140"/>
  <c r="BB56" i="140"/>
  <c r="AY57" i="140"/>
  <c r="AZ57" i="140"/>
  <c r="BA57" i="140"/>
  <c r="BB57" i="140"/>
  <c r="AY58" i="140"/>
  <c r="AZ58" i="140"/>
  <c r="BA58" i="140"/>
  <c r="BB58" i="140"/>
  <c r="AY59" i="140"/>
  <c r="AZ59" i="140"/>
  <c r="BA59" i="140"/>
  <c r="BB59" i="140"/>
  <c r="AY60" i="140"/>
  <c r="AZ60" i="140"/>
  <c r="BA60" i="140"/>
  <c r="BB60" i="140"/>
  <c r="AY61" i="140"/>
  <c r="AZ61" i="140"/>
  <c r="BA61" i="140"/>
  <c r="BB61" i="140"/>
  <c r="AY62" i="140"/>
  <c r="AZ62" i="140"/>
  <c r="BA62" i="140"/>
  <c r="BB62" i="140"/>
  <c r="AY63" i="140"/>
  <c r="AZ63" i="140"/>
  <c r="BA63" i="140"/>
  <c r="BB63" i="140"/>
  <c r="AY64" i="140"/>
  <c r="AZ64" i="140"/>
  <c r="BA64" i="140"/>
  <c r="BB64" i="140"/>
  <c r="AY65" i="140"/>
  <c r="AZ65" i="140"/>
  <c r="BA65" i="140"/>
  <c r="BB65" i="140"/>
  <c r="AY66" i="140"/>
  <c r="AZ66" i="140"/>
  <c r="BA66" i="140"/>
  <c r="BB66" i="140"/>
  <c r="AY67" i="140"/>
  <c r="AZ67" i="140"/>
  <c r="BA67" i="140"/>
  <c r="BB67" i="140"/>
  <c r="AY68" i="140"/>
  <c r="AZ68" i="140"/>
  <c r="BA68" i="140"/>
  <c r="BB68" i="140"/>
  <c r="AY69" i="140"/>
  <c r="AZ69" i="140"/>
  <c r="BA69" i="140"/>
  <c r="BB69" i="140"/>
  <c r="AY70" i="140"/>
  <c r="AZ70" i="140"/>
  <c r="BA70" i="140"/>
  <c r="BB70" i="140"/>
  <c r="AY71" i="140"/>
  <c r="AZ71" i="140"/>
  <c r="BA71" i="140"/>
  <c r="BB71" i="140"/>
  <c r="AY72" i="140"/>
  <c r="AZ72" i="140"/>
  <c r="BA72" i="140"/>
  <c r="BB72" i="140"/>
  <c r="AY73" i="140"/>
  <c r="AZ73" i="140"/>
  <c r="BA73" i="140"/>
  <c r="BB73" i="140"/>
  <c r="AY74" i="140"/>
  <c r="AZ74" i="140"/>
  <c r="BA74" i="140"/>
  <c r="BB74" i="140"/>
  <c r="AY75" i="140"/>
  <c r="AZ75" i="140"/>
  <c r="BA75" i="140"/>
  <c r="BB75" i="140"/>
  <c r="AY76" i="140"/>
  <c r="AZ76" i="140"/>
  <c r="BA76" i="140"/>
  <c r="BB76" i="140"/>
  <c r="AY77" i="140"/>
  <c r="AZ77" i="140"/>
  <c r="BA77" i="140"/>
  <c r="BB77" i="140"/>
  <c r="AY78" i="140"/>
  <c r="AZ78" i="140"/>
  <c r="BA78" i="140"/>
  <c r="BB78" i="140"/>
  <c r="AY79" i="140"/>
  <c r="AZ79" i="140"/>
  <c r="BA79" i="140"/>
  <c r="BB79" i="140"/>
  <c r="AY80" i="140"/>
  <c r="AZ80" i="140"/>
  <c r="BA80" i="140"/>
  <c r="BB80" i="140"/>
  <c r="AY81" i="140"/>
  <c r="AZ81" i="140"/>
  <c r="BA81" i="140"/>
  <c r="BB81" i="140"/>
  <c r="AY82" i="140"/>
  <c r="AZ82" i="140"/>
  <c r="BA82" i="140"/>
  <c r="BB82" i="140"/>
  <c r="AY83" i="140"/>
  <c r="AZ83" i="140"/>
  <c r="BA83" i="140"/>
  <c r="BB83" i="140"/>
  <c r="AY84" i="140"/>
  <c r="AZ84" i="140"/>
  <c r="BA84" i="140"/>
  <c r="BB84" i="140"/>
  <c r="AY85" i="140"/>
  <c r="AZ85" i="140"/>
  <c r="BA85" i="140"/>
  <c r="BB85" i="140"/>
  <c r="AY86" i="140"/>
  <c r="AZ86" i="140"/>
  <c r="BA86" i="140"/>
  <c r="BB86" i="140"/>
  <c r="AY87" i="140"/>
  <c r="AZ87" i="140"/>
  <c r="BA87" i="140"/>
  <c r="BB87" i="140"/>
  <c r="AY88" i="140"/>
  <c r="AZ88" i="140"/>
  <c r="BA88" i="140"/>
  <c r="BB88" i="140"/>
  <c r="AY89" i="140"/>
  <c r="AZ89" i="140"/>
  <c r="BA89" i="140"/>
  <c r="BB89" i="140"/>
  <c r="AY90" i="140"/>
  <c r="AZ90" i="140"/>
  <c r="BA90" i="140"/>
  <c r="BB90" i="140"/>
  <c r="AY91" i="140"/>
  <c r="AZ91" i="140"/>
  <c r="BA91" i="140"/>
  <c r="BB91" i="140"/>
  <c r="AY92" i="140"/>
  <c r="AZ92" i="140"/>
  <c r="BA92" i="140"/>
  <c r="BB92" i="140"/>
  <c r="AY93" i="140"/>
  <c r="AZ93" i="140"/>
  <c r="BA93" i="140"/>
  <c r="BB93" i="140"/>
  <c r="AY94" i="140"/>
  <c r="AZ94" i="140"/>
  <c r="BA94" i="140"/>
  <c r="BB94" i="140"/>
  <c r="AY95" i="140"/>
  <c r="AZ95" i="140"/>
  <c r="BA95" i="140"/>
  <c r="BB95" i="140"/>
  <c r="AY96" i="140"/>
  <c r="AZ96" i="140"/>
  <c r="BA96" i="140"/>
  <c r="BB96" i="140"/>
  <c r="AY97" i="140"/>
  <c r="AZ97" i="140"/>
  <c r="BA97" i="140"/>
  <c r="BB97" i="140"/>
  <c r="AY98" i="140"/>
  <c r="AZ98" i="140"/>
  <c r="BA98" i="140"/>
  <c r="BB98" i="140"/>
  <c r="AY99" i="140"/>
  <c r="AZ99" i="140"/>
  <c r="BA99" i="140"/>
  <c r="BB99" i="140"/>
  <c r="AY100" i="140"/>
  <c r="AZ100" i="140"/>
  <c r="BA100" i="140"/>
  <c r="BB100" i="140"/>
  <c r="AY101" i="140"/>
  <c r="AZ101" i="140"/>
  <c r="BA101" i="140"/>
  <c r="BB101" i="140"/>
  <c r="AY102" i="140"/>
  <c r="AZ102" i="140"/>
  <c r="BA102" i="140"/>
  <c r="BB102" i="140"/>
  <c r="AY103" i="140"/>
  <c r="AZ103" i="140"/>
  <c r="BA103" i="140"/>
  <c r="BB103" i="140"/>
  <c r="AY104" i="140"/>
  <c r="AZ104" i="140"/>
  <c r="BA104" i="140"/>
  <c r="BB104" i="140"/>
  <c r="AY105" i="140"/>
  <c r="AZ105" i="140"/>
  <c r="BA105" i="140"/>
  <c r="BB105" i="140"/>
  <c r="AY106" i="140"/>
  <c r="AZ106" i="140"/>
  <c r="BA106" i="140"/>
  <c r="BB106" i="140"/>
  <c r="AY107" i="140"/>
  <c r="AZ107" i="140"/>
  <c r="BA107" i="140"/>
  <c r="BB107" i="140"/>
  <c r="AY108" i="140"/>
  <c r="AZ108" i="140"/>
  <c r="BA108" i="140"/>
  <c r="BB108" i="140"/>
  <c r="AY109" i="140"/>
  <c r="AZ109" i="140"/>
  <c r="BA109" i="140"/>
  <c r="BB109" i="140"/>
  <c r="AY110" i="140"/>
  <c r="AZ110" i="140"/>
  <c r="BA110" i="140"/>
  <c r="BB110" i="140"/>
  <c r="AY111" i="140"/>
  <c r="AZ111" i="140"/>
  <c r="BA111" i="140"/>
  <c r="BB111" i="140"/>
  <c r="AY112" i="140"/>
  <c r="AZ112" i="140"/>
  <c r="BA112" i="140"/>
  <c r="BB112" i="140"/>
  <c r="AY113" i="140"/>
  <c r="AZ113" i="140"/>
  <c r="BA113" i="140"/>
  <c r="BB113" i="140"/>
  <c r="AY114" i="140"/>
  <c r="AZ114" i="140"/>
  <c r="BA114" i="140"/>
  <c r="BB114" i="140"/>
  <c r="AY115" i="140"/>
  <c r="AZ115" i="140"/>
  <c r="BA115" i="140"/>
  <c r="BB115" i="140"/>
  <c r="AY116" i="140"/>
  <c r="AZ116" i="140"/>
  <c r="BA116" i="140"/>
  <c r="BB116" i="140"/>
  <c r="AY117" i="140"/>
  <c r="AZ117" i="140"/>
  <c r="BA117" i="140"/>
  <c r="BB117" i="140"/>
  <c r="AY118" i="140"/>
  <c r="AZ118" i="140"/>
  <c r="BA118" i="140"/>
  <c r="BB118" i="140"/>
  <c r="AY119" i="140"/>
  <c r="AZ119" i="140"/>
  <c r="BA119" i="140"/>
  <c r="BB119" i="140"/>
  <c r="AY120" i="140"/>
  <c r="AZ120" i="140"/>
  <c r="BA120" i="140"/>
  <c r="BB120" i="140"/>
  <c r="AY121" i="140"/>
  <c r="AZ121" i="140"/>
  <c r="BA121" i="140"/>
  <c r="BB121" i="140"/>
  <c r="AY122" i="140"/>
  <c r="AZ122" i="140"/>
  <c r="BA122" i="140"/>
  <c r="BB122" i="140"/>
  <c r="AY123" i="140"/>
  <c r="AZ123" i="140"/>
  <c r="BA123" i="140"/>
  <c r="BB123" i="140"/>
  <c r="AY124" i="140"/>
  <c r="AZ124" i="140"/>
  <c r="BA124" i="140"/>
  <c r="BB124" i="140"/>
  <c r="AY125" i="140"/>
  <c r="AZ125" i="140"/>
  <c r="BA125" i="140"/>
  <c r="BB125" i="140"/>
  <c r="AY126" i="140"/>
  <c r="AZ126" i="140"/>
  <c r="BA126" i="140"/>
  <c r="BB126" i="140"/>
  <c r="AY127" i="140"/>
  <c r="AZ127" i="140"/>
  <c r="BA127" i="140"/>
  <c r="BB127" i="140"/>
  <c r="AY128" i="140"/>
  <c r="AZ128" i="140"/>
  <c r="BA128" i="140"/>
  <c r="BB128" i="140"/>
  <c r="AY129" i="140"/>
  <c r="AZ129" i="140"/>
  <c r="BA129" i="140"/>
  <c r="BB129" i="140"/>
  <c r="AY130" i="140"/>
  <c r="AZ130" i="140"/>
  <c r="BA130" i="140"/>
  <c r="BB130" i="140"/>
  <c r="AY131" i="140"/>
  <c r="AZ131" i="140"/>
  <c r="BA131" i="140"/>
  <c r="BB131" i="140"/>
  <c r="AY132" i="140"/>
  <c r="AZ132" i="140"/>
  <c r="BA132" i="140"/>
  <c r="BB132" i="140"/>
  <c r="AY133" i="140"/>
  <c r="AZ133" i="140"/>
  <c r="BA133" i="140"/>
  <c r="BB133" i="140"/>
  <c r="AY134" i="140"/>
  <c r="AZ134" i="140"/>
  <c r="BA134" i="140"/>
  <c r="BB134" i="140"/>
  <c r="AY135" i="140"/>
  <c r="AZ135" i="140"/>
  <c r="K184" i="4" s="1"/>
  <c r="BA135" i="140"/>
  <c r="BB135" i="140"/>
  <c r="AY136" i="140"/>
  <c r="AZ136" i="140"/>
  <c r="BA136" i="140"/>
  <c r="BB136" i="140"/>
  <c r="AY137" i="140"/>
  <c r="AZ137" i="140"/>
  <c r="BA137" i="140"/>
  <c r="BB137" i="140"/>
  <c r="AY138" i="140"/>
  <c r="AZ138" i="140"/>
  <c r="BA138" i="140"/>
  <c r="BB138" i="140"/>
  <c r="AY139" i="140"/>
  <c r="AZ139" i="140"/>
  <c r="BA139" i="140"/>
  <c r="BB139" i="140"/>
  <c r="AY140" i="140"/>
  <c r="AZ140" i="140"/>
  <c r="BA140" i="140"/>
  <c r="BB140" i="140"/>
  <c r="AY141" i="140"/>
  <c r="AZ141" i="140"/>
  <c r="BA141" i="140"/>
  <c r="BB141" i="140"/>
  <c r="AY142" i="140"/>
  <c r="AZ142" i="140"/>
  <c r="BA142" i="140"/>
  <c r="BB142" i="140"/>
  <c r="AY143" i="140"/>
  <c r="AZ143" i="140"/>
  <c r="BA143" i="140"/>
  <c r="BB143" i="140"/>
  <c r="AY144" i="140"/>
  <c r="AZ144" i="140"/>
  <c r="BA144" i="140"/>
  <c r="BB144" i="140"/>
  <c r="AY145" i="140"/>
  <c r="AZ145" i="140"/>
  <c r="BA145" i="140"/>
  <c r="BB145" i="140"/>
  <c r="AX151" i="136"/>
  <c r="BB151" i="136" s="1"/>
  <c r="BB153" i="136"/>
  <c r="BB152" i="136"/>
  <c r="N36" i="54"/>
  <c r="N37" i="54"/>
  <c r="N38" i="54"/>
  <c r="N39" i="54"/>
  <c r="N40" i="54"/>
  <c r="N41" i="54"/>
  <c r="N42" i="54"/>
  <c r="N43" i="54"/>
  <c r="N44" i="54"/>
  <c r="N46" i="54"/>
  <c r="N48" i="54"/>
  <c r="N47" i="54"/>
  <c r="L35" i="54"/>
  <c r="AK4" i="143"/>
  <c r="AL4" i="143"/>
  <c r="AM4" i="143"/>
  <c r="AK5" i="143"/>
  <c r="AL5" i="143"/>
  <c r="AM5" i="143"/>
  <c r="AK6" i="143"/>
  <c r="AL6" i="143"/>
  <c r="AM6" i="143"/>
  <c r="AK7" i="143"/>
  <c r="AL7" i="143"/>
  <c r="AM7" i="143"/>
  <c r="AK8" i="143"/>
  <c r="AL8" i="143"/>
  <c r="AM8" i="143"/>
  <c r="AL3" i="143"/>
  <c r="AM3" i="143"/>
  <c r="AK3" i="143"/>
  <c r="AG44" i="37" l="1"/>
  <c r="AG40" i="37" s="1"/>
  <c r="AG12" i="37"/>
  <c r="N150" i="39"/>
  <c r="O150" i="39" s="1"/>
  <c r="L184" i="4"/>
  <c r="P115" i="4"/>
  <c r="P119" i="4"/>
  <c r="M151" i="39"/>
  <c r="O22" i="4"/>
  <c r="N16" i="4"/>
  <c r="N99" i="4"/>
  <c r="O108" i="4"/>
  <c r="O39" i="4"/>
  <c r="O19" i="4"/>
  <c r="O14" i="4"/>
  <c r="N60" i="4"/>
  <c r="N44" i="4"/>
  <c r="N90" i="4"/>
  <c r="O35" i="4"/>
  <c r="O82" i="4"/>
  <c r="O81" i="4"/>
  <c r="O37" i="4"/>
  <c r="P37" i="4" s="1"/>
  <c r="O83" i="4"/>
  <c r="O45" i="4"/>
  <c r="O59" i="4"/>
  <c r="N76" i="4"/>
  <c r="N83" i="4"/>
  <c r="O68" i="4"/>
  <c r="O21" i="4"/>
  <c r="O54" i="4"/>
  <c r="N22" i="4"/>
  <c r="N70" i="4"/>
  <c r="O28" i="4"/>
  <c r="O44" i="4"/>
  <c r="N46" i="4"/>
  <c r="AE10" i="35"/>
  <c r="AE9" i="35" s="1"/>
  <c r="AG10" i="35"/>
  <c r="AG9" i="35" s="1"/>
  <c r="M25" i="37"/>
  <c r="AG11" i="37"/>
  <c r="AE44" i="37"/>
  <c r="AE40" i="37" s="1"/>
  <c r="N51" i="4"/>
  <c r="N20" i="4"/>
  <c r="N62" i="4"/>
  <c r="N66" i="4"/>
  <c r="N97" i="4"/>
  <c r="N30" i="4"/>
  <c r="N85" i="4"/>
  <c r="AE12" i="37"/>
  <c r="O66" i="4"/>
  <c r="N69" i="4"/>
  <c r="N23" i="4"/>
  <c r="O30" i="4"/>
  <c r="M26" i="4"/>
  <c r="M64" i="4"/>
  <c r="O41" i="4"/>
  <c r="O92" i="4"/>
  <c r="M150" i="39"/>
  <c r="O85" i="4"/>
  <c r="N28" i="4"/>
  <c r="N41" i="4"/>
  <c r="N14" i="4"/>
  <c r="N91" i="4"/>
  <c r="N27" i="4"/>
  <c r="O16" i="4"/>
  <c r="N52" i="4"/>
  <c r="N75" i="4"/>
  <c r="N39" i="4"/>
  <c r="O50" i="4"/>
  <c r="O60" i="4"/>
  <c r="N45" i="4"/>
  <c r="N54" i="4"/>
  <c r="N18" i="4"/>
  <c r="N19" i="4"/>
  <c r="O36" i="4"/>
  <c r="N81" i="4"/>
  <c r="O203" i="4"/>
  <c r="N37" i="4"/>
  <c r="J43" i="4"/>
  <c r="O58" i="4"/>
  <c r="O67" i="4"/>
  <c r="O49" i="4"/>
  <c r="J33" i="4"/>
  <c r="N61" i="4"/>
  <c r="O18" i="4"/>
  <c r="O80" i="4"/>
  <c r="N58" i="4"/>
  <c r="O52" i="4"/>
  <c r="N77" i="4"/>
  <c r="O101" i="4"/>
  <c r="N36" i="4"/>
  <c r="N93" i="4"/>
  <c r="N17" i="4"/>
  <c r="O193" i="4"/>
  <c r="O62" i="4"/>
  <c r="O53" i="4"/>
  <c r="O20" i="4"/>
  <c r="N72" i="4"/>
  <c r="O187" i="4"/>
  <c r="O195" i="4"/>
  <c r="N35" i="4"/>
  <c r="N82" i="4"/>
  <c r="O97" i="4"/>
  <c r="N50" i="4"/>
  <c r="O72" i="4"/>
  <c r="M12" i="4"/>
  <c r="N195" i="4"/>
  <c r="O47" i="4"/>
  <c r="O46" i="4"/>
  <c r="O189" i="4"/>
  <c r="N209" i="4"/>
  <c r="N47" i="4"/>
  <c r="N71" i="4"/>
  <c r="O17" i="4"/>
  <c r="N15" i="4"/>
  <c r="J73" i="4"/>
  <c r="M74" i="4"/>
  <c r="O209" i="4"/>
  <c r="M33" i="4"/>
  <c r="O75" i="4"/>
  <c r="N86" i="4"/>
  <c r="O91" i="4"/>
  <c r="O27" i="4"/>
  <c r="N202" i="4"/>
  <c r="N34" i="4"/>
  <c r="N13" i="4"/>
  <c r="N53" i="4"/>
  <c r="N40" i="4"/>
  <c r="O79" i="4"/>
  <c r="M43" i="4"/>
  <c r="P89" i="4"/>
  <c r="P103" i="4"/>
  <c r="P88" i="4"/>
  <c r="P142" i="4"/>
  <c r="P124" i="4"/>
  <c r="P140" i="4"/>
  <c r="P151" i="4"/>
  <c r="P110" i="4"/>
  <c r="P129" i="4"/>
  <c r="P19" i="4"/>
  <c r="P109" i="4"/>
  <c r="P51" i="4"/>
  <c r="P70" i="4"/>
  <c r="P65" i="4"/>
  <c r="P130" i="4"/>
  <c r="P146" i="4"/>
  <c r="P141" i="4"/>
  <c r="P152" i="4"/>
  <c r="P135" i="4"/>
  <c r="P208" i="4"/>
  <c r="P69" i="4"/>
  <c r="P104" i="4"/>
  <c r="P139" i="4"/>
  <c r="P211" i="4"/>
  <c r="P107" i="4"/>
  <c r="P77" i="4"/>
  <c r="P100" i="4"/>
  <c r="P116" i="4"/>
  <c r="P125" i="4"/>
  <c r="P34" i="4"/>
  <c r="P156" i="4"/>
  <c r="P112" i="4"/>
  <c r="P102" i="4"/>
  <c r="P113" i="4"/>
  <c r="P40" i="4"/>
  <c r="P90" i="4"/>
  <c r="P13" i="4"/>
  <c r="P136" i="4"/>
  <c r="P118" i="4"/>
  <c r="P93" i="4"/>
  <c r="P145" i="4"/>
  <c r="P138" i="4"/>
  <c r="P120" i="4"/>
  <c r="P86" i="4"/>
  <c r="P131" i="4"/>
  <c r="P99" i="4"/>
  <c r="P143" i="4"/>
  <c r="P137" i="4"/>
  <c r="P176" i="4"/>
  <c r="P31" i="4"/>
  <c r="P153" i="4"/>
  <c r="P61" i="4"/>
  <c r="P122" i="4"/>
  <c r="P98" i="4"/>
  <c r="P170" i="4"/>
  <c r="P154" i="4"/>
  <c r="P210" i="4"/>
  <c r="P150" i="4"/>
  <c r="P212" i="4"/>
  <c r="P155" i="4"/>
  <c r="P165" i="4"/>
  <c r="P71" i="4"/>
  <c r="P126" i="4"/>
  <c r="P76" i="4"/>
  <c r="P128" i="4"/>
  <c r="P106" i="4"/>
  <c r="P111" i="4"/>
  <c r="P149" i="4"/>
  <c r="P133" i="4"/>
  <c r="P144" i="4"/>
  <c r="P202" i="4"/>
  <c r="P184" i="4"/>
  <c r="P132" i="4"/>
  <c r="P194" i="4"/>
  <c r="P121" i="4"/>
  <c r="P148" i="4"/>
  <c r="P186" i="4"/>
  <c r="P105" i="4"/>
  <c r="P15" i="4"/>
  <c r="P23" i="4"/>
  <c r="P95" i="4"/>
  <c r="P87" i="4"/>
  <c r="P134" i="4"/>
  <c r="P114" i="4"/>
  <c r="N184" i="4"/>
  <c r="N151" i="39"/>
  <c r="O151" i="39" s="1"/>
  <c r="O166" i="4"/>
  <c r="N185" i="4"/>
  <c r="O185" i="4"/>
  <c r="O178" i="4"/>
  <c r="O191" i="4"/>
  <c r="N193" i="4"/>
  <c r="L204" i="39"/>
  <c r="N175" i="4"/>
  <c r="O175" i="4"/>
  <c r="I204" i="39"/>
  <c r="N170" i="4"/>
  <c r="O192" i="4"/>
  <c r="N176" i="4"/>
  <c r="O190" i="4"/>
  <c r="I175" i="39"/>
  <c r="I11" i="54"/>
  <c r="N11" i="54" s="1"/>
  <c r="AA14" i="35"/>
  <c r="AA13" i="35" s="1"/>
  <c r="AA10" i="35" s="1"/>
  <c r="AA9" i="35" s="1"/>
  <c r="AC44" i="37"/>
  <c r="AC40" i="37" s="1"/>
  <c r="AC14" i="37"/>
  <c r="AC12" i="37" s="1"/>
  <c r="N25" i="37"/>
  <c r="O25" i="37" s="1"/>
  <c r="L24" i="37"/>
  <c r="O57" i="4"/>
  <c r="N57" i="4"/>
  <c r="AB11" i="4"/>
  <c r="M29" i="4"/>
  <c r="AC10" i="35"/>
  <c r="AC9" i="35" s="1"/>
  <c r="AB80" i="4"/>
  <c r="AB42" i="4"/>
  <c r="M38" i="4"/>
  <c r="AA44" i="37"/>
  <c r="AA40" i="37" s="1"/>
  <c r="AA14" i="37"/>
  <c r="AA12" i="37" s="1"/>
  <c r="Y10" i="35"/>
  <c r="Y9" i="35" s="1"/>
  <c r="Y44" i="37"/>
  <c r="Y40" i="37" s="1"/>
  <c r="Y14" i="37"/>
  <c r="Y12" i="37" s="1"/>
  <c r="Z44" i="4"/>
  <c r="Z105" i="4"/>
  <c r="Z66" i="4"/>
  <c r="Z140" i="4"/>
  <c r="Z132" i="4"/>
  <c r="Z122" i="4"/>
  <c r="Z83" i="4"/>
  <c r="Z65" i="4"/>
  <c r="Z52" i="4"/>
  <c r="Z43" i="4"/>
  <c r="Z28" i="4"/>
  <c r="Z18" i="4"/>
  <c r="Z73" i="4"/>
  <c r="Z133" i="4"/>
  <c r="Z85" i="4"/>
  <c r="Z29" i="4"/>
  <c r="Z139" i="4"/>
  <c r="Z131" i="4"/>
  <c r="Z120" i="4"/>
  <c r="Z103" i="4"/>
  <c r="Z80" i="4"/>
  <c r="Z64" i="4"/>
  <c r="Z51" i="4"/>
  <c r="Z42" i="4"/>
  <c r="Z17" i="4"/>
  <c r="Z90" i="4"/>
  <c r="Z10" i="4"/>
  <c r="Z141" i="4"/>
  <c r="Z19" i="4"/>
  <c r="Z104" i="4"/>
  <c r="Z156" i="4"/>
  <c r="Z137" i="4"/>
  <c r="Z129" i="4"/>
  <c r="Z112" i="4"/>
  <c r="Z95" i="4"/>
  <c r="Z75" i="4"/>
  <c r="Z60" i="4"/>
  <c r="Z49" i="4"/>
  <c r="Z34" i="4"/>
  <c r="Z23" i="4"/>
  <c r="Z14" i="4"/>
  <c r="Z124" i="4"/>
  <c r="Z54" i="4"/>
  <c r="Z146" i="4"/>
  <c r="Z128" i="4"/>
  <c r="Z111" i="4"/>
  <c r="Z92" i="4"/>
  <c r="Z74" i="4"/>
  <c r="Z59" i="4"/>
  <c r="Z47" i="4"/>
  <c r="Z33" i="4"/>
  <c r="Z22" i="4"/>
  <c r="Z13" i="4"/>
  <c r="Z136" i="4"/>
  <c r="Z145" i="4"/>
  <c r="Z135" i="4"/>
  <c r="Z126" i="4"/>
  <c r="Z107" i="4"/>
  <c r="Z58" i="4"/>
  <c r="Z46" i="4"/>
  <c r="Z31" i="4"/>
  <c r="Z21" i="4"/>
  <c r="Z12" i="4"/>
  <c r="Z27" i="4"/>
  <c r="AS37" i="142"/>
  <c r="AT37" i="142"/>
  <c r="AU37" i="142"/>
  <c r="J17" i="37"/>
  <c r="K17" i="37" s="1"/>
  <c r="X25" i="37"/>
  <c r="AS4" i="142"/>
  <c r="AT4" i="142"/>
  <c r="AU4" i="142"/>
  <c r="AS5" i="142"/>
  <c r="AT5" i="142"/>
  <c r="AU5" i="142"/>
  <c r="AS6" i="142"/>
  <c r="AT6" i="142"/>
  <c r="AU6" i="142"/>
  <c r="AS7" i="142"/>
  <c r="AT7" i="142"/>
  <c r="AU7" i="142"/>
  <c r="AS8" i="142"/>
  <c r="AT8" i="142"/>
  <c r="AU8" i="142"/>
  <c r="AS9" i="142"/>
  <c r="AT9" i="142"/>
  <c r="AU9" i="142"/>
  <c r="AS10" i="142"/>
  <c r="AT10" i="142"/>
  <c r="AU10" i="142"/>
  <c r="AS11" i="142"/>
  <c r="AT11" i="142"/>
  <c r="AU11" i="142"/>
  <c r="AS12" i="142"/>
  <c r="AT12" i="142"/>
  <c r="AU12" i="142"/>
  <c r="AS13" i="142"/>
  <c r="AT13" i="142"/>
  <c r="AU13" i="142"/>
  <c r="AS14" i="142"/>
  <c r="AT14" i="142"/>
  <c r="AU14" i="142"/>
  <c r="AS15" i="142"/>
  <c r="AT15" i="142"/>
  <c r="AU15" i="142"/>
  <c r="AS16" i="142"/>
  <c r="AT16" i="142"/>
  <c r="AU16" i="142"/>
  <c r="AS17" i="142"/>
  <c r="AT17" i="142"/>
  <c r="AU17" i="142"/>
  <c r="AS18" i="142"/>
  <c r="AT18" i="142"/>
  <c r="AU18" i="142"/>
  <c r="AS19" i="142"/>
  <c r="AT19" i="142"/>
  <c r="AU19" i="142"/>
  <c r="AS20" i="142"/>
  <c r="AT20" i="142"/>
  <c r="AU20" i="142"/>
  <c r="AS21" i="142"/>
  <c r="AT21" i="142"/>
  <c r="AU21" i="142"/>
  <c r="AS22" i="142"/>
  <c r="AT22" i="142"/>
  <c r="AU22" i="142"/>
  <c r="AS23" i="142"/>
  <c r="AT23" i="142"/>
  <c r="AU23" i="142"/>
  <c r="AS24" i="142"/>
  <c r="AT24" i="142"/>
  <c r="AU24" i="142"/>
  <c r="AS25" i="142"/>
  <c r="AT25" i="142"/>
  <c r="AU25" i="142"/>
  <c r="AS26" i="142"/>
  <c r="AT26" i="142"/>
  <c r="AU26" i="142"/>
  <c r="AS27" i="142"/>
  <c r="AT27" i="142"/>
  <c r="AU27" i="142"/>
  <c r="AS28" i="142"/>
  <c r="AT28" i="142"/>
  <c r="AU28" i="142"/>
  <c r="AS29" i="142"/>
  <c r="AT29" i="142"/>
  <c r="AU29" i="142"/>
  <c r="AS30" i="142"/>
  <c r="AT30" i="142"/>
  <c r="AU30" i="142"/>
  <c r="AS31" i="142"/>
  <c r="AT31" i="142"/>
  <c r="AU31" i="142"/>
  <c r="AS32" i="142"/>
  <c r="AT32" i="142"/>
  <c r="AU32" i="142"/>
  <c r="L37" i="37" s="1"/>
  <c r="AS33" i="142"/>
  <c r="AT33" i="142"/>
  <c r="AU33" i="142"/>
  <c r="AS34" i="142"/>
  <c r="AT34" i="142"/>
  <c r="AU34" i="142"/>
  <c r="AS35" i="142"/>
  <c r="AT35" i="142"/>
  <c r="AU35" i="142"/>
  <c r="AS36" i="142"/>
  <c r="AT36" i="142"/>
  <c r="AU36" i="142"/>
  <c r="AS38" i="142"/>
  <c r="AT38" i="142"/>
  <c r="AU38" i="142"/>
  <c r="AS39" i="142"/>
  <c r="AT39" i="142"/>
  <c r="AU39" i="142"/>
  <c r="AS40" i="142"/>
  <c r="AT40" i="142"/>
  <c r="AU40" i="142"/>
  <c r="AS41" i="142"/>
  <c r="AT41" i="142"/>
  <c r="AU41" i="142"/>
  <c r="AS42" i="142"/>
  <c r="AT42" i="142"/>
  <c r="AU42" i="142"/>
  <c r="AS43" i="142"/>
  <c r="AT43" i="142"/>
  <c r="AU43" i="142"/>
  <c r="AS44" i="142"/>
  <c r="AT44" i="142"/>
  <c r="AU44" i="142"/>
  <c r="AS45" i="142"/>
  <c r="AT45" i="142"/>
  <c r="AU45" i="142"/>
  <c r="AS46" i="142"/>
  <c r="AT46" i="142"/>
  <c r="AU46" i="142"/>
  <c r="AS47" i="142"/>
  <c r="AT47" i="142"/>
  <c r="AU47" i="142"/>
  <c r="AS48" i="142"/>
  <c r="AT48" i="142"/>
  <c r="AU48" i="142"/>
  <c r="AS49" i="142"/>
  <c r="AT49" i="142"/>
  <c r="AU49" i="142"/>
  <c r="AS50" i="142"/>
  <c r="AT50" i="142"/>
  <c r="AU50" i="142"/>
  <c r="AS51" i="142"/>
  <c r="AT51" i="142"/>
  <c r="AU51" i="142"/>
  <c r="AS52" i="142"/>
  <c r="AT52" i="142"/>
  <c r="AU52" i="142"/>
  <c r="AS53" i="142"/>
  <c r="AT53" i="142"/>
  <c r="AU53" i="142"/>
  <c r="AS54" i="142"/>
  <c r="AT54" i="142"/>
  <c r="AU54" i="142"/>
  <c r="AS55" i="142"/>
  <c r="AT55" i="142"/>
  <c r="AU55" i="142"/>
  <c r="AS56" i="142"/>
  <c r="AT56" i="142"/>
  <c r="AU56" i="142"/>
  <c r="AS57" i="142"/>
  <c r="AT57" i="142"/>
  <c r="AU57" i="142"/>
  <c r="AT3" i="142"/>
  <c r="AU3" i="142"/>
  <c r="AS3" i="142"/>
  <c r="AJ4" i="142"/>
  <c r="W21" i="37" s="1"/>
  <c r="AJ5" i="142"/>
  <c r="W19" i="37" s="1"/>
  <c r="J19" i="37" s="1"/>
  <c r="K19" i="37" s="1"/>
  <c r="AJ6" i="142"/>
  <c r="AJ7" i="142"/>
  <c r="W27" i="37" s="1"/>
  <c r="J27" i="37" s="1"/>
  <c r="K27" i="37" s="1"/>
  <c r="AJ8" i="142"/>
  <c r="W26" i="37" s="1"/>
  <c r="AJ9" i="142"/>
  <c r="W47" i="37" s="1"/>
  <c r="AJ10" i="142"/>
  <c r="W49" i="37" s="1"/>
  <c r="AJ11" i="142"/>
  <c r="W51" i="37" s="1"/>
  <c r="AJ12" i="142"/>
  <c r="W53" i="37" s="1"/>
  <c r="AJ13" i="142"/>
  <c r="W56" i="37" s="1"/>
  <c r="AJ3" i="142"/>
  <c r="W18" i="37" s="1"/>
  <c r="AU47" i="138"/>
  <c r="W33" i="35"/>
  <c r="W27" i="35"/>
  <c r="W21" i="35"/>
  <c r="AS4" i="141"/>
  <c r="AT4" i="141"/>
  <c r="AU4" i="141"/>
  <c r="AS5" i="141"/>
  <c r="AT5" i="141"/>
  <c r="AU5" i="141"/>
  <c r="AS6" i="141"/>
  <c r="AT6" i="141"/>
  <c r="AU6" i="141"/>
  <c r="AS7" i="141"/>
  <c r="AT7" i="141"/>
  <c r="AU7" i="141"/>
  <c r="AS8" i="141"/>
  <c r="AT8" i="141"/>
  <c r="AU8" i="141"/>
  <c r="AS9" i="141"/>
  <c r="AT9" i="141"/>
  <c r="AU9" i="141"/>
  <c r="AS10" i="141"/>
  <c r="AT10" i="141"/>
  <c r="AU10" i="141"/>
  <c r="AS11" i="141"/>
  <c r="AT11" i="141"/>
  <c r="AU11" i="141"/>
  <c r="AS12" i="141"/>
  <c r="AT12" i="141"/>
  <c r="AU12" i="141"/>
  <c r="AS13" i="141"/>
  <c r="AT13" i="141"/>
  <c r="AU13" i="141"/>
  <c r="AS14" i="141"/>
  <c r="AT14" i="141"/>
  <c r="AU14" i="141"/>
  <c r="AS15" i="141"/>
  <c r="AT15" i="141"/>
  <c r="AU15" i="141"/>
  <c r="AS16" i="141"/>
  <c r="AT16" i="141"/>
  <c r="AU16" i="141"/>
  <c r="AS17" i="141"/>
  <c r="AT17" i="141"/>
  <c r="AU17" i="141"/>
  <c r="AS18" i="141"/>
  <c r="AT18" i="141"/>
  <c r="AU18" i="141"/>
  <c r="AS19" i="141"/>
  <c r="AT19" i="141"/>
  <c r="AU19" i="141"/>
  <c r="AS20" i="141"/>
  <c r="AT20" i="141"/>
  <c r="AU20" i="141"/>
  <c r="AS21" i="141"/>
  <c r="AT21" i="141"/>
  <c r="AU21" i="141"/>
  <c r="AS22" i="141"/>
  <c r="AT22" i="141"/>
  <c r="AU22" i="141"/>
  <c r="AS23" i="141"/>
  <c r="AT23" i="141"/>
  <c r="AU23" i="141"/>
  <c r="AS24" i="141"/>
  <c r="AT24" i="141"/>
  <c r="AU24" i="141"/>
  <c r="AS25" i="141"/>
  <c r="AT25" i="141"/>
  <c r="AU25" i="141"/>
  <c r="AS26" i="141"/>
  <c r="AT26" i="141"/>
  <c r="AU26" i="141"/>
  <c r="AS27" i="141"/>
  <c r="AT27" i="141"/>
  <c r="AU27" i="141"/>
  <c r="AS28" i="141"/>
  <c r="AT28" i="141"/>
  <c r="AU28" i="141"/>
  <c r="AS29" i="141"/>
  <c r="AT29" i="141"/>
  <c r="AU29" i="141"/>
  <c r="AS30" i="141"/>
  <c r="AT30" i="141"/>
  <c r="AU30" i="141"/>
  <c r="AS31" i="141"/>
  <c r="AT31" i="141"/>
  <c r="AU31" i="141"/>
  <c r="AS32" i="141"/>
  <c r="AT32" i="141"/>
  <c r="AU32" i="141"/>
  <c r="AS33" i="141"/>
  <c r="AT33" i="141"/>
  <c r="AU33" i="141"/>
  <c r="AS34" i="141"/>
  <c r="AT34" i="141"/>
  <c r="AU34" i="141"/>
  <c r="AS35" i="141"/>
  <c r="AT35" i="141"/>
  <c r="AU35" i="141"/>
  <c r="AS36" i="141"/>
  <c r="AT36" i="141"/>
  <c r="AU36" i="141"/>
  <c r="AS37" i="141"/>
  <c r="AT37" i="141"/>
  <c r="AU37" i="141"/>
  <c r="AS38" i="141"/>
  <c r="AT38" i="141"/>
  <c r="AU38" i="141"/>
  <c r="AS39" i="141"/>
  <c r="AT39" i="141"/>
  <c r="AU39" i="141"/>
  <c r="AS40" i="141"/>
  <c r="AT40" i="141"/>
  <c r="AU40" i="141"/>
  <c r="AS41" i="141"/>
  <c r="AT41" i="141"/>
  <c r="AU41" i="141"/>
  <c r="AS42" i="141"/>
  <c r="AT42" i="141"/>
  <c r="AU42" i="141"/>
  <c r="AS43" i="141"/>
  <c r="AT43" i="141"/>
  <c r="AU43" i="141"/>
  <c r="AS44" i="141"/>
  <c r="N60" i="35" s="1"/>
  <c r="O60" i="35" s="1"/>
  <c r="AT44" i="141"/>
  <c r="AU44" i="141"/>
  <c r="AS45" i="141"/>
  <c r="AT45" i="141"/>
  <c r="AU45" i="141"/>
  <c r="AS46" i="141"/>
  <c r="AT46" i="141"/>
  <c r="AU46" i="141"/>
  <c r="AS47" i="141"/>
  <c r="AT47" i="141"/>
  <c r="AU47" i="141"/>
  <c r="AS48" i="141"/>
  <c r="AT48" i="141"/>
  <c r="AU48" i="141"/>
  <c r="AS49" i="141"/>
  <c r="AT49" i="141"/>
  <c r="AU49" i="141"/>
  <c r="AS50" i="141"/>
  <c r="AT50" i="141"/>
  <c r="AU50" i="141"/>
  <c r="AT3" i="141"/>
  <c r="AU3" i="141"/>
  <c r="AS3" i="141"/>
  <c r="AJ4" i="141"/>
  <c r="W38" i="35" s="1"/>
  <c r="W37" i="35" s="1"/>
  <c r="AJ5" i="141"/>
  <c r="W45" i="35" s="1"/>
  <c r="W44" i="35" s="1"/>
  <c r="AJ6" i="141"/>
  <c r="W57" i="35" s="1"/>
  <c r="W55" i="35" s="1"/>
  <c r="W54" i="35" s="1"/>
  <c r="W53" i="35" s="1"/>
  <c r="AJ7" i="141"/>
  <c r="W62" i="35" s="1"/>
  <c r="W61" i="35" s="1"/>
  <c r="AJ3" i="141"/>
  <c r="W18" i="35" s="1"/>
  <c r="W14" i="35" s="1"/>
  <c r="W13" i="35" s="1"/>
  <c r="X33" i="35"/>
  <c r="X47" i="35"/>
  <c r="X61" i="35"/>
  <c r="R214" i="39"/>
  <c r="P215" i="39"/>
  <c r="Q215" i="39"/>
  <c r="G215" i="39"/>
  <c r="AJ4" i="140"/>
  <c r="AK4" i="140"/>
  <c r="AL4" i="140"/>
  <c r="AM4" i="140"/>
  <c r="AJ5" i="140"/>
  <c r="AK5" i="140"/>
  <c r="AL5" i="140"/>
  <c r="AM5" i="140"/>
  <c r="AJ6" i="140"/>
  <c r="AK6" i="140"/>
  <c r="AL6" i="140"/>
  <c r="AM6" i="140"/>
  <c r="AJ7" i="140"/>
  <c r="AK7" i="140"/>
  <c r="AL7" i="140"/>
  <c r="AM7" i="140"/>
  <c r="AJ8" i="140"/>
  <c r="AK8" i="140"/>
  <c r="AL8" i="140"/>
  <c r="AM8" i="140"/>
  <c r="AJ9" i="140"/>
  <c r="AK9" i="140"/>
  <c r="AL9" i="140"/>
  <c r="AM9" i="140"/>
  <c r="AJ10" i="140"/>
  <c r="AK10" i="140"/>
  <c r="AL10" i="140"/>
  <c r="AM10" i="140"/>
  <c r="AJ11" i="140"/>
  <c r="AK11" i="140"/>
  <c r="AL11" i="140"/>
  <c r="AM11" i="140"/>
  <c r="AJ12" i="140"/>
  <c r="AK12" i="140"/>
  <c r="AL12" i="140"/>
  <c r="AM12" i="140"/>
  <c r="AJ13" i="140"/>
  <c r="AK13" i="140"/>
  <c r="AL13" i="140"/>
  <c r="AM13" i="140"/>
  <c r="AJ14" i="140"/>
  <c r="AK14" i="140"/>
  <c r="AL14" i="140"/>
  <c r="AM14" i="140"/>
  <c r="AJ15" i="140"/>
  <c r="AK15" i="140"/>
  <c r="AL15" i="140"/>
  <c r="AM15" i="140"/>
  <c r="AJ16" i="140"/>
  <c r="AK16" i="140"/>
  <c r="AL16" i="140"/>
  <c r="AM16" i="140"/>
  <c r="AJ17" i="140"/>
  <c r="AK17" i="140"/>
  <c r="AL17" i="140"/>
  <c r="AM17" i="140"/>
  <c r="AJ18" i="140"/>
  <c r="AK18" i="140"/>
  <c r="AL18" i="140"/>
  <c r="AM18" i="140"/>
  <c r="AJ19" i="140"/>
  <c r="AK19" i="140"/>
  <c r="AL19" i="140"/>
  <c r="AM19" i="140"/>
  <c r="AJ20" i="140"/>
  <c r="AK20" i="140"/>
  <c r="AL20" i="140"/>
  <c r="AM20" i="140"/>
  <c r="AJ21" i="140"/>
  <c r="AK21" i="140"/>
  <c r="AL21" i="140"/>
  <c r="AM21" i="140"/>
  <c r="AJ22" i="140"/>
  <c r="AK22" i="140"/>
  <c r="AL22" i="140"/>
  <c r="AM22" i="140"/>
  <c r="AJ23" i="140"/>
  <c r="AK23" i="140"/>
  <c r="AL23" i="140"/>
  <c r="AM23" i="140"/>
  <c r="AJ24" i="140"/>
  <c r="AK24" i="140"/>
  <c r="AL24" i="140"/>
  <c r="AM24" i="140"/>
  <c r="AJ25" i="140"/>
  <c r="AK25" i="140"/>
  <c r="AL25" i="140"/>
  <c r="AM25" i="140"/>
  <c r="AJ26" i="140"/>
  <c r="AK26" i="140"/>
  <c r="AL26" i="140"/>
  <c r="AM26" i="140"/>
  <c r="AJ27" i="140"/>
  <c r="AK27" i="140"/>
  <c r="AL27" i="140"/>
  <c r="AM27" i="140"/>
  <c r="AJ28" i="140"/>
  <c r="AK28" i="140"/>
  <c r="AL28" i="140"/>
  <c r="AM28" i="140"/>
  <c r="AJ29" i="140"/>
  <c r="AK29" i="140"/>
  <c r="AL29" i="140"/>
  <c r="AM29" i="140"/>
  <c r="AJ30" i="140"/>
  <c r="AK30" i="140"/>
  <c r="AL30" i="140"/>
  <c r="AM30" i="140"/>
  <c r="AJ31" i="140"/>
  <c r="AK31" i="140"/>
  <c r="AL31" i="140"/>
  <c r="AM31" i="140"/>
  <c r="AJ32" i="140"/>
  <c r="AK32" i="140"/>
  <c r="AL32" i="140"/>
  <c r="AM32" i="140"/>
  <c r="AJ33" i="140"/>
  <c r="AK33" i="140"/>
  <c r="AL33" i="140"/>
  <c r="AM33" i="140"/>
  <c r="AJ34" i="140"/>
  <c r="AK34" i="140"/>
  <c r="AL34" i="140"/>
  <c r="AM34" i="140"/>
  <c r="AJ35" i="140"/>
  <c r="AK35" i="140"/>
  <c r="AL35" i="140"/>
  <c r="AM35" i="140"/>
  <c r="AJ36" i="140"/>
  <c r="AK36" i="140"/>
  <c r="AL36" i="140"/>
  <c r="AM36" i="140"/>
  <c r="AJ37" i="140"/>
  <c r="AK37" i="140"/>
  <c r="AL37" i="140"/>
  <c r="AM37" i="140"/>
  <c r="AJ38" i="140"/>
  <c r="AK38" i="140"/>
  <c r="AL38" i="140"/>
  <c r="AM38" i="140"/>
  <c r="AJ39" i="140"/>
  <c r="AK39" i="140"/>
  <c r="AL39" i="140"/>
  <c r="AM39" i="140"/>
  <c r="AJ40" i="140"/>
  <c r="AK40" i="140"/>
  <c r="AL40" i="140"/>
  <c r="AM40" i="140"/>
  <c r="AJ41" i="140"/>
  <c r="AK41" i="140"/>
  <c r="AL41" i="140"/>
  <c r="AM41" i="140"/>
  <c r="AJ42" i="140"/>
  <c r="AK42" i="140"/>
  <c r="AL42" i="140"/>
  <c r="AM42" i="140"/>
  <c r="AJ43" i="140"/>
  <c r="AK43" i="140"/>
  <c r="AL43" i="140"/>
  <c r="AM43" i="140"/>
  <c r="AJ44" i="140"/>
  <c r="AK44" i="140"/>
  <c r="AL44" i="140"/>
  <c r="AM44" i="140"/>
  <c r="AJ45" i="140"/>
  <c r="AK45" i="140"/>
  <c r="AL45" i="140"/>
  <c r="AM45" i="140"/>
  <c r="AJ46" i="140"/>
  <c r="AK46" i="140"/>
  <c r="AL46" i="140"/>
  <c r="AM46" i="140"/>
  <c r="AJ47" i="140"/>
  <c r="AK47" i="140"/>
  <c r="AL47" i="140"/>
  <c r="AM47" i="140"/>
  <c r="AJ48" i="140"/>
  <c r="AK48" i="140"/>
  <c r="AL48" i="140"/>
  <c r="AM48" i="140"/>
  <c r="AJ49" i="140"/>
  <c r="AK49" i="140"/>
  <c r="AL49" i="140"/>
  <c r="AM49" i="140"/>
  <c r="AJ50" i="140"/>
  <c r="AK50" i="140"/>
  <c r="AL50" i="140"/>
  <c r="AM50" i="140"/>
  <c r="AJ51" i="140"/>
  <c r="AK51" i="140"/>
  <c r="AL51" i="140"/>
  <c r="AM51" i="140"/>
  <c r="AJ52" i="140"/>
  <c r="AK52" i="140"/>
  <c r="AL52" i="140"/>
  <c r="AM52" i="140"/>
  <c r="AJ53" i="140"/>
  <c r="AK53" i="140"/>
  <c r="AL53" i="140"/>
  <c r="AM53" i="140"/>
  <c r="AJ54" i="140"/>
  <c r="AK54" i="140"/>
  <c r="AL54" i="140"/>
  <c r="AM54" i="140"/>
  <c r="AJ55" i="140"/>
  <c r="AK55" i="140"/>
  <c r="AL55" i="140"/>
  <c r="AM55" i="140"/>
  <c r="AJ56" i="140"/>
  <c r="AK56" i="140"/>
  <c r="AL56" i="140"/>
  <c r="AM56" i="140"/>
  <c r="AJ57" i="140"/>
  <c r="AK57" i="140"/>
  <c r="AL57" i="140"/>
  <c r="AM57" i="140"/>
  <c r="AJ58" i="140"/>
  <c r="AK58" i="140"/>
  <c r="AL58" i="140"/>
  <c r="AM58" i="140"/>
  <c r="AJ59" i="140"/>
  <c r="AK59" i="140"/>
  <c r="AL59" i="140"/>
  <c r="AM59" i="140"/>
  <c r="AJ60" i="140"/>
  <c r="AK60" i="140"/>
  <c r="AL60" i="140"/>
  <c r="AM60" i="140"/>
  <c r="AJ61" i="140"/>
  <c r="AK61" i="140"/>
  <c r="AL61" i="140"/>
  <c r="AM61" i="140"/>
  <c r="AJ62" i="140"/>
  <c r="AK62" i="140"/>
  <c r="AL62" i="140"/>
  <c r="AM62" i="140"/>
  <c r="AJ63" i="140"/>
  <c r="AK63" i="140"/>
  <c r="AL63" i="140"/>
  <c r="AM63" i="140"/>
  <c r="AJ64" i="140"/>
  <c r="AK64" i="140"/>
  <c r="AL64" i="140"/>
  <c r="AM64" i="140"/>
  <c r="AJ65" i="140"/>
  <c r="AK65" i="140"/>
  <c r="AL65" i="140"/>
  <c r="AM65" i="140"/>
  <c r="AJ66" i="140"/>
  <c r="AK66" i="140"/>
  <c r="AL66" i="140"/>
  <c r="AM66" i="140"/>
  <c r="AJ67" i="140"/>
  <c r="AK67" i="140"/>
  <c r="AL67" i="140"/>
  <c r="AM67" i="140"/>
  <c r="AJ68" i="140"/>
  <c r="AK68" i="140"/>
  <c r="AL68" i="140"/>
  <c r="AM68" i="140"/>
  <c r="AJ69" i="140"/>
  <c r="AK69" i="140"/>
  <c r="AL69" i="140"/>
  <c r="AM69" i="140"/>
  <c r="AJ70" i="140"/>
  <c r="AK70" i="140"/>
  <c r="AL70" i="140"/>
  <c r="AM70" i="140"/>
  <c r="AJ71" i="140"/>
  <c r="AK71" i="140"/>
  <c r="AL71" i="140"/>
  <c r="AM71" i="140"/>
  <c r="AJ72" i="140"/>
  <c r="AK72" i="140"/>
  <c r="AL72" i="140"/>
  <c r="AM72" i="140"/>
  <c r="AJ73" i="140"/>
  <c r="AK73" i="140"/>
  <c r="AL73" i="140"/>
  <c r="AM73" i="140"/>
  <c r="AJ74" i="140"/>
  <c r="AK74" i="140"/>
  <c r="AL74" i="140"/>
  <c r="AM74" i="140"/>
  <c r="AJ75" i="140"/>
  <c r="AK75" i="140"/>
  <c r="AL75" i="140"/>
  <c r="AM75" i="140"/>
  <c r="AJ76" i="140"/>
  <c r="AK76" i="140"/>
  <c r="AL76" i="140"/>
  <c r="AM76" i="140"/>
  <c r="AJ77" i="140"/>
  <c r="AK77" i="140"/>
  <c r="AL77" i="140"/>
  <c r="AM77" i="140"/>
  <c r="AJ78" i="140"/>
  <c r="AK78" i="140"/>
  <c r="AL78" i="140"/>
  <c r="AM78" i="140"/>
  <c r="AJ79" i="140"/>
  <c r="AK79" i="140"/>
  <c r="AL79" i="140"/>
  <c r="AM79" i="140"/>
  <c r="AJ80" i="140"/>
  <c r="AK80" i="140"/>
  <c r="AL80" i="140"/>
  <c r="AM80" i="140"/>
  <c r="AJ81" i="140"/>
  <c r="AK81" i="140"/>
  <c r="AL81" i="140"/>
  <c r="AM81" i="140"/>
  <c r="AJ82" i="140"/>
  <c r="AK82" i="140"/>
  <c r="AL82" i="140"/>
  <c r="AM82" i="140"/>
  <c r="AJ83" i="140"/>
  <c r="AK83" i="140"/>
  <c r="AL83" i="140"/>
  <c r="AM83" i="140"/>
  <c r="AJ84" i="140"/>
  <c r="AK84" i="140"/>
  <c r="AL84" i="140"/>
  <c r="AM84" i="140"/>
  <c r="AJ85" i="140"/>
  <c r="AK85" i="140"/>
  <c r="AL85" i="140"/>
  <c r="AM85" i="140"/>
  <c r="AJ86" i="140"/>
  <c r="AK86" i="140"/>
  <c r="AL86" i="140"/>
  <c r="AM86" i="140"/>
  <c r="AJ87" i="140"/>
  <c r="AK87" i="140"/>
  <c r="AL87" i="140"/>
  <c r="AM87" i="140"/>
  <c r="AJ88" i="140"/>
  <c r="AK88" i="140"/>
  <c r="AL88" i="140"/>
  <c r="AM88" i="140"/>
  <c r="AJ89" i="140"/>
  <c r="AK89" i="140"/>
  <c r="AL89" i="140"/>
  <c r="AM89" i="140"/>
  <c r="AJ90" i="140"/>
  <c r="AK90" i="140"/>
  <c r="AL90" i="140"/>
  <c r="AM90" i="140"/>
  <c r="AJ91" i="140"/>
  <c r="AK91" i="140"/>
  <c r="AL91" i="140"/>
  <c r="AM91" i="140"/>
  <c r="AJ92" i="140"/>
  <c r="AK92" i="140"/>
  <c r="AL92" i="140"/>
  <c r="AM92" i="140"/>
  <c r="AJ93" i="140"/>
  <c r="AK93" i="140"/>
  <c r="AL93" i="140"/>
  <c r="AM93" i="140"/>
  <c r="AJ94" i="140"/>
  <c r="AK94" i="140"/>
  <c r="AL94" i="140"/>
  <c r="AM94" i="140"/>
  <c r="AJ95" i="140"/>
  <c r="AK95" i="140"/>
  <c r="AL95" i="140"/>
  <c r="AM95" i="140"/>
  <c r="AJ96" i="140"/>
  <c r="AK96" i="140"/>
  <c r="AL96" i="140"/>
  <c r="AM96" i="140"/>
  <c r="AJ97" i="140"/>
  <c r="AK97" i="140"/>
  <c r="AL97" i="140"/>
  <c r="AM97" i="140"/>
  <c r="AJ98" i="140"/>
  <c r="AK98" i="140"/>
  <c r="AL98" i="140"/>
  <c r="AM98" i="140"/>
  <c r="AJ99" i="140"/>
  <c r="AK99" i="140"/>
  <c r="AL99" i="140"/>
  <c r="AM99" i="140"/>
  <c r="AJ100" i="140"/>
  <c r="AK100" i="140"/>
  <c r="AL100" i="140"/>
  <c r="AM100" i="140"/>
  <c r="AJ101" i="140"/>
  <c r="AK101" i="140"/>
  <c r="AL101" i="140"/>
  <c r="AM101" i="140"/>
  <c r="AJ102" i="140"/>
  <c r="AK102" i="140"/>
  <c r="AL102" i="140"/>
  <c r="AM102" i="140"/>
  <c r="AJ103" i="140"/>
  <c r="AK103" i="140"/>
  <c r="AL103" i="140"/>
  <c r="AM103" i="140"/>
  <c r="AJ104" i="140"/>
  <c r="AK104" i="140"/>
  <c r="AL104" i="140"/>
  <c r="AM104" i="140"/>
  <c r="AJ105" i="140"/>
  <c r="AK105" i="140"/>
  <c r="AL105" i="140"/>
  <c r="AM105" i="140"/>
  <c r="AJ106" i="140"/>
  <c r="AK106" i="140"/>
  <c r="AL106" i="140"/>
  <c r="AM106" i="140"/>
  <c r="AJ107" i="140"/>
  <c r="AK107" i="140"/>
  <c r="AL107" i="140"/>
  <c r="AM107" i="140"/>
  <c r="AJ108" i="140"/>
  <c r="AK108" i="140"/>
  <c r="AL108" i="140"/>
  <c r="AM108" i="140"/>
  <c r="AJ109" i="140"/>
  <c r="AK109" i="140"/>
  <c r="AL109" i="140"/>
  <c r="AM109" i="140"/>
  <c r="AJ110" i="140"/>
  <c r="AK110" i="140"/>
  <c r="AL110" i="140"/>
  <c r="AM110" i="140"/>
  <c r="AJ111" i="140"/>
  <c r="AK111" i="140"/>
  <c r="AL111" i="140"/>
  <c r="AM111" i="140"/>
  <c r="AJ112" i="140"/>
  <c r="AK112" i="140"/>
  <c r="AL112" i="140"/>
  <c r="AM112" i="140"/>
  <c r="AJ113" i="140"/>
  <c r="AK113" i="140"/>
  <c r="AL113" i="140"/>
  <c r="AM113" i="140"/>
  <c r="AJ114" i="140"/>
  <c r="AK114" i="140"/>
  <c r="AL114" i="140"/>
  <c r="AM114" i="140"/>
  <c r="AJ115" i="140"/>
  <c r="AK115" i="140"/>
  <c r="AL115" i="140"/>
  <c r="AM115" i="140"/>
  <c r="AJ116" i="140"/>
  <c r="AK116" i="140"/>
  <c r="AL116" i="140"/>
  <c r="AM116" i="140"/>
  <c r="AJ117" i="140"/>
  <c r="AK117" i="140"/>
  <c r="AL117" i="140"/>
  <c r="AM117" i="140"/>
  <c r="AJ118" i="140"/>
  <c r="AK118" i="140"/>
  <c r="AL118" i="140"/>
  <c r="AM118" i="140"/>
  <c r="AJ119" i="140"/>
  <c r="AK119" i="140"/>
  <c r="AL119" i="140"/>
  <c r="AM119" i="140"/>
  <c r="AJ120" i="140"/>
  <c r="AK120" i="140"/>
  <c r="AL120" i="140"/>
  <c r="AM120" i="140"/>
  <c r="AJ121" i="140"/>
  <c r="AK121" i="140"/>
  <c r="AL121" i="140"/>
  <c r="AM121" i="140"/>
  <c r="AJ122" i="140"/>
  <c r="AK122" i="140"/>
  <c r="AL122" i="140"/>
  <c r="AM122" i="140"/>
  <c r="AJ123" i="140"/>
  <c r="AK123" i="140"/>
  <c r="AL123" i="140"/>
  <c r="AM123" i="140"/>
  <c r="AJ124" i="140"/>
  <c r="AK124" i="140"/>
  <c r="AL124" i="140"/>
  <c r="AM124" i="140"/>
  <c r="AJ125" i="140"/>
  <c r="AK125" i="140"/>
  <c r="AL125" i="140"/>
  <c r="AM125" i="140"/>
  <c r="AJ126" i="140"/>
  <c r="AK126" i="140"/>
  <c r="AL126" i="140"/>
  <c r="AM126" i="140"/>
  <c r="AJ127" i="140"/>
  <c r="AK127" i="140"/>
  <c r="AL127" i="140"/>
  <c r="AM127" i="140"/>
  <c r="AJ128" i="140"/>
  <c r="AK128" i="140"/>
  <c r="AL128" i="140"/>
  <c r="AM128" i="140"/>
  <c r="AJ129" i="140"/>
  <c r="AK129" i="140"/>
  <c r="AL129" i="140"/>
  <c r="AM129" i="140"/>
  <c r="AJ130" i="140"/>
  <c r="AK130" i="140"/>
  <c r="AL130" i="140"/>
  <c r="AM130" i="140"/>
  <c r="AJ131" i="140"/>
  <c r="AK131" i="140"/>
  <c r="AL131" i="140"/>
  <c r="AM131" i="140"/>
  <c r="AJ132" i="140"/>
  <c r="AK132" i="140"/>
  <c r="AL132" i="140"/>
  <c r="AM132" i="140"/>
  <c r="AJ133" i="140"/>
  <c r="AK133" i="140"/>
  <c r="AL133" i="140"/>
  <c r="AM133" i="140"/>
  <c r="AJ134" i="140"/>
  <c r="I215" i="39" s="1"/>
  <c r="AK134" i="140"/>
  <c r="AL134" i="140"/>
  <c r="AM134" i="140"/>
  <c r="AJ135" i="140"/>
  <c r="AK135" i="140"/>
  <c r="AL135" i="140"/>
  <c r="AM135" i="140"/>
  <c r="AJ136" i="140"/>
  <c r="AK136" i="140"/>
  <c r="AL136" i="140"/>
  <c r="AM136" i="140"/>
  <c r="AJ137" i="140"/>
  <c r="AK137" i="140"/>
  <c r="AL137" i="140"/>
  <c r="AM137" i="140"/>
  <c r="AJ138" i="140"/>
  <c r="AK138" i="140"/>
  <c r="AL138" i="140"/>
  <c r="AM138" i="140"/>
  <c r="AJ139" i="140"/>
  <c r="AK139" i="140"/>
  <c r="AL139" i="140"/>
  <c r="AM139" i="140"/>
  <c r="AJ140" i="140"/>
  <c r="AK140" i="140"/>
  <c r="AL140" i="140"/>
  <c r="AM140" i="140"/>
  <c r="AJ141" i="140"/>
  <c r="AK141" i="140"/>
  <c r="AL141" i="140"/>
  <c r="AM141" i="140"/>
  <c r="AJ142" i="140"/>
  <c r="AK142" i="140"/>
  <c r="AL142" i="140"/>
  <c r="AM142" i="140"/>
  <c r="AJ143" i="140"/>
  <c r="AK143" i="140"/>
  <c r="AL143" i="140"/>
  <c r="AM143" i="140"/>
  <c r="AJ144" i="140"/>
  <c r="AK144" i="140"/>
  <c r="AL144" i="140"/>
  <c r="AM144" i="140"/>
  <c r="AJ145" i="140"/>
  <c r="AK145" i="140"/>
  <c r="AL145" i="140"/>
  <c r="AM145" i="140"/>
  <c r="AJ146" i="140"/>
  <c r="AK146" i="140"/>
  <c r="AL146" i="140"/>
  <c r="AM146" i="140"/>
  <c r="AJ147" i="140"/>
  <c r="AK147" i="140"/>
  <c r="AL147" i="140"/>
  <c r="AM147" i="140"/>
  <c r="AJ148" i="140"/>
  <c r="AK148" i="140"/>
  <c r="AL148" i="140"/>
  <c r="AM148" i="140"/>
  <c r="AJ149" i="140"/>
  <c r="AK149" i="140"/>
  <c r="AL149" i="140"/>
  <c r="AM149" i="140"/>
  <c r="AJ150" i="140"/>
  <c r="AK150" i="140"/>
  <c r="AL150" i="140"/>
  <c r="AM150" i="140"/>
  <c r="AJ151" i="140"/>
  <c r="AK151" i="140"/>
  <c r="AL151" i="140"/>
  <c r="AM151" i="140"/>
  <c r="AJ152" i="140"/>
  <c r="AK152" i="140"/>
  <c r="AL152" i="140"/>
  <c r="AM152" i="140"/>
  <c r="AK3" i="140"/>
  <c r="AL3" i="140"/>
  <c r="AM3" i="140"/>
  <c r="AJ3" i="140"/>
  <c r="AC3" i="140"/>
  <c r="AC4" i="140"/>
  <c r="AC5" i="140"/>
  <c r="X12" i="4" s="1"/>
  <c r="AC6" i="140"/>
  <c r="AC7" i="140"/>
  <c r="X14" i="4" s="1"/>
  <c r="AC8" i="140"/>
  <c r="AC9" i="140"/>
  <c r="AC10" i="140"/>
  <c r="X18" i="4" s="1"/>
  <c r="AC11" i="140"/>
  <c r="X19" i="4" s="1"/>
  <c r="AC12" i="140"/>
  <c r="AC13" i="140"/>
  <c r="AC14" i="140"/>
  <c r="AC15" i="140"/>
  <c r="AC16" i="140"/>
  <c r="AC17" i="140"/>
  <c r="X27" i="4" s="1"/>
  <c r="AC18" i="140"/>
  <c r="X28" i="4" s="1"/>
  <c r="AC19" i="140"/>
  <c r="X29" i="4" s="1"/>
  <c r="AC20" i="140"/>
  <c r="AC21" i="140"/>
  <c r="AC22" i="140"/>
  <c r="AC23" i="140"/>
  <c r="X34" i="4" s="1"/>
  <c r="AC24" i="140"/>
  <c r="AC25" i="140"/>
  <c r="AC26" i="140"/>
  <c r="X40" i="4" s="1"/>
  <c r="AC27" i="140"/>
  <c r="X42" i="4" s="1"/>
  <c r="AC28" i="140"/>
  <c r="AC29" i="140"/>
  <c r="X44" i="4" s="1"/>
  <c r="AC30" i="140"/>
  <c r="AC31" i="140"/>
  <c r="X46" i="4" s="1"/>
  <c r="AC32" i="140"/>
  <c r="AC33" i="140"/>
  <c r="AC34" i="140"/>
  <c r="X50" i="4" s="1"/>
  <c r="AC35" i="140"/>
  <c r="X51" i="4" s="1"/>
  <c r="AC36" i="140"/>
  <c r="AC37" i="140"/>
  <c r="AC38" i="140"/>
  <c r="AC39" i="140"/>
  <c r="X57" i="4" s="1"/>
  <c r="AC40" i="140"/>
  <c r="AC41" i="140"/>
  <c r="AC42" i="140"/>
  <c r="AC43" i="140"/>
  <c r="AC44" i="140"/>
  <c r="AC45" i="140"/>
  <c r="AC46" i="140"/>
  <c r="AC47" i="140"/>
  <c r="X66" i="4" s="1"/>
  <c r="AC48" i="140"/>
  <c r="AC49" i="140"/>
  <c r="AC50" i="140"/>
  <c r="AC51" i="140"/>
  <c r="X73" i="4" s="1"/>
  <c r="AC52" i="140"/>
  <c r="AC53" i="140"/>
  <c r="X75" i="4" s="1"/>
  <c r="AC54" i="140"/>
  <c r="AC55" i="140"/>
  <c r="X77" i="4" s="1"/>
  <c r="AC56" i="140"/>
  <c r="AC57" i="140"/>
  <c r="AC58" i="140"/>
  <c r="AC59" i="140"/>
  <c r="AC60" i="140"/>
  <c r="AC61" i="140"/>
  <c r="AC62" i="140"/>
  <c r="AC63" i="140"/>
  <c r="X97" i="4" s="1"/>
  <c r="AC64" i="140"/>
  <c r="AC65" i="140"/>
  <c r="X99" i="4" s="1"/>
  <c r="AC66" i="140"/>
  <c r="X103" i="4" s="1"/>
  <c r="AC67" i="140"/>
  <c r="X104" i="4" s="1"/>
  <c r="AC68" i="140"/>
  <c r="AC69" i="140"/>
  <c r="AC70" i="140"/>
  <c r="AC71" i="140"/>
  <c r="X112" i="4" s="1"/>
  <c r="AC72" i="140"/>
  <c r="AC73" i="140"/>
  <c r="X114" i="4" s="1"/>
  <c r="AC74" i="140"/>
  <c r="AC75" i="140"/>
  <c r="X118" i="4" s="1"/>
  <c r="AC76" i="140"/>
  <c r="AC77" i="140"/>
  <c r="X121" i="4" s="1"/>
  <c r="AC78" i="140"/>
  <c r="AC79" i="140"/>
  <c r="X124" i="4" s="1"/>
  <c r="AC80" i="140"/>
  <c r="AC81" i="140"/>
  <c r="AC82" i="140"/>
  <c r="AC83" i="140"/>
  <c r="AC84" i="140"/>
  <c r="AC85" i="140"/>
  <c r="X131" i="4" s="1"/>
  <c r="AC86" i="140"/>
  <c r="AC87" i="140"/>
  <c r="X133" i="4" s="1"/>
  <c r="AC88" i="140"/>
  <c r="AC89" i="140"/>
  <c r="AC90" i="140"/>
  <c r="AC91" i="140"/>
  <c r="X140" i="4" s="1"/>
  <c r="AC92" i="140"/>
  <c r="AC93" i="140"/>
  <c r="AC94" i="140"/>
  <c r="AC95" i="140"/>
  <c r="X145" i="4" s="1"/>
  <c r="AC96" i="140"/>
  <c r="AC97" i="140"/>
  <c r="X156" i="4" s="1"/>
  <c r="AC98" i="140"/>
  <c r="AC99" i="140"/>
  <c r="X186" i="4" s="1"/>
  <c r="AC100" i="140"/>
  <c r="AC101" i="140"/>
  <c r="AC102" i="140"/>
  <c r="G54" i="4"/>
  <c r="T4" i="143"/>
  <c r="U4" i="143"/>
  <c r="V4" i="143"/>
  <c r="T5" i="143"/>
  <c r="U5" i="143"/>
  <c r="V5" i="143"/>
  <c r="T6" i="143"/>
  <c r="U6" i="143"/>
  <c r="V6" i="143"/>
  <c r="U3" i="143"/>
  <c r="V3" i="143"/>
  <c r="T3" i="143"/>
  <c r="J23" i="37"/>
  <c r="K23" i="37" s="1"/>
  <c r="N13" i="37"/>
  <c r="O13" i="37" s="1"/>
  <c r="U41" i="37"/>
  <c r="U35" i="37"/>
  <c r="U33" i="37"/>
  <c r="U30" i="37"/>
  <c r="Q3" i="142"/>
  <c r="Z4" i="142"/>
  <c r="AA4" i="142"/>
  <c r="AB4" i="142"/>
  <c r="Z5" i="142"/>
  <c r="AA5" i="142"/>
  <c r="AB5" i="142"/>
  <c r="Z6" i="142"/>
  <c r="AA6" i="142"/>
  <c r="AB6" i="142"/>
  <c r="Z7" i="142"/>
  <c r="AA7" i="142"/>
  <c r="AB7" i="142"/>
  <c r="Z8" i="142"/>
  <c r="AA8" i="142"/>
  <c r="AB8" i="142"/>
  <c r="Z9" i="142"/>
  <c r="AA9" i="142"/>
  <c r="AB9" i="142"/>
  <c r="Z10" i="142"/>
  <c r="AA10" i="142"/>
  <c r="AB10" i="142"/>
  <c r="Z11" i="142"/>
  <c r="AA11" i="142"/>
  <c r="AB11" i="142"/>
  <c r="Z12" i="142"/>
  <c r="AA12" i="142"/>
  <c r="AB12" i="142"/>
  <c r="Z13" i="142"/>
  <c r="AA13" i="142"/>
  <c r="AB13" i="142"/>
  <c r="Z14" i="142"/>
  <c r="AA14" i="142"/>
  <c r="AB14" i="142"/>
  <c r="Z15" i="142"/>
  <c r="AA15" i="142"/>
  <c r="AB15" i="142"/>
  <c r="Z16" i="142"/>
  <c r="AA16" i="142"/>
  <c r="AB16" i="142"/>
  <c r="Z17" i="142"/>
  <c r="AA17" i="142"/>
  <c r="AB17" i="142"/>
  <c r="Z18" i="142"/>
  <c r="AA18" i="142"/>
  <c r="AB18" i="142"/>
  <c r="Z19" i="142"/>
  <c r="AA19" i="142"/>
  <c r="AB19" i="142"/>
  <c r="Z20" i="142"/>
  <c r="AA20" i="142"/>
  <c r="AB20" i="142"/>
  <c r="Z21" i="142"/>
  <c r="AA21" i="142"/>
  <c r="AB21" i="142"/>
  <c r="Z22" i="142"/>
  <c r="AA22" i="142"/>
  <c r="AB22" i="142"/>
  <c r="Z23" i="142"/>
  <c r="AA23" i="142"/>
  <c r="AB23" i="142"/>
  <c r="Z24" i="142"/>
  <c r="AA24" i="142"/>
  <c r="AB24" i="142"/>
  <c r="Z25" i="142"/>
  <c r="AA25" i="142"/>
  <c r="AB25" i="142"/>
  <c r="Z26" i="142"/>
  <c r="AA26" i="142"/>
  <c r="AB26" i="142"/>
  <c r="Z27" i="142"/>
  <c r="AA27" i="142"/>
  <c r="AB27" i="142"/>
  <c r="Z28" i="142"/>
  <c r="AA28" i="142"/>
  <c r="AB28" i="142"/>
  <c r="Z29" i="142"/>
  <c r="AA29" i="142"/>
  <c r="AB29" i="142"/>
  <c r="Z30" i="142"/>
  <c r="AA30" i="142"/>
  <c r="AB30" i="142"/>
  <c r="Z31" i="142"/>
  <c r="AA31" i="142"/>
  <c r="AB31" i="142"/>
  <c r="Z32" i="142"/>
  <c r="AA32" i="142"/>
  <c r="AB32" i="142"/>
  <c r="Z33" i="142"/>
  <c r="AA33" i="142"/>
  <c r="AB33" i="142"/>
  <c r="Z34" i="142"/>
  <c r="AA34" i="142"/>
  <c r="AB34" i="142"/>
  <c r="Z35" i="142"/>
  <c r="AA35" i="142"/>
  <c r="AB35" i="142"/>
  <c r="Z36" i="142"/>
  <c r="AA36" i="142"/>
  <c r="AB36" i="142"/>
  <c r="Z37" i="142"/>
  <c r="AA37" i="142"/>
  <c r="AB37" i="142"/>
  <c r="Z38" i="142"/>
  <c r="AA38" i="142"/>
  <c r="AB38" i="142"/>
  <c r="Z39" i="142"/>
  <c r="AA39" i="142"/>
  <c r="AB39" i="142"/>
  <c r="Z40" i="142"/>
  <c r="AA40" i="142"/>
  <c r="AB40" i="142"/>
  <c r="Z41" i="142"/>
  <c r="AA41" i="142"/>
  <c r="AB41" i="142"/>
  <c r="Z42" i="142"/>
  <c r="AA42" i="142"/>
  <c r="AB42" i="142"/>
  <c r="Z43" i="142"/>
  <c r="AA43" i="142"/>
  <c r="AB43" i="142"/>
  <c r="Z44" i="142"/>
  <c r="AA44" i="142"/>
  <c r="AB44" i="142"/>
  <c r="Z45" i="142"/>
  <c r="AA45" i="142"/>
  <c r="AB45" i="142"/>
  <c r="Z46" i="142"/>
  <c r="AA46" i="142"/>
  <c r="AB46" i="142"/>
  <c r="Z47" i="142"/>
  <c r="AA47" i="142"/>
  <c r="AB47" i="142"/>
  <c r="Z48" i="142"/>
  <c r="AA48" i="142"/>
  <c r="AB48" i="142"/>
  <c r="Z49" i="142"/>
  <c r="AA49" i="142"/>
  <c r="AB49" i="142"/>
  <c r="Z50" i="142"/>
  <c r="AA50" i="142"/>
  <c r="AB50" i="142"/>
  <c r="Z51" i="142"/>
  <c r="AA51" i="142"/>
  <c r="AB51" i="142"/>
  <c r="Z52" i="142"/>
  <c r="AA52" i="142"/>
  <c r="AB52" i="142"/>
  <c r="Z53" i="142"/>
  <c r="AA53" i="142"/>
  <c r="AB53" i="142"/>
  <c r="AA3" i="142"/>
  <c r="AB3" i="142"/>
  <c r="Z3" i="142"/>
  <c r="Q4" i="142"/>
  <c r="Q5" i="142"/>
  <c r="U20" i="37" s="1"/>
  <c r="Q6" i="142"/>
  <c r="U21" i="37" s="1"/>
  <c r="Q7" i="142"/>
  <c r="Q8" i="142"/>
  <c r="U47" i="37" s="1"/>
  <c r="U45" i="37" s="1"/>
  <c r="Q9" i="142"/>
  <c r="U53" i="37" s="1"/>
  <c r="U50" i="37" s="1"/>
  <c r="Q10" i="142"/>
  <c r="U57" i="37" s="1"/>
  <c r="Q24" i="37"/>
  <c r="P24" i="37"/>
  <c r="N25" i="35"/>
  <c r="O25" i="35" s="1"/>
  <c r="U47" i="35"/>
  <c r="U46" i="35" s="1"/>
  <c r="U35" i="35"/>
  <c r="U33" i="35"/>
  <c r="U27" i="35"/>
  <c r="U11" i="35"/>
  <c r="V14" i="35"/>
  <c r="V13" i="35" s="1"/>
  <c r="AB3" i="141"/>
  <c r="AA4" i="141"/>
  <c r="AB4" i="141"/>
  <c r="AC4" i="141"/>
  <c r="AA5" i="141"/>
  <c r="AB5" i="141"/>
  <c r="AC5" i="141"/>
  <c r="AA6" i="141"/>
  <c r="AB6" i="141"/>
  <c r="AC6" i="141"/>
  <c r="AA7" i="141"/>
  <c r="N19" i="35" s="1"/>
  <c r="O19" i="35" s="1"/>
  <c r="AB7" i="141"/>
  <c r="AC7" i="141"/>
  <c r="AA8" i="141"/>
  <c r="AB8" i="141"/>
  <c r="AC8" i="141"/>
  <c r="AA9" i="141"/>
  <c r="AB9" i="141"/>
  <c r="AC9" i="141"/>
  <c r="AA10" i="141"/>
  <c r="AB10" i="141"/>
  <c r="AC10" i="141"/>
  <c r="AA11" i="141"/>
  <c r="AB11" i="141"/>
  <c r="AC11" i="141"/>
  <c r="AA12" i="141"/>
  <c r="AB12" i="141"/>
  <c r="AC12" i="141"/>
  <c r="AA13" i="141"/>
  <c r="AB13" i="141"/>
  <c r="AC13" i="141"/>
  <c r="AA14" i="141"/>
  <c r="AB14" i="141"/>
  <c r="AC14" i="141"/>
  <c r="AA15" i="141"/>
  <c r="AB15" i="141"/>
  <c r="AC15" i="141"/>
  <c r="AA16" i="141"/>
  <c r="AB16" i="141"/>
  <c r="AC16" i="141"/>
  <c r="AA17" i="141"/>
  <c r="AB17" i="141"/>
  <c r="AC17" i="141"/>
  <c r="AA18" i="141"/>
  <c r="AB18" i="141"/>
  <c r="AC18" i="141"/>
  <c r="AA19" i="141"/>
  <c r="AB19" i="141"/>
  <c r="AC19" i="141"/>
  <c r="AA20" i="141"/>
  <c r="AB20" i="141"/>
  <c r="AC20" i="141"/>
  <c r="AA21" i="141"/>
  <c r="AB21" i="141"/>
  <c r="AC21" i="141"/>
  <c r="AA22" i="141"/>
  <c r="AB22" i="141"/>
  <c r="AC22" i="141"/>
  <c r="AA23" i="141"/>
  <c r="AB23" i="141"/>
  <c r="AC23" i="141"/>
  <c r="AA24" i="141"/>
  <c r="AB24" i="141"/>
  <c r="AC24" i="141"/>
  <c r="AA25" i="141"/>
  <c r="AB25" i="141"/>
  <c r="AC25" i="141"/>
  <c r="AA26" i="141"/>
  <c r="AB26" i="141"/>
  <c r="AC26" i="141"/>
  <c r="AA27" i="141"/>
  <c r="AB27" i="141"/>
  <c r="AC27" i="141"/>
  <c r="AA28" i="141"/>
  <c r="AB28" i="141"/>
  <c r="AC28" i="141"/>
  <c r="AA29" i="141"/>
  <c r="AB29" i="141"/>
  <c r="AC29" i="141"/>
  <c r="AA30" i="141"/>
  <c r="AB30" i="141"/>
  <c r="AC30" i="141"/>
  <c r="AA31" i="141"/>
  <c r="AB31" i="141"/>
  <c r="AC31" i="141"/>
  <c r="AA32" i="141"/>
  <c r="AB32" i="141"/>
  <c r="AC32" i="141"/>
  <c r="AA33" i="141"/>
  <c r="AB33" i="141"/>
  <c r="AC33" i="141"/>
  <c r="AA34" i="141"/>
  <c r="AB34" i="141"/>
  <c r="AC34" i="141"/>
  <c r="AA35" i="141"/>
  <c r="AB35" i="141"/>
  <c r="AC35" i="141"/>
  <c r="AA36" i="141"/>
  <c r="AB36" i="141"/>
  <c r="AC36" i="141"/>
  <c r="AA37" i="141"/>
  <c r="AB37" i="141"/>
  <c r="AC37" i="141"/>
  <c r="AA38" i="141"/>
  <c r="AB38" i="141"/>
  <c r="AC38" i="141"/>
  <c r="AA39" i="141"/>
  <c r="AB39" i="141"/>
  <c r="AC39" i="141"/>
  <c r="AA40" i="141"/>
  <c r="AB40" i="141"/>
  <c r="AC40" i="141"/>
  <c r="AA41" i="141"/>
  <c r="AB41" i="141"/>
  <c r="AC41" i="141"/>
  <c r="AA42" i="141"/>
  <c r="AB42" i="141"/>
  <c r="AC42" i="141"/>
  <c r="AA43" i="141"/>
  <c r="AB43" i="141"/>
  <c r="AC43" i="141"/>
  <c r="AA44" i="141"/>
  <c r="AB44" i="141"/>
  <c r="AC44" i="141"/>
  <c r="AA45" i="141"/>
  <c r="AB45" i="141"/>
  <c r="AC45" i="141"/>
  <c r="AA46" i="141"/>
  <c r="AB46" i="141"/>
  <c r="AC46" i="141"/>
  <c r="AA47" i="141"/>
  <c r="AB47" i="141"/>
  <c r="AC47" i="141"/>
  <c r="AC3" i="141"/>
  <c r="AA3" i="141"/>
  <c r="R4" i="141"/>
  <c r="U16" i="35" s="1"/>
  <c r="R5" i="141"/>
  <c r="U26" i="35" s="1"/>
  <c r="R6" i="141"/>
  <c r="U22" i="35" s="1"/>
  <c r="J22" i="35" s="1"/>
  <c r="K22" i="35" s="1"/>
  <c r="R7" i="141"/>
  <c r="U40" i="35" s="1"/>
  <c r="U37" i="35" s="1"/>
  <c r="R8" i="141"/>
  <c r="U45" i="35" s="1"/>
  <c r="R9" i="141"/>
  <c r="U57" i="35" s="1"/>
  <c r="U55" i="35" s="1"/>
  <c r="U54" i="35" s="1"/>
  <c r="U53" i="35" s="1"/>
  <c r="R3" i="141"/>
  <c r="U18" i="35" s="1"/>
  <c r="F82" i="39"/>
  <c r="F81" i="39"/>
  <c r="F83" i="39"/>
  <c r="H81" i="39"/>
  <c r="H82" i="39"/>
  <c r="U4" i="140"/>
  <c r="V4" i="140"/>
  <c r="W4" i="140"/>
  <c r="X4" i="140"/>
  <c r="U5" i="140"/>
  <c r="V5" i="140"/>
  <c r="W5" i="140"/>
  <c r="X5" i="140"/>
  <c r="U6" i="140"/>
  <c r="V6" i="140"/>
  <c r="W6" i="140"/>
  <c r="X6" i="140"/>
  <c r="U7" i="140"/>
  <c r="V7" i="140"/>
  <c r="W7" i="140"/>
  <c r="X7" i="140"/>
  <c r="U8" i="140"/>
  <c r="V8" i="140"/>
  <c r="W8" i="140"/>
  <c r="X8" i="140"/>
  <c r="U9" i="140"/>
  <c r="V9" i="140"/>
  <c r="W9" i="140"/>
  <c r="X9" i="140"/>
  <c r="U10" i="140"/>
  <c r="V10" i="140"/>
  <c r="W10" i="140"/>
  <c r="X10" i="140"/>
  <c r="U11" i="140"/>
  <c r="V11" i="140"/>
  <c r="W11" i="140"/>
  <c r="X11" i="140"/>
  <c r="U12" i="140"/>
  <c r="V12" i="140"/>
  <c r="W12" i="140"/>
  <c r="X12" i="140"/>
  <c r="U13" i="140"/>
  <c r="V13" i="140"/>
  <c r="W13" i="140"/>
  <c r="X13" i="140"/>
  <c r="U14" i="140"/>
  <c r="V14" i="140"/>
  <c r="W14" i="140"/>
  <c r="X14" i="140"/>
  <c r="U15" i="140"/>
  <c r="V15" i="140"/>
  <c r="W15" i="140"/>
  <c r="X15" i="140"/>
  <c r="U16" i="140"/>
  <c r="V16" i="140"/>
  <c r="W16" i="140"/>
  <c r="X16" i="140"/>
  <c r="U17" i="140"/>
  <c r="V17" i="140"/>
  <c r="W17" i="140"/>
  <c r="X17" i="140"/>
  <c r="U18" i="140"/>
  <c r="V18" i="140"/>
  <c r="W18" i="140"/>
  <c r="X18" i="140"/>
  <c r="U19" i="140"/>
  <c r="V19" i="140"/>
  <c r="W19" i="140"/>
  <c r="X19" i="140"/>
  <c r="U20" i="140"/>
  <c r="V20" i="140"/>
  <c r="W20" i="140"/>
  <c r="X20" i="140"/>
  <c r="U21" i="140"/>
  <c r="V21" i="140"/>
  <c r="W21" i="140"/>
  <c r="X21" i="140"/>
  <c r="U22" i="140"/>
  <c r="V22" i="140"/>
  <c r="W22" i="140"/>
  <c r="X22" i="140"/>
  <c r="U23" i="140"/>
  <c r="V23" i="140"/>
  <c r="W23" i="140"/>
  <c r="X23" i="140"/>
  <c r="U24" i="140"/>
  <c r="V24" i="140"/>
  <c r="W24" i="140"/>
  <c r="X24" i="140"/>
  <c r="U25" i="140"/>
  <c r="V25" i="140"/>
  <c r="W25" i="140"/>
  <c r="X25" i="140"/>
  <c r="U26" i="140"/>
  <c r="V26" i="140"/>
  <c r="W26" i="140"/>
  <c r="X26" i="140"/>
  <c r="U27" i="140"/>
  <c r="V27" i="140"/>
  <c r="W27" i="140"/>
  <c r="X27" i="140"/>
  <c r="U28" i="140"/>
  <c r="V28" i="140"/>
  <c r="W28" i="140"/>
  <c r="X28" i="140"/>
  <c r="U29" i="140"/>
  <c r="V29" i="140"/>
  <c r="W29" i="140"/>
  <c r="X29" i="140"/>
  <c r="U30" i="140"/>
  <c r="V30" i="140"/>
  <c r="W30" i="140"/>
  <c r="X30" i="140"/>
  <c r="U31" i="140"/>
  <c r="V31" i="140"/>
  <c r="W31" i="140"/>
  <c r="X31" i="140"/>
  <c r="U32" i="140"/>
  <c r="V32" i="140"/>
  <c r="W32" i="140"/>
  <c r="X32" i="140"/>
  <c r="U33" i="140"/>
  <c r="V33" i="140"/>
  <c r="W33" i="140"/>
  <c r="X33" i="140"/>
  <c r="U34" i="140"/>
  <c r="V34" i="140"/>
  <c r="W34" i="140"/>
  <c r="X34" i="140"/>
  <c r="U35" i="140"/>
  <c r="V35" i="140"/>
  <c r="W35" i="140"/>
  <c r="X35" i="140"/>
  <c r="U36" i="140"/>
  <c r="V36" i="140"/>
  <c r="W36" i="140"/>
  <c r="X36" i="140"/>
  <c r="U37" i="140"/>
  <c r="V37" i="140"/>
  <c r="W37" i="140"/>
  <c r="X37" i="140"/>
  <c r="U38" i="140"/>
  <c r="V38" i="140"/>
  <c r="W38" i="140"/>
  <c r="X38" i="140"/>
  <c r="U39" i="140"/>
  <c r="V39" i="140"/>
  <c r="W39" i="140"/>
  <c r="X39" i="140"/>
  <c r="U40" i="140"/>
  <c r="V40" i="140"/>
  <c r="W40" i="140"/>
  <c r="X40" i="140"/>
  <c r="U41" i="140"/>
  <c r="V41" i="140"/>
  <c r="W41" i="140"/>
  <c r="X41" i="140"/>
  <c r="U42" i="140"/>
  <c r="V42" i="140"/>
  <c r="W42" i="140"/>
  <c r="X42" i="140"/>
  <c r="U43" i="140"/>
  <c r="V43" i="140"/>
  <c r="W43" i="140"/>
  <c r="X43" i="140"/>
  <c r="U44" i="140"/>
  <c r="V44" i="140"/>
  <c r="W44" i="140"/>
  <c r="X44" i="140"/>
  <c r="U45" i="140"/>
  <c r="V45" i="140"/>
  <c r="W45" i="140"/>
  <c r="X45" i="140"/>
  <c r="U46" i="140"/>
  <c r="V46" i="140"/>
  <c r="W46" i="140"/>
  <c r="X46" i="140"/>
  <c r="U47" i="140"/>
  <c r="V47" i="140"/>
  <c r="W47" i="140"/>
  <c r="X47" i="140"/>
  <c r="U48" i="140"/>
  <c r="V48" i="140"/>
  <c r="W48" i="140"/>
  <c r="X48" i="140"/>
  <c r="U49" i="140"/>
  <c r="V49" i="140"/>
  <c r="W49" i="140"/>
  <c r="X49" i="140"/>
  <c r="U50" i="140"/>
  <c r="V50" i="140"/>
  <c r="W50" i="140"/>
  <c r="X50" i="140"/>
  <c r="U51" i="140"/>
  <c r="V51" i="140"/>
  <c r="W51" i="140"/>
  <c r="X51" i="140"/>
  <c r="U52" i="140"/>
  <c r="V52" i="140"/>
  <c r="W52" i="140"/>
  <c r="X52" i="140"/>
  <c r="U53" i="140"/>
  <c r="V53" i="140"/>
  <c r="W53" i="140"/>
  <c r="X53" i="140"/>
  <c r="U54" i="140"/>
  <c r="V54" i="140"/>
  <c r="W54" i="140"/>
  <c r="X54" i="140"/>
  <c r="U55" i="140"/>
  <c r="V55" i="140"/>
  <c r="W55" i="140"/>
  <c r="X55" i="140"/>
  <c r="U56" i="140"/>
  <c r="V56" i="140"/>
  <c r="W56" i="140"/>
  <c r="X56" i="140"/>
  <c r="U57" i="140"/>
  <c r="V57" i="140"/>
  <c r="W57" i="140"/>
  <c r="X57" i="140"/>
  <c r="U58" i="140"/>
  <c r="V58" i="140"/>
  <c r="W58" i="140"/>
  <c r="X58" i="140"/>
  <c r="U59" i="140"/>
  <c r="V59" i="140"/>
  <c r="W59" i="140"/>
  <c r="X59" i="140"/>
  <c r="U60" i="140"/>
  <c r="V60" i="140"/>
  <c r="W60" i="140"/>
  <c r="X60" i="140"/>
  <c r="U61" i="140"/>
  <c r="V61" i="140"/>
  <c r="W61" i="140"/>
  <c r="X61" i="140"/>
  <c r="U62" i="140"/>
  <c r="V62" i="140"/>
  <c r="W62" i="140"/>
  <c r="X62" i="140"/>
  <c r="U63" i="140"/>
  <c r="V63" i="140"/>
  <c r="W63" i="140"/>
  <c r="X63" i="140"/>
  <c r="U64" i="140"/>
  <c r="V64" i="140"/>
  <c r="W64" i="140"/>
  <c r="X64" i="140"/>
  <c r="U65" i="140"/>
  <c r="V65" i="140"/>
  <c r="W65" i="140"/>
  <c r="X65" i="140"/>
  <c r="U66" i="140"/>
  <c r="V66" i="140"/>
  <c r="W66" i="140"/>
  <c r="X66" i="140"/>
  <c r="U67" i="140"/>
  <c r="V67" i="140"/>
  <c r="W67" i="140"/>
  <c r="X67" i="140"/>
  <c r="U68" i="140"/>
  <c r="V68" i="140"/>
  <c r="W68" i="140"/>
  <c r="X68" i="140"/>
  <c r="U69" i="140"/>
  <c r="V69" i="140"/>
  <c r="W69" i="140"/>
  <c r="X69" i="140"/>
  <c r="U70" i="140"/>
  <c r="V70" i="140"/>
  <c r="W70" i="140"/>
  <c r="X70" i="140"/>
  <c r="U71" i="140"/>
  <c r="V71" i="140"/>
  <c r="W71" i="140"/>
  <c r="X71" i="140"/>
  <c r="U72" i="140"/>
  <c r="V72" i="140"/>
  <c r="W72" i="140"/>
  <c r="X72" i="140"/>
  <c r="U73" i="140"/>
  <c r="V73" i="140"/>
  <c r="W73" i="140"/>
  <c r="X73" i="140"/>
  <c r="U74" i="140"/>
  <c r="V74" i="140"/>
  <c r="W74" i="140"/>
  <c r="X74" i="140"/>
  <c r="U75" i="140"/>
  <c r="V75" i="140"/>
  <c r="W75" i="140"/>
  <c r="X75" i="140"/>
  <c r="U76" i="140"/>
  <c r="V76" i="140"/>
  <c r="W76" i="140"/>
  <c r="X76" i="140"/>
  <c r="U77" i="140"/>
  <c r="V77" i="140"/>
  <c r="W77" i="140"/>
  <c r="X77" i="140"/>
  <c r="U78" i="140"/>
  <c r="V78" i="140"/>
  <c r="W78" i="140"/>
  <c r="X78" i="140"/>
  <c r="U79" i="140"/>
  <c r="V79" i="140"/>
  <c r="W79" i="140"/>
  <c r="X79" i="140"/>
  <c r="U80" i="140"/>
  <c r="V80" i="140"/>
  <c r="W80" i="140"/>
  <c r="X80" i="140"/>
  <c r="U81" i="140"/>
  <c r="V81" i="140"/>
  <c r="W81" i="140"/>
  <c r="X81" i="140"/>
  <c r="U82" i="140"/>
  <c r="V82" i="140"/>
  <c r="W82" i="140"/>
  <c r="X82" i="140"/>
  <c r="U83" i="140"/>
  <c r="V83" i="140"/>
  <c r="W83" i="140"/>
  <c r="X83" i="140"/>
  <c r="U84" i="140"/>
  <c r="V84" i="140"/>
  <c r="W84" i="140"/>
  <c r="X84" i="140"/>
  <c r="U85" i="140"/>
  <c r="V85" i="140"/>
  <c r="W85" i="140"/>
  <c r="X85" i="140"/>
  <c r="U86" i="140"/>
  <c r="V86" i="140"/>
  <c r="W86" i="140"/>
  <c r="X86" i="140"/>
  <c r="U87" i="140"/>
  <c r="V87" i="140"/>
  <c r="W87" i="140"/>
  <c r="X87" i="140"/>
  <c r="U88" i="140"/>
  <c r="V88" i="140"/>
  <c r="W88" i="140"/>
  <c r="X88" i="140"/>
  <c r="U89" i="140"/>
  <c r="V89" i="140"/>
  <c r="W89" i="140"/>
  <c r="X89" i="140"/>
  <c r="U90" i="140"/>
  <c r="V90" i="140"/>
  <c r="W90" i="140"/>
  <c r="X90" i="140"/>
  <c r="U91" i="140"/>
  <c r="V91" i="140"/>
  <c r="W91" i="140"/>
  <c r="X91" i="140"/>
  <c r="U92" i="140"/>
  <c r="V92" i="140"/>
  <c r="W92" i="140"/>
  <c r="X92" i="140"/>
  <c r="U93" i="140"/>
  <c r="V93" i="140"/>
  <c r="W93" i="140"/>
  <c r="X93" i="140"/>
  <c r="U94" i="140"/>
  <c r="V94" i="140"/>
  <c r="W94" i="140"/>
  <c r="X94" i="140"/>
  <c r="U95" i="140"/>
  <c r="V95" i="140"/>
  <c r="W95" i="140"/>
  <c r="X95" i="140"/>
  <c r="U96" i="140"/>
  <c r="V96" i="140"/>
  <c r="W96" i="140"/>
  <c r="X96" i="140"/>
  <c r="U97" i="140"/>
  <c r="V97" i="140"/>
  <c r="W97" i="140"/>
  <c r="X97" i="140"/>
  <c r="U98" i="140"/>
  <c r="V98" i="140"/>
  <c r="W98" i="140"/>
  <c r="X98" i="140"/>
  <c r="U99" i="140"/>
  <c r="V99" i="140"/>
  <c r="W99" i="140"/>
  <c r="X99" i="140"/>
  <c r="U100" i="140"/>
  <c r="V100" i="140"/>
  <c r="W100" i="140"/>
  <c r="X100" i="140"/>
  <c r="U101" i="140"/>
  <c r="V101" i="140"/>
  <c r="W101" i="140"/>
  <c r="X101" i="140"/>
  <c r="U102" i="140"/>
  <c r="V102" i="140"/>
  <c r="W102" i="140"/>
  <c r="X102" i="140"/>
  <c r="U103" i="140"/>
  <c r="V103" i="140"/>
  <c r="W103" i="140"/>
  <c r="X103" i="140"/>
  <c r="U104" i="140"/>
  <c r="V104" i="140"/>
  <c r="W104" i="140"/>
  <c r="X104" i="140"/>
  <c r="U105" i="140"/>
  <c r="V105" i="140"/>
  <c r="W105" i="140"/>
  <c r="X105" i="140"/>
  <c r="U106" i="140"/>
  <c r="V106" i="140"/>
  <c r="W106" i="140"/>
  <c r="X106" i="140"/>
  <c r="U107" i="140"/>
  <c r="V107" i="140"/>
  <c r="W107" i="140"/>
  <c r="X107" i="140"/>
  <c r="U108" i="140"/>
  <c r="V108" i="140"/>
  <c r="W108" i="140"/>
  <c r="X108" i="140"/>
  <c r="U109" i="140"/>
  <c r="V109" i="140"/>
  <c r="W109" i="140"/>
  <c r="X109" i="140"/>
  <c r="U110" i="140"/>
  <c r="V110" i="140"/>
  <c r="W110" i="140"/>
  <c r="X110" i="140"/>
  <c r="U111" i="140"/>
  <c r="V111" i="140"/>
  <c r="W111" i="140"/>
  <c r="X111" i="140"/>
  <c r="U112" i="140"/>
  <c r="V112" i="140"/>
  <c r="W112" i="140"/>
  <c r="X112" i="140"/>
  <c r="U113" i="140"/>
  <c r="V113" i="140"/>
  <c r="W113" i="140"/>
  <c r="X113" i="140"/>
  <c r="U114" i="140"/>
  <c r="V114" i="140"/>
  <c r="W114" i="140"/>
  <c r="X114" i="140"/>
  <c r="U115" i="140"/>
  <c r="V115" i="140"/>
  <c r="W115" i="140"/>
  <c r="X115" i="140"/>
  <c r="U116" i="140"/>
  <c r="V116" i="140"/>
  <c r="W116" i="140"/>
  <c r="X116" i="140"/>
  <c r="U117" i="140"/>
  <c r="V117" i="140"/>
  <c r="W117" i="140"/>
  <c r="X117" i="140"/>
  <c r="U118" i="140"/>
  <c r="V118" i="140"/>
  <c r="W118" i="140"/>
  <c r="X118" i="140"/>
  <c r="U119" i="140"/>
  <c r="V119" i="140"/>
  <c r="W119" i="140"/>
  <c r="X119" i="140"/>
  <c r="U120" i="140"/>
  <c r="V120" i="140"/>
  <c r="W120" i="140"/>
  <c r="X120" i="140"/>
  <c r="U121" i="140"/>
  <c r="V121" i="140"/>
  <c r="W121" i="140"/>
  <c r="X121" i="140"/>
  <c r="U122" i="140"/>
  <c r="V122" i="140"/>
  <c r="W122" i="140"/>
  <c r="X122" i="140"/>
  <c r="U123" i="140"/>
  <c r="V123" i="140"/>
  <c r="W123" i="140"/>
  <c r="X123" i="140"/>
  <c r="U124" i="140"/>
  <c r="V124" i="140"/>
  <c r="W124" i="140"/>
  <c r="X124" i="140"/>
  <c r="U125" i="140"/>
  <c r="V125" i="140"/>
  <c r="W125" i="140"/>
  <c r="X125" i="140"/>
  <c r="U126" i="140"/>
  <c r="V126" i="140"/>
  <c r="W126" i="140"/>
  <c r="X126" i="140"/>
  <c r="U127" i="140"/>
  <c r="V127" i="140"/>
  <c r="W127" i="140"/>
  <c r="X127" i="140"/>
  <c r="U128" i="140"/>
  <c r="V128" i="140"/>
  <c r="W128" i="140"/>
  <c r="X128" i="140"/>
  <c r="U129" i="140"/>
  <c r="V129" i="140"/>
  <c r="W129" i="140"/>
  <c r="X129" i="140"/>
  <c r="U130" i="140"/>
  <c r="V130" i="140"/>
  <c r="W130" i="140"/>
  <c r="X130" i="140"/>
  <c r="U131" i="140"/>
  <c r="V131" i="140"/>
  <c r="W131" i="140"/>
  <c r="X131" i="140"/>
  <c r="U132" i="140"/>
  <c r="V132" i="140"/>
  <c r="W132" i="140"/>
  <c r="X132" i="140"/>
  <c r="U133" i="140"/>
  <c r="V133" i="140"/>
  <c r="W133" i="140"/>
  <c r="X133" i="140"/>
  <c r="U134" i="140"/>
  <c r="V134" i="140"/>
  <c r="W134" i="140"/>
  <c r="X134" i="140"/>
  <c r="U135" i="140"/>
  <c r="V135" i="140"/>
  <c r="W135" i="140"/>
  <c r="X135" i="140"/>
  <c r="U136" i="140"/>
  <c r="V136" i="140"/>
  <c r="W136" i="140"/>
  <c r="X136" i="140"/>
  <c r="U137" i="140"/>
  <c r="V137" i="140"/>
  <c r="W137" i="140"/>
  <c r="X137" i="140"/>
  <c r="U138" i="140"/>
  <c r="V138" i="140"/>
  <c r="W138" i="140"/>
  <c r="X138" i="140"/>
  <c r="U139" i="140"/>
  <c r="V139" i="140"/>
  <c r="W139" i="140"/>
  <c r="X139" i="140"/>
  <c r="U140" i="140"/>
  <c r="V140" i="140"/>
  <c r="W140" i="140"/>
  <c r="X140" i="140"/>
  <c r="U141" i="140"/>
  <c r="V141" i="140"/>
  <c r="W141" i="140"/>
  <c r="X141" i="140"/>
  <c r="U142" i="140"/>
  <c r="V142" i="140"/>
  <c r="W142" i="140"/>
  <c r="X142" i="140"/>
  <c r="U143" i="140"/>
  <c r="V143" i="140"/>
  <c r="W143" i="140"/>
  <c r="X143" i="140"/>
  <c r="U144" i="140"/>
  <c r="V144" i="140"/>
  <c r="W144" i="140"/>
  <c r="X144" i="140"/>
  <c r="U145" i="140"/>
  <c r="V145" i="140"/>
  <c r="W145" i="140"/>
  <c r="X145" i="140"/>
  <c r="U146" i="140"/>
  <c r="V146" i="140"/>
  <c r="W146" i="140"/>
  <c r="X146" i="140"/>
  <c r="U147" i="140"/>
  <c r="V147" i="140"/>
  <c r="W147" i="140"/>
  <c r="X147" i="140"/>
  <c r="V3" i="140"/>
  <c r="W3" i="140"/>
  <c r="X3" i="140"/>
  <c r="U3" i="140"/>
  <c r="N4" i="140"/>
  <c r="V11" i="4" s="1"/>
  <c r="N5" i="140"/>
  <c r="N6" i="140"/>
  <c r="V13" i="4" s="1"/>
  <c r="N7" i="140"/>
  <c r="N8" i="140"/>
  <c r="V15" i="4" s="1"/>
  <c r="N9" i="140"/>
  <c r="V17" i="4" s="1"/>
  <c r="N10" i="140"/>
  <c r="V18" i="4" s="1"/>
  <c r="N11" i="140"/>
  <c r="N12" i="140"/>
  <c r="V20" i="4" s="1"/>
  <c r="N13" i="140"/>
  <c r="N14" i="140"/>
  <c r="V23" i="4" s="1"/>
  <c r="N15" i="140"/>
  <c r="N16" i="140"/>
  <c r="V28" i="4" s="1"/>
  <c r="N17" i="140"/>
  <c r="V33" i="4" s="1"/>
  <c r="N18" i="140"/>
  <c r="V34" i="4" s="1"/>
  <c r="N19" i="140"/>
  <c r="N20" i="140"/>
  <c r="V42" i="4" s="1"/>
  <c r="N21" i="140"/>
  <c r="N22" i="140"/>
  <c r="V44" i="4" s="1"/>
  <c r="N23" i="140"/>
  <c r="N24" i="140"/>
  <c r="V46" i="4" s="1"/>
  <c r="N25" i="140"/>
  <c r="V47" i="4" s="1"/>
  <c r="N26" i="140"/>
  <c r="V49" i="4" s="1"/>
  <c r="N27" i="140"/>
  <c r="N28" i="140"/>
  <c r="V51" i="4" s="1"/>
  <c r="N29" i="140"/>
  <c r="N30" i="140"/>
  <c r="V57" i="4" s="1"/>
  <c r="N31" i="140"/>
  <c r="N32" i="140"/>
  <c r="V64" i="4" s="1"/>
  <c r="N33" i="140"/>
  <c r="V65" i="4" s="1"/>
  <c r="N34" i="140"/>
  <c r="V66" i="4" s="1"/>
  <c r="N35" i="140"/>
  <c r="N36" i="140"/>
  <c r="V73" i="4" s="1"/>
  <c r="N37" i="140"/>
  <c r="N38" i="140"/>
  <c r="V75" i="4" s="1"/>
  <c r="N39" i="140"/>
  <c r="N40" i="140"/>
  <c r="V77" i="4" s="1"/>
  <c r="N41" i="140"/>
  <c r="V80" i="4" s="1"/>
  <c r="N42" i="140"/>
  <c r="V83" i="4" s="1"/>
  <c r="N43" i="140"/>
  <c r="N44" i="140"/>
  <c r="V86" i="4" s="1"/>
  <c r="N45" i="140"/>
  <c r="N46" i="140"/>
  <c r="V90" i="4" s="1"/>
  <c r="N47" i="140"/>
  <c r="N48" i="140"/>
  <c r="V98" i="4" s="1"/>
  <c r="N49" i="140"/>
  <c r="V99" i="4" s="1"/>
  <c r="N50" i="140"/>
  <c r="V101" i="4" s="1"/>
  <c r="N51" i="140"/>
  <c r="N52" i="140"/>
  <c r="V103" i="4" s="1"/>
  <c r="N53" i="140"/>
  <c r="N54" i="140"/>
  <c r="V105" i="4" s="1"/>
  <c r="N55" i="140"/>
  <c r="N56" i="140"/>
  <c r="V108" i="4" s="1"/>
  <c r="N57" i="140"/>
  <c r="V111" i="4" s="1"/>
  <c r="N58" i="140"/>
  <c r="V112" i="4" s="1"/>
  <c r="N59" i="140"/>
  <c r="N60" i="140"/>
  <c r="V114" i="4" s="1"/>
  <c r="N61" i="140"/>
  <c r="N62" i="140"/>
  <c r="V120" i="4" s="1"/>
  <c r="N63" i="140"/>
  <c r="N64" i="140"/>
  <c r="V122" i="4" s="1"/>
  <c r="N65" i="140"/>
  <c r="V124" i="4" s="1"/>
  <c r="N66" i="140"/>
  <c r="V125" i="4" s="1"/>
  <c r="N67" i="140"/>
  <c r="N68" i="140"/>
  <c r="V128" i="4" s="1"/>
  <c r="N69" i="140"/>
  <c r="N70" i="140"/>
  <c r="V130" i="4" s="1"/>
  <c r="N71" i="140"/>
  <c r="N72" i="140"/>
  <c r="V132" i="4" s="1"/>
  <c r="N73" i="140"/>
  <c r="V133" i="4" s="1"/>
  <c r="N74" i="140"/>
  <c r="V134" i="4" s="1"/>
  <c r="N75" i="140"/>
  <c r="N76" i="140"/>
  <c r="V136" i="4" s="1"/>
  <c r="N77" i="140"/>
  <c r="N78" i="140"/>
  <c r="V143" i="4" s="1"/>
  <c r="N79" i="140"/>
  <c r="N80" i="140"/>
  <c r="V146" i="4" s="1"/>
  <c r="N81" i="140"/>
  <c r="V148" i="4" s="1"/>
  <c r="N82" i="140"/>
  <c r="V156" i="4" s="1"/>
  <c r="N83" i="140"/>
  <c r="N84" i="140"/>
  <c r="V186" i="4" s="1"/>
  <c r="N85" i="140"/>
  <c r="N86" i="140"/>
  <c r="V188" i="4" s="1"/>
  <c r="N87" i="140"/>
  <c r="N88" i="140"/>
  <c r="V194" i="4" s="1"/>
  <c r="N89" i="140"/>
  <c r="V195" i="4" s="1"/>
  <c r="N90" i="140"/>
  <c r="V208" i="4" s="1"/>
  <c r="N91" i="140"/>
  <c r="N92" i="140"/>
  <c r="V210" i="4" s="1"/>
  <c r="N3" i="140"/>
  <c r="V10" i="4" s="1"/>
  <c r="AE11" i="37" l="1"/>
  <c r="P91" i="4"/>
  <c r="P17" i="4"/>
  <c r="O12" i="4"/>
  <c r="P12" i="4" s="1"/>
  <c r="P49" i="4"/>
  <c r="P44" i="4"/>
  <c r="P79" i="4"/>
  <c r="P20" i="4"/>
  <c r="P67" i="4"/>
  <c r="P66" i="4"/>
  <c r="P28" i="4"/>
  <c r="P59" i="4"/>
  <c r="P22" i="4"/>
  <c r="P58" i="4"/>
  <c r="P97" i="4"/>
  <c r="J42" i="4"/>
  <c r="P41" i="4"/>
  <c r="P83" i="4"/>
  <c r="P14" i="4"/>
  <c r="P53" i="4"/>
  <c r="P52" i="4"/>
  <c r="P193" i="4"/>
  <c r="P60" i="4"/>
  <c r="N64" i="4"/>
  <c r="P54" i="4"/>
  <c r="P75" i="4"/>
  <c r="P92" i="4"/>
  <c r="P45" i="4"/>
  <c r="P46" i="4"/>
  <c r="P203" i="4"/>
  <c r="P50" i="4"/>
  <c r="O26" i="4"/>
  <c r="P26" i="4" s="1"/>
  <c r="P21" i="4"/>
  <c r="P81" i="4"/>
  <c r="P39" i="4"/>
  <c r="P47" i="4"/>
  <c r="P195" i="4"/>
  <c r="P30" i="4"/>
  <c r="P68" i="4"/>
  <c r="P82" i="4"/>
  <c r="P108" i="4"/>
  <c r="P27" i="4"/>
  <c r="J11" i="4"/>
  <c r="P36" i="4"/>
  <c r="P85" i="4"/>
  <c r="P35" i="4"/>
  <c r="N26" i="4"/>
  <c r="R24" i="37"/>
  <c r="M42" i="4"/>
  <c r="O64" i="4"/>
  <c r="P16" i="4"/>
  <c r="P18" i="4"/>
  <c r="P80" i="4"/>
  <c r="P62" i="4"/>
  <c r="N12" i="4"/>
  <c r="N33" i="4"/>
  <c r="P101" i="4"/>
  <c r="P72" i="4"/>
  <c r="O33" i="4"/>
  <c r="N74" i="4"/>
  <c r="M73" i="4"/>
  <c r="O74" i="4"/>
  <c r="P209" i="4"/>
  <c r="N43" i="4"/>
  <c r="O43" i="4"/>
  <c r="P191" i="4"/>
  <c r="P57" i="4"/>
  <c r="P192" i="4"/>
  <c r="P178" i="4"/>
  <c r="P185" i="4"/>
  <c r="P166" i="4"/>
  <c r="N38" i="4"/>
  <c r="N29" i="4"/>
  <c r="P190" i="4"/>
  <c r="M204" i="39"/>
  <c r="N204" i="39"/>
  <c r="O204" i="39" s="1"/>
  <c r="P175" i="4"/>
  <c r="AC11" i="37"/>
  <c r="CM16" i="142" s="1"/>
  <c r="O38" i="4"/>
  <c r="O29" i="4"/>
  <c r="AB10" i="4"/>
  <c r="AB9" i="4" s="1"/>
  <c r="J9" i="4"/>
  <c r="I319" i="39" s="1"/>
  <c r="M11" i="4"/>
  <c r="AA11" i="37"/>
  <c r="U44" i="35"/>
  <c r="Y11" i="37"/>
  <c r="N59" i="35"/>
  <c r="O59" i="35" s="1"/>
  <c r="N57" i="35"/>
  <c r="O57" i="35" s="1"/>
  <c r="N24" i="35"/>
  <c r="O24" i="35" s="1"/>
  <c r="Z9" i="4"/>
  <c r="AU58" i="142"/>
  <c r="AS58" i="142"/>
  <c r="W25" i="37"/>
  <c r="W24" i="37" s="1"/>
  <c r="W45" i="37"/>
  <c r="AT58" i="142"/>
  <c r="U18" i="37"/>
  <c r="U16" i="37" s="1"/>
  <c r="U14" i="37" s="1"/>
  <c r="U12" i="37" s="1"/>
  <c r="W16" i="37"/>
  <c r="W14" i="37" s="1"/>
  <c r="W50" i="37"/>
  <c r="Q11" i="142"/>
  <c r="W20" i="35"/>
  <c r="W10" i="35" s="1"/>
  <c r="W9" i="35" s="1"/>
  <c r="N45" i="35"/>
  <c r="O45" i="35" s="1"/>
  <c r="N38" i="35"/>
  <c r="O38" i="35" s="1"/>
  <c r="N43" i="35"/>
  <c r="O43" i="35" s="1"/>
  <c r="N17" i="35"/>
  <c r="O17" i="35" s="1"/>
  <c r="I21" i="35"/>
  <c r="N26" i="35"/>
  <c r="O26" i="35" s="1"/>
  <c r="AL153" i="140"/>
  <c r="AM153" i="140"/>
  <c r="AK153" i="140"/>
  <c r="AJ153" i="140"/>
  <c r="R215" i="39"/>
  <c r="V189" i="4"/>
  <c r="V145" i="4"/>
  <c r="V131" i="4"/>
  <c r="V121" i="4"/>
  <c r="V107" i="4"/>
  <c r="V97" i="4"/>
  <c r="V76" i="4"/>
  <c r="V59" i="4"/>
  <c r="V45" i="4"/>
  <c r="V26" i="4"/>
  <c r="V14" i="4"/>
  <c r="X113" i="4"/>
  <c r="X80" i="4"/>
  <c r="V187" i="4"/>
  <c r="V9" i="4" s="1"/>
  <c r="V140" i="4"/>
  <c r="V129" i="4"/>
  <c r="V116" i="4"/>
  <c r="V104" i="4"/>
  <c r="V89" i="4"/>
  <c r="V74" i="4"/>
  <c r="V54" i="4"/>
  <c r="V43" i="4"/>
  <c r="V21" i="4"/>
  <c r="V12" i="4"/>
  <c r="X210" i="4"/>
  <c r="X132" i="4"/>
  <c r="X122" i="4"/>
  <c r="X89" i="4"/>
  <c r="X76" i="4"/>
  <c r="X65" i="4"/>
  <c r="X45" i="4"/>
  <c r="X33" i="4"/>
  <c r="X22" i="4"/>
  <c r="X13" i="4"/>
  <c r="V209" i="4"/>
  <c r="V185" i="4"/>
  <c r="V135" i="4"/>
  <c r="V126" i="4"/>
  <c r="V113" i="4"/>
  <c r="V102" i="4"/>
  <c r="V85" i="4"/>
  <c r="V67" i="4"/>
  <c r="V50" i="4"/>
  <c r="V36" i="4"/>
  <c r="V19" i="4"/>
  <c r="X130" i="4"/>
  <c r="X62" i="4"/>
  <c r="X43" i="4"/>
  <c r="L81" i="39"/>
  <c r="I81" i="39"/>
  <c r="I82" i="39"/>
  <c r="X98" i="4"/>
  <c r="X23" i="4"/>
  <c r="X26" i="4"/>
  <c r="X116" i="4"/>
  <c r="X30" i="4"/>
  <c r="X120" i="4"/>
  <c r="X36" i="4"/>
  <c r="X128" i="4"/>
  <c r="X49" i="4"/>
  <c r="X135" i="4"/>
  <c r="X59" i="4"/>
  <c r="X143" i="4"/>
  <c r="X69" i="4"/>
  <c r="X185" i="4"/>
  <c r="X11" i="4"/>
  <c r="X81" i="4"/>
  <c r="X208" i="4"/>
  <c r="X61" i="4"/>
  <c r="X83" i="4"/>
  <c r="X129" i="4"/>
  <c r="X17" i="4"/>
  <c r="X31" i="4"/>
  <c r="X38" i="4"/>
  <c r="X54" i="4"/>
  <c r="X60" i="4"/>
  <c r="X71" i="4"/>
  <c r="X82" i="4"/>
  <c r="X107" i="4"/>
  <c r="X136" i="4"/>
  <c r="X53" i="4"/>
  <c r="X10" i="4"/>
  <c r="X47" i="4"/>
  <c r="X52" i="4"/>
  <c r="X58" i="4"/>
  <c r="X85" i="4"/>
  <c r="X105" i="4"/>
  <c r="X126" i="4"/>
  <c r="X134" i="4"/>
  <c r="X142" i="4"/>
  <c r="X15" i="4"/>
  <c r="X21" i="4"/>
  <c r="X64" i="4"/>
  <c r="X86" i="4"/>
  <c r="X125" i="4"/>
  <c r="X141" i="4"/>
  <c r="X209" i="4"/>
  <c r="X106" i="4"/>
  <c r="X20" i="4"/>
  <c r="X67" i="4"/>
  <c r="X74" i="4"/>
  <c r="X146" i="4"/>
  <c r="U44" i="37"/>
  <c r="U40" i="37" s="1"/>
  <c r="U14" i="35"/>
  <c r="U13" i="35" s="1"/>
  <c r="N16" i="35"/>
  <c r="O16" i="35" s="1"/>
  <c r="U21" i="35"/>
  <c r="N22" i="35"/>
  <c r="O22" i="35" s="1"/>
  <c r="G219" i="39"/>
  <c r="P64" i="4" l="1"/>
  <c r="P43" i="4"/>
  <c r="N42" i="4"/>
  <c r="N73" i="4"/>
  <c r="O42" i="4"/>
  <c r="P33" i="4"/>
  <c r="P74" i="4"/>
  <c r="O73" i="4"/>
  <c r="P38" i="4"/>
  <c r="N11" i="4"/>
  <c r="P29" i="4"/>
  <c r="O11" i="4"/>
  <c r="M10" i="4"/>
  <c r="N14" i="35"/>
  <c r="O14" i="35" s="1"/>
  <c r="U20" i="35"/>
  <c r="U10" i="35" s="1"/>
  <c r="U9" i="35" s="1"/>
  <c r="I50" i="37"/>
  <c r="W44" i="37"/>
  <c r="W40" i="37" s="1"/>
  <c r="W12" i="37"/>
  <c r="L215" i="39"/>
  <c r="M215" i="39" s="1"/>
  <c r="L82" i="39"/>
  <c r="M82" i="39" s="1"/>
  <c r="N215" i="39"/>
  <c r="O215" i="39"/>
  <c r="M81" i="39"/>
  <c r="X9" i="4"/>
  <c r="H112" i="136"/>
  <c r="P37" i="37"/>
  <c r="S47" i="35"/>
  <c r="S46" i="35" s="1"/>
  <c r="Q44" i="35"/>
  <c r="R44" i="35" s="1"/>
  <c r="Q45" i="35"/>
  <c r="R45" i="35" s="1"/>
  <c r="F4" i="143"/>
  <c r="H60" i="54" s="1"/>
  <c r="F5" i="143"/>
  <c r="F6" i="143"/>
  <c r="F3" i="143"/>
  <c r="L71" i="54"/>
  <c r="H70" i="54"/>
  <c r="Q53" i="54"/>
  <c r="Q59" i="54"/>
  <c r="Q60" i="54"/>
  <c r="Q61" i="54"/>
  <c r="Q62" i="54"/>
  <c r="Q63" i="54"/>
  <c r="Q64" i="54"/>
  <c r="J63" i="37"/>
  <c r="K63" i="37" s="1"/>
  <c r="J57" i="37"/>
  <c r="K57" i="37" s="1"/>
  <c r="J56" i="37"/>
  <c r="K56" i="37" s="1"/>
  <c r="J55" i="37"/>
  <c r="K55" i="37" s="1"/>
  <c r="J54" i="37"/>
  <c r="K54" i="37" s="1"/>
  <c r="J53" i="37"/>
  <c r="K53" i="37" s="1"/>
  <c r="J52" i="37"/>
  <c r="K52" i="37" s="1"/>
  <c r="J49" i="37"/>
  <c r="K49" i="37" s="1"/>
  <c r="J47" i="37"/>
  <c r="K47" i="37" s="1"/>
  <c r="J46" i="37"/>
  <c r="K46" i="37" s="1"/>
  <c r="J34" i="37"/>
  <c r="K34" i="37" s="1"/>
  <c r="J22" i="37"/>
  <c r="K22" i="37" s="1"/>
  <c r="J21" i="37"/>
  <c r="K21" i="37" s="1"/>
  <c r="J20" i="37"/>
  <c r="K20" i="37" s="1"/>
  <c r="J15" i="37"/>
  <c r="K15" i="37" s="1"/>
  <c r="S41" i="37"/>
  <c r="T38" i="37"/>
  <c r="S38" i="37"/>
  <c r="S37" i="37" s="1"/>
  <c r="S29" i="37"/>
  <c r="H4" i="142"/>
  <c r="I4" i="142"/>
  <c r="J4" i="142"/>
  <c r="H5" i="142"/>
  <c r="H17" i="37" s="1"/>
  <c r="I5" i="142"/>
  <c r="J5" i="142"/>
  <c r="H6" i="142"/>
  <c r="H22" i="37" s="1"/>
  <c r="I6" i="142"/>
  <c r="J6" i="142"/>
  <c r="H7" i="142"/>
  <c r="I7" i="142"/>
  <c r="J7" i="142"/>
  <c r="H8" i="142"/>
  <c r="I8" i="142"/>
  <c r="J8" i="142"/>
  <c r="H9" i="142"/>
  <c r="I9" i="142"/>
  <c r="J9" i="142"/>
  <c r="H10" i="142"/>
  <c r="H20" i="37" s="1"/>
  <c r="I10" i="142"/>
  <c r="J10" i="142"/>
  <c r="H11" i="142"/>
  <c r="H19" i="37" s="1"/>
  <c r="I11" i="142"/>
  <c r="J11" i="142"/>
  <c r="H12" i="142"/>
  <c r="I12" i="142"/>
  <c r="J12" i="142"/>
  <c r="H13" i="142"/>
  <c r="I13" i="142"/>
  <c r="J13" i="142"/>
  <c r="H14" i="142"/>
  <c r="I14" i="142"/>
  <c r="J14" i="142"/>
  <c r="H15" i="142"/>
  <c r="I15" i="142"/>
  <c r="J15" i="142"/>
  <c r="H16" i="142"/>
  <c r="I16" i="142"/>
  <c r="J16" i="142"/>
  <c r="H17" i="142"/>
  <c r="I17" i="142"/>
  <c r="J17" i="142"/>
  <c r="H18" i="142"/>
  <c r="I18" i="142"/>
  <c r="J18" i="142"/>
  <c r="H19" i="142"/>
  <c r="I19" i="142"/>
  <c r="J19" i="142"/>
  <c r="H20" i="142"/>
  <c r="I20" i="142"/>
  <c r="J20" i="142"/>
  <c r="H21" i="142"/>
  <c r="I21" i="142"/>
  <c r="J21" i="142"/>
  <c r="H22" i="142"/>
  <c r="I22" i="142"/>
  <c r="J22" i="142"/>
  <c r="H23" i="142"/>
  <c r="I23" i="142"/>
  <c r="J23" i="142"/>
  <c r="H24" i="142"/>
  <c r="I24" i="142"/>
  <c r="J24" i="142"/>
  <c r="H25" i="142"/>
  <c r="H32" i="37" s="1"/>
  <c r="I25" i="142"/>
  <c r="J25" i="142"/>
  <c r="H26" i="142"/>
  <c r="I37" i="37" s="1"/>
  <c r="M37" i="37" s="1"/>
  <c r="I26" i="142"/>
  <c r="J26" i="142"/>
  <c r="H27" i="142"/>
  <c r="I27" i="142"/>
  <c r="J27" i="142"/>
  <c r="H28" i="142"/>
  <c r="I28" i="142"/>
  <c r="J28" i="142"/>
  <c r="H29" i="142"/>
  <c r="I29" i="142"/>
  <c r="J29" i="142"/>
  <c r="H30" i="142"/>
  <c r="I30" i="142"/>
  <c r="J30" i="142"/>
  <c r="H31" i="142"/>
  <c r="I31" i="142"/>
  <c r="J31" i="142"/>
  <c r="S48" i="37" s="1"/>
  <c r="S45" i="37" s="1"/>
  <c r="J45" i="37" s="1"/>
  <c r="H32" i="142"/>
  <c r="I32" i="142"/>
  <c r="J32" i="142"/>
  <c r="H33" i="142"/>
  <c r="I33" i="142"/>
  <c r="J33" i="142"/>
  <c r="H34" i="142"/>
  <c r="I34" i="142"/>
  <c r="J34" i="142"/>
  <c r="S51" i="37" s="1"/>
  <c r="S50" i="37" s="1"/>
  <c r="J50" i="37" s="1"/>
  <c r="H35" i="142"/>
  <c r="I35" i="142"/>
  <c r="J35" i="142"/>
  <c r="H36" i="142"/>
  <c r="I36" i="142"/>
  <c r="J36" i="142"/>
  <c r="H37" i="142"/>
  <c r="I37" i="142"/>
  <c r="J37" i="142"/>
  <c r="H38" i="142"/>
  <c r="I38" i="142"/>
  <c r="J38" i="142"/>
  <c r="H39" i="142"/>
  <c r="I39" i="142"/>
  <c r="J39" i="142"/>
  <c r="H40" i="142"/>
  <c r="H57" i="37" s="1"/>
  <c r="I40" i="142"/>
  <c r="J40" i="142"/>
  <c r="H41" i="142"/>
  <c r="I41" i="142"/>
  <c r="J41" i="142"/>
  <c r="H42" i="142"/>
  <c r="I42" i="142"/>
  <c r="J42" i="142"/>
  <c r="H43" i="142"/>
  <c r="I43" i="142"/>
  <c r="J43" i="142"/>
  <c r="H44" i="142"/>
  <c r="I44" i="142"/>
  <c r="J44" i="142"/>
  <c r="H45" i="142"/>
  <c r="I45" i="142"/>
  <c r="J45" i="142"/>
  <c r="S62" i="37" s="1"/>
  <c r="S61" i="37" s="1"/>
  <c r="J61" i="37" s="1"/>
  <c r="H46" i="142"/>
  <c r="I46" i="142"/>
  <c r="J46" i="142"/>
  <c r="I3" i="142"/>
  <c r="J3" i="142"/>
  <c r="H3" i="142"/>
  <c r="P29" i="37"/>
  <c r="Q63" i="37"/>
  <c r="R63" i="37" s="1"/>
  <c r="Q43" i="37"/>
  <c r="R43" i="37" s="1"/>
  <c r="Q42" i="37"/>
  <c r="R42" i="37" s="1"/>
  <c r="Q39" i="37"/>
  <c r="R39" i="37" s="1"/>
  <c r="Q32" i="37"/>
  <c r="R32" i="37" s="1"/>
  <c r="Q30" i="37"/>
  <c r="R30" i="37" s="1"/>
  <c r="R218" i="39"/>
  <c r="P217" i="39"/>
  <c r="P216" i="39" s="1"/>
  <c r="G217" i="39"/>
  <c r="L47" i="35"/>
  <c r="V47" i="35"/>
  <c r="V46" i="35" s="1"/>
  <c r="AB47" i="35"/>
  <c r="AD47" i="35"/>
  <c r="AF47" i="35"/>
  <c r="AH47" i="35"/>
  <c r="AI47" i="35"/>
  <c r="AJ47" i="35"/>
  <c r="AK47" i="35"/>
  <c r="AK46" i="35" s="1"/>
  <c r="Q14" i="35"/>
  <c r="P14" i="35"/>
  <c r="P13" i="35" s="1"/>
  <c r="T14" i="35"/>
  <c r="T13" i="35" s="1"/>
  <c r="J17" i="35"/>
  <c r="K17" i="35" s="1"/>
  <c r="J19" i="35"/>
  <c r="K19" i="35" s="1"/>
  <c r="N41" i="35"/>
  <c r="O41" i="35" s="1"/>
  <c r="J26" i="35"/>
  <c r="K26" i="35" s="1"/>
  <c r="J25" i="35"/>
  <c r="K25" i="35" s="1"/>
  <c r="J24" i="35"/>
  <c r="K24" i="35" s="1"/>
  <c r="J23" i="35"/>
  <c r="K23" i="35" s="1"/>
  <c r="J12" i="35"/>
  <c r="K12" i="35" s="1"/>
  <c r="T33" i="35"/>
  <c r="T35" i="35"/>
  <c r="T37" i="35"/>
  <c r="T55" i="35"/>
  <c r="T54" i="35" s="1"/>
  <c r="S55" i="35"/>
  <c r="S37" i="35"/>
  <c r="S35" i="35"/>
  <c r="S33" i="35"/>
  <c r="S21" i="35"/>
  <c r="H4" i="141"/>
  <c r="I4" i="141"/>
  <c r="J4" i="141"/>
  <c r="H5" i="141"/>
  <c r="H17" i="35" s="1"/>
  <c r="I5" i="141"/>
  <c r="J5" i="141"/>
  <c r="H6" i="141"/>
  <c r="H18" i="35" s="1"/>
  <c r="I6" i="141"/>
  <c r="J6" i="141"/>
  <c r="H7" i="141"/>
  <c r="H19" i="35" s="1"/>
  <c r="I7" i="141"/>
  <c r="J7" i="141"/>
  <c r="H8" i="141"/>
  <c r="I8" i="141"/>
  <c r="S16" i="35" s="1"/>
  <c r="J16" i="35" s="1"/>
  <c r="K16" i="35" s="1"/>
  <c r="J8" i="141"/>
  <c r="H9" i="141"/>
  <c r="I9" i="141"/>
  <c r="S18" i="35" s="1"/>
  <c r="J9" i="141"/>
  <c r="H10" i="141"/>
  <c r="I10" i="141"/>
  <c r="J10" i="141"/>
  <c r="H11" i="141"/>
  <c r="I11" i="141"/>
  <c r="J11" i="141"/>
  <c r="H12" i="141"/>
  <c r="H22" i="35" s="1"/>
  <c r="I12" i="141"/>
  <c r="J12" i="141"/>
  <c r="H13" i="141"/>
  <c r="I13" i="141"/>
  <c r="J13" i="141"/>
  <c r="H14" i="141"/>
  <c r="I14" i="141"/>
  <c r="J14" i="141"/>
  <c r="H15" i="141"/>
  <c r="H26" i="35" s="1"/>
  <c r="I15" i="141"/>
  <c r="J15" i="141"/>
  <c r="H16" i="141"/>
  <c r="I16" i="141"/>
  <c r="J16" i="141"/>
  <c r="H17" i="141"/>
  <c r="I17" i="141"/>
  <c r="J17" i="141"/>
  <c r="H18" i="141"/>
  <c r="I18" i="141"/>
  <c r="J18" i="141"/>
  <c r="H19" i="141"/>
  <c r="H40" i="35" s="1"/>
  <c r="I19" i="141"/>
  <c r="J19" i="141"/>
  <c r="H20" i="141"/>
  <c r="H42" i="35" s="1"/>
  <c r="I20" i="141"/>
  <c r="J20" i="141"/>
  <c r="H21" i="141"/>
  <c r="H43" i="35" s="1"/>
  <c r="I21" i="141"/>
  <c r="J21" i="141"/>
  <c r="H22" i="141"/>
  <c r="H38" i="35" s="1"/>
  <c r="I22" i="141"/>
  <c r="J22" i="141"/>
  <c r="H23" i="141"/>
  <c r="I23" i="141"/>
  <c r="J23" i="141"/>
  <c r="H24" i="141"/>
  <c r="I24" i="141"/>
  <c r="J24" i="141"/>
  <c r="H25" i="141"/>
  <c r="I25" i="141"/>
  <c r="J25" i="141"/>
  <c r="H26" i="141"/>
  <c r="H45" i="35" s="1"/>
  <c r="H44" i="35" s="1"/>
  <c r="I26" i="141"/>
  <c r="J26" i="141"/>
  <c r="H27" i="141"/>
  <c r="I27" i="141"/>
  <c r="J27" i="141"/>
  <c r="L44" i="35" s="1"/>
  <c r="H28" i="141"/>
  <c r="I28" i="141"/>
  <c r="J28" i="141"/>
  <c r="H29" i="141"/>
  <c r="N49" i="35" s="1"/>
  <c r="O49" i="35" s="1"/>
  <c r="I29" i="141"/>
  <c r="J29" i="141"/>
  <c r="H30" i="141"/>
  <c r="N50" i="35" s="1"/>
  <c r="O50" i="35" s="1"/>
  <c r="I30" i="141"/>
  <c r="J30" i="141"/>
  <c r="H31" i="141"/>
  <c r="N51" i="35" s="1"/>
  <c r="O51" i="35" s="1"/>
  <c r="I31" i="141"/>
  <c r="J31" i="141"/>
  <c r="H32" i="141"/>
  <c r="N52" i="35" s="1"/>
  <c r="O52" i="35" s="1"/>
  <c r="I32" i="141"/>
  <c r="J32" i="141"/>
  <c r="H33" i="141"/>
  <c r="H56" i="35" s="1"/>
  <c r="I33" i="141"/>
  <c r="J33" i="141"/>
  <c r="H34" i="141"/>
  <c r="I34" i="141"/>
  <c r="J34" i="141"/>
  <c r="H35" i="141"/>
  <c r="I35" i="141"/>
  <c r="J35" i="141"/>
  <c r="H36" i="141"/>
  <c r="I36" i="141"/>
  <c r="J36" i="141"/>
  <c r="H37" i="141"/>
  <c r="I37" i="141"/>
  <c r="J37" i="141"/>
  <c r="H38" i="141"/>
  <c r="H60" i="35" s="1"/>
  <c r="I38" i="141"/>
  <c r="J38" i="141"/>
  <c r="H39" i="141"/>
  <c r="I39" i="141"/>
  <c r="J39" i="141"/>
  <c r="H40" i="141"/>
  <c r="I40" i="141"/>
  <c r="J40" i="141"/>
  <c r="H41" i="141"/>
  <c r="I41" i="141"/>
  <c r="J41" i="141"/>
  <c r="H42" i="141"/>
  <c r="I42" i="141"/>
  <c r="J42" i="141"/>
  <c r="H43" i="141"/>
  <c r="I43" i="141"/>
  <c r="J43" i="141"/>
  <c r="H44" i="141"/>
  <c r="I44" i="141"/>
  <c r="J44" i="141"/>
  <c r="I3" i="141"/>
  <c r="J3" i="141"/>
  <c r="H3" i="141"/>
  <c r="P11" i="35"/>
  <c r="Q50" i="35"/>
  <c r="R50" i="35" s="1"/>
  <c r="Q52" i="35"/>
  <c r="R52" i="35" s="1"/>
  <c r="P35" i="35"/>
  <c r="Q60" i="35"/>
  <c r="R60" i="35" s="1"/>
  <c r="Q41" i="35"/>
  <c r="R41" i="35" s="1"/>
  <c r="Q36" i="35"/>
  <c r="R36" i="35" s="1"/>
  <c r="Q34" i="35"/>
  <c r="R34" i="35" s="1"/>
  <c r="Q31" i="35"/>
  <c r="R31" i="35" s="1"/>
  <c r="Q25" i="35"/>
  <c r="R25" i="35" s="1"/>
  <c r="Q24" i="35"/>
  <c r="R24" i="35" s="1"/>
  <c r="Q23" i="35"/>
  <c r="R23" i="35" s="1"/>
  <c r="Q12" i="35"/>
  <c r="R12" i="35" s="1"/>
  <c r="R16" i="4"/>
  <c r="R25" i="4"/>
  <c r="R24" i="4"/>
  <c r="H133" i="136"/>
  <c r="I133" i="136"/>
  <c r="J133" i="136"/>
  <c r="K133" i="136"/>
  <c r="H134" i="136"/>
  <c r="I134" i="136"/>
  <c r="J134" i="136"/>
  <c r="K134" i="136"/>
  <c r="H135" i="136"/>
  <c r="I135" i="136"/>
  <c r="J135" i="136"/>
  <c r="K135" i="136"/>
  <c r="H136" i="136"/>
  <c r="I136" i="136"/>
  <c r="J136" i="136"/>
  <c r="K136" i="136"/>
  <c r="H137" i="136"/>
  <c r="I137" i="136"/>
  <c r="J137" i="136"/>
  <c r="K137" i="136"/>
  <c r="H138" i="136"/>
  <c r="I138" i="136"/>
  <c r="J138" i="136"/>
  <c r="K138" i="136"/>
  <c r="H139" i="136"/>
  <c r="I139" i="136"/>
  <c r="J139" i="136"/>
  <c r="K139" i="136"/>
  <c r="U206" i="4" s="1"/>
  <c r="H140" i="136"/>
  <c r="I140" i="136"/>
  <c r="J140" i="136"/>
  <c r="K140" i="136"/>
  <c r="H141" i="136"/>
  <c r="I141" i="136"/>
  <c r="J141" i="136"/>
  <c r="K141" i="136"/>
  <c r="U208" i="4" s="1"/>
  <c r="H142" i="136"/>
  <c r="I142" i="136"/>
  <c r="J142" i="136"/>
  <c r="K142" i="136"/>
  <c r="U209" i="4" s="1"/>
  <c r="H143" i="136"/>
  <c r="I143" i="136"/>
  <c r="J143" i="136"/>
  <c r="K143" i="136"/>
  <c r="H144" i="136"/>
  <c r="I144" i="136"/>
  <c r="J144" i="136"/>
  <c r="K144" i="136"/>
  <c r="U212" i="4" s="1"/>
  <c r="F4" i="140"/>
  <c r="G4" i="140"/>
  <c r="H4" i="140"/>
  <c r="I4" i="140"/>
  <c r="F5" i="140"/>
  <c r="G5" i="140"/>
  <c r="H5" i="140"/>
  <c r="I5" i="140"/>
  <c r="F6" i="140"/>
  <c r="G6" i="140"/>
  <c r="H6" i="140"/>
  <c r="I6" i="140"/>
  <c r="F7" i="140"/>
  <c r="G7" i="140"/>
  <c r="H7" i="140"/>
  <c r="I7" i="140"/>
  <c r="F8" i="140"/>
  <c r="G8" i="140"/>
  <c r="H8" i="140"/>
  <c r="I8" i="140"/>
  <c r="F9" i="140"/>
  <c r="G9" i="140"/>
  <c r="H9" i="140"/>
  <c r="I9" i="140"/>
  <c r="F10" i="140"/>
  <c r="G10" i="140"/>
  <c r="H10" i="140"/>
  <c r="I10" i="140"/>
  <c r="F11" i="140"/>
  <c r="G11" i="140"/>
  <c r="H11" i="140"/>
  <c r="I11" i="140"/>
  <c r="F12" i="140"/>
  <c r="G12" i="140"/>
  <c r="H12" i="140"/>
  <c r="I12" i="140"/>
  <c r="F13" i="140"/>
  <c r="G13" i="140"/>
  <c r="H13" i="140"/>
  <c r="I13" i="140"/>
  <c r="F14" i="140"/>
  <c r="G14" i="140"/>
  <c r="H14" i="140"/>
  <c r="I14" i="140"/>
  <c r="F15" i="140"/>
  <c r="G15" i="140"/>
  <c r="H15" i="140"/>
  <c r="I15" i="140"/>
  <c r="F16" i="140"/>
  <c r="G16" i="140"/>
  <c r="H16" i="140"/>
  <c r="I16" i="140"/>
  <c r="F17" i="140"/>
  <c r="G17" i="140"/>
  <c r="H17" i="140"/>
  <c r="I17" i="140"/>
  <c r="F18" i="140"/>
  <c r="G18" i="140"/>
  <c r="H18" i="140"/>
  <c r="I18" i="140"/>
  <c r="F19" i="140"/>
  <c r="G19" i="140"/>
  <c r="T28" i="4" s="1"/>
  <c r="H19" i="140"/>
  <c r="I19" i="140"/>
  <c r="F20" i="140"/>
  <c r="G20" i="140"/>
  <c r="H20" i="140"/>
  <c r="I20" i="140"/>
  <c r="F21" i="140"/>
  <c r="G21" i="140"/>
  <c r="H21" i="140"/>
  <c r="I21" i="140"/>
  <c r="F22" i="140"/>
  <c r="I31" i="4" s="1"/>
  <c r="G22" i="140"/>
  <c r="H22" i="140"/>
  <c r="I22" i="140"/>
  <c r="F23" i="140"/>
  <c r="G23" i="140"/>
  <c r="H23" i="140"/>
  <c r="I23" i="140"/>
  <c r="F24" i="140"/>
  <c r="G24" i="140"/>
  <c r="H24" i="140"/>
  <c r="I24" i="140"/>
  <c r="F25" i="140"/>
  <c r="G25" i="140"/>
  <c r="H25" i="140"/>
  <c r="I25" i="140"/>
  <c r="F26" i="140"/>
  <c r="G26" i="140"/>
  <c r="H26" i="140"/>
  <c r="I26" i="140"/>
  <c r="F27" i="140"/>
  <c r="G27" i="140"/>
  <c r="T37" i="4" s="1"/>
  <c r="H27" i="140"/>
  <c r="I27" i="140"/>
  <c r="F28" i="140"/>
  <c r="G28" i="140"/>
  <c r="H28" i="140"/>
  <c r="I28" i="140"/>
  <c r="F29" i="140"/>
  <c r="G29" i="140"/>
  <c r="H29" i="140"/>
  <c r="I29" i="140"/>
  <c r="F30" i="140"/>
  <c r="I40" i="4" s="1"/>
  <c r="G30" i="140"/>
  <c r="H30" i="140"/>
  <c r="I30" i="140"/>
  <c r="F31" i="140"/>
  <c r="G31" i="140"/>
  <c r="H31" i="140"/>
  <c r="I31" i="140"/>
  <c r="F32" i="140"/>
  <c r="I42" i="4" s="1"/>
  <c r="G32" i="140"/>
  <c r="H32" i="140"/>
  <c r="I32" i="140"/>
  <c r="F33" i="140"/>
  <c r="G33" i="140"/>
  <c r="H33" i="140"/>
  <c r="I33" i="140"/>
  <c r="F34" i="140"/>
  <c r="I44" i="4" s="1"/>
  <c r="G34" i="140"/>
  <c r="H34" i="140"/>
  <c r="I34" i="140"/>
  <c r="F35" i="140"/>
  <c r="G35" i="140"/>
  <c r="T45" i="4" s="1"/>
  <c r="H35" i="140"/>
  <c r="I35" i="140"/>
  <c r="F36" i="140"/>
  <c r="G36" i="140"/>
  <c r="H36" i="140"/>
  <c r="I36" i="140"/>
  <c r="F37" i="140"/>
  <c r="G37" i="140"/>
  <c r="H37" i="140"/>
  <c r="I37" i="140"/>
  <c r="F38" i="140"/>
  <c r="I49" i="4" s="1"/>
  <c r="G38" i="140"/>
  <c r="H38" i="140"/>
  <c r="I38" i="140"/>
  <c r="F39" i="140"/>
  <c r="G39" i="140"/>
  <c r="H39" i="140"/>
  <c r="I39" i="140"/>
  <c r="F40" i="140"/>
  <c r="I51" i="4" s="1"/>
  <c r="G40" i="140"/>
  <c r="H40" i="140"/>
  <c r="I40" i="140"/>
  <c r="F41" i="140"/>
  <c r="G41" i="140"/>
  <c r="H41" i="140"/>
  <c r="I41" i="140"/>
  <c r="F42" i="140"/>
  <c r="G42" i="140"/>
  <c r="H42" i="140"/>
  <c r="I42" i="140"/>
  <c r="F43" i="140"/>
  <c r="G43" i="140"/>
  <c r="T54" i="4" s="1"/>
  <c r="H43" i="140"/>
  <c r="I43" i="140"/>
  <c r="F44" i="140"/>
  <c r="G44" i="140"/>
  <c r="H44" i="140"/>
  <c r="I44" i="140"/>
  <c r="F45" i="140"/>
  <c r="G45" i="140"/>
  <c r="H45" i="140"/>
  <c r="I45" i="140"/>
  <c r="F46" i="140"/>
  <c r="I59" i="4" s="1"/>
  <c r="G46" i="140"/>
  <c r="H46" i="140"/>
  <c r="I46" i="140"/>
  <c r="F47" i="140"/>
  <c r="G47" i="140"/>
  <c r="H47" i="140"/>
  <c r="I47" i="140"/>
  <c r="F48" i="140"/>
  <c r="I61" i="4" s="1"/>
  <c r="G48" i="140"/>
  <c r="H48" i="140"/>
  <c r="I48" i="140"/>
  <c r="F49" i="140"/>
  <c r="G49" i="140"/>
  <c r="H49" i="140"/>
  <c r="I49" i="140"/>
  <c r="F50" i="140"/>
  <c r="I64" i="4" s="1"/>
  <c r="G50" i="140"/>
  <c r="H50" i="140"/>
  <c r="I50" i="140"/>
  <c r="F51" i="140"/>
  <c r="G51" i="140"/>
  <c r="T65" i="4" s="1"/>
  <c r="H51" i="140"/>
  <c r="I51" i="140"/>
  <c r="F52" i="140"/>
  <c r="G52" i="140"/>
  <c r="H52" i="140"/>
  <c r="I52" i="140"/>
  <c r="F53" i="140"/>
  <c r="G53" i="140"/>
  <c r="H53" i="140"/>
  <c r="I53" i="140"/>
  <c r="F54" i="140"/>
  <c r="I68" i="4" s="1"/>
  <c r="G54" i="140"/>
  <c r="H54" i="140"/>
  <c r="I54" i="140"/>
  <c r="F55" i="140"/>
  <c r="G55" i="140"/>
  <c r="H55" i="140"/>
  <c r="I55" i="140"/>
  <c r="F56" i="140"/>
  <c r="I70" i="4" s="1"/>
  <c r="G56" i="140"/>
  <c r="H56" i="140"/>
  <c r="I56" i="140"/>
  <c r="F57" i="140"/>
  <c r="G57" i="140"/>
  <c r="H57" i="140"/>
  <c r="I57" i="140"/>
  <c r="F58" i="140"/>
  <c r="I72" i="4" s="1"/>
  <c r="G58" i="140"/>
  <c r="H58" i="140"/>
  <c r="I58" i="140"/>
  <c r="F59" i="140"/>
  <c r="G59" i="140"/>
  <c r="T73" i="4" s="1"/>
  <c r="H59" i="140"/>
  <c r="I59" i="140"/>
  <c r="F60" i="140"/>
  <c r="G60" i="140"/>
  <c r="H60" i="140"/>
  <c r="I60" i="140"/>
  <c r="F61" i="140"/>
  <c r="G61" i="140"/>
  <c r="H61" i="140"/>
  <c r="I61" i="140"/>
  <c r="F62" i="140"/>
  <c r="I76" i="4" s="1"/>
  <c r="G62" i="140"/>
  <c r="H62" i="140"/>
  <c r="I62" i="140"/>
  <c r="F63" i="140"/>
  <c r="G63" i="140"/>
  <c r="H63" i="140"/>
  <c r="I63" i="140"/>
  <c r="F64" i="140"/>
  <c r="I80" i="4" s="1"/>
  <c r="G64" i="140"/>
  <c r="H64" i="140"/>
  <c r="I64" i="140"/>
  <c r="F65" i="140"/>
  <c r="G65" i="140"/>
  <c r="H65" i="140"/>
  <c r="I65" i="140"/>
  <c r="F66" i="140"/>
  <c r="I85" i="4" s="1"/>
  <c r="G66" i="140"/>
  <c r="H66" i="140"/>
  <c r="I66" i="140"/>
  <c r="F67" i="140"/>
  <c r="G67" i="140"/>
  <c r="T86" i="4" s="1"/>
  <c r="H67" i="140"/>
  <c r="I67" i="140"/>
  <c r="F68" i="140"/>
  <c r="G68" i="140"/>
  <c r="H68" i="140"/>
  <c r="I68" i="140"/>
  <c r="F69" i="140"/>
  <c r="G69" i="140"/>
  <c r="H69" i="140"/>
  <c r="I69" i="140"/>
  <c r="F70" i="140"/>
  <c r="I89" i="4" s="1"/>
  <c r="G70" i="140"/>
  <c r="H70" i="140"/>
  <c r="I70" i="140"/>
  <c r="F71" i="140"/>
  <c r="G71" i="140"/>
  <c r="H71" i="140"/>
  <c r="I71" i="140"/>
  <c r="F72" i="140"/>
  <c r="G72" i="140"/>
  <c r="H72" i="140"/>
  <c r="I72" i="140"/>
  <c r="F73" i="140"/>
  <c r="G73" i="140"/>
  <c r="H73" i="140"/>
  <c r="I73" i="140"/>
  <c r="F74" i="140"/>
  <c r="G74" i="140"/>
  <c r="H74" i="140"/>
  <c r="I74" i="140"/>
  <c r="F75" i="140"/>
  <c r="G75" i="140"/>
  <c r="T97" i="4" s="1"/>
  <c r="H75" i="140"/>
  <c r="I75" i="140"/>
  <c r="F76" i="140"/>
  <c r="G76" i="140"/>
  <c r="H76" i="140"/>
  <c r="I76" i="140"/>
  <c r="F77" i="140"/>
  <c r="G77" i="140"/>
  <c r="H77" i="140"/>
  <c r="I77" i="140"/>
  <c r="F78" i="140"/>
  <c r="I100" i="4" s="1"/>
  <c r="G78" i="140"/>
  <c r="H78" i="140"/>
  <c r="I78" i="140"/>
  <c r="F79" i="140"/>
  <c r="G79" i="140"/>
  <c r="H79" i="140"/>
  <c r="I79" i="140"/>
  <c r="F80" i="140"/>
  <c r="G80" i="140"/>
  <c r="H80" i="140"/>
  <c r="I80" i="140"/>
  <c r="F81" i="140"/>
  <c r="G81" i="140"/>
  <c r="H81" i="140"/>
  <c r="I81" i="140"/>
  <c r="F82" i="140"/>
  <c r="I104" i="4" s="1"/>
  <c r="G82" i="140"/>
  <c r="H82" i="140"/>
  <c r="I82" i="140"/>
  <c r="F83" i="140"/>
  <c r="G83" i="140"/>
  <c r="T105" i="4" s="1"/>
  <c r="H83" i="140"/>
  <c r="I83" i="140"/>
  <c r="F84" i="140"/>
  <c r="G84" i="140"/>
  <c r="H84" i="140"/>
  <c r="I84" i="140"/>
  <c r="F85" i="140"/>
  <c r="G85" i="140"/>
  <c r="H85" i="140"/>
  <c r="I85" i="140"/>
  <c r="F86" i="140"/>
  <c r="G86" i="140"/>
  <c r="H86" i="140"/>
  <c r="I86" i="140"/>
  <c r="F87" i="140"/>
  <c r="G87" i="140"/>
  <c r="H87" i="140"/>
  <c r="I87" i="140"/>
  <c r="F88" i="140"/>
  <c r="G88" i="140"/>
  <c r="H88" i="140"/>
  <c r="I88" i="140"/>
  <c r="F89" i="140"/>
  <c r="G89" i="140"/>
  <c r="H89" i="140"/>
  <c r="I89" i="140"/>
  <c r="F90" i="140"/>
  <c r="G90" i="140"/>
  <c r="H90" i="140"/>
  <c r="I90" i="140"/>
  <c r="F91" i="140"/>
  <c r="G91" i="140"/>
  <c r="T113" i="4" s="1"/>
  <c r="H91" i="140"/>
  <c r="I91" i="140"/>
  <c r="F92" i="140"/>
  <c r="G92" i="140"/>
  <c r="H92" i="140"/>
  <c r="I92" i="140"/>
  <c r="F93" i="140"/>
  <c r="G93" i="140"/>
  <c r="H93" i="140"/>
  <c r="I93" i="140"/>
  <c r="F94" i="140"/>
  <c r="G94" i="140"/>
  <c r="H94" i="140"/>
  <c r="I94" i="140"/>
  <c r="F95" i="140"/>
  <c r="G95" i="140"/>
  <c r="H95" i="140"/>
  <c r="I95" i="140"/>
  <c r="F96" i="140"/>
  <c r="G96" i="140"/>
  <c r="H96" i="140"/>
  <c r="I96" i="140"/>
  <c r="F97" i="140"/>
  <c r="G97" i="140"/>
  <c r="H97" i="140"/>
  <c r="I97" i="140"/>
  <c r="F98" i="140"/>
  <c r="G98" i="140"/>
  <c r="H98" i="140"/>
  <c r="I98" i="140"/>
  <c r="F99" i="140"/>
  <c r="G99" i="140"/>
  <c r="T125" i="4" s="1"/>
  <c r="H99" i="140"/>
  <c r="I99" i="140"/>
  <c r="F100" i="140"/>
  <c r="G100" i="140"/>
  <c r="H100" i="140"/>
  <c r="I100" i="140"/>
  <c r="F101" i="140"/>
  <c r="G101" i="140"/>
  <c r="H101" i="140"/>
  <c r="I101" i="140"/>
  <c r="F102" i="140"/>
  <c r="G102" i="140"/>
  <c r="H102" i="140"/>
  <c r="I102" i="140"/>
  <c r="F103" i="140"/>
  <c r="G103" i="140"/>
  <c r="H103" i="140"/>
  <c r="I103" i="140"/>
  <c r="F104" i="140"/>
  <c r="G104" i="140"/>
  <c r="H104" i="140"/>
  <c r="I104" i="140"/>
  <c r="F105" i="140"/>
  <c r="G105" i="140"/>
  <c r="H105" i="140"/>
  <c r="I105" i="140"/>
  <c r="F106" i="140"/>
  <c r="G106" i="140"/>
  <c r="H106" i="140"/>
  <c r="I106" i="140"/>
  <c r="F107" i="140"/>
  <c r="G107" i="140"/>
  <c r="T134" i="4" s="1"/>
  <c r="H107" i="140"/>
  <c r="I107" i="140"/>
  <c r="F108" i="140"/>
  <c r="G108" i="140"/>
  <c r="H108" i="140"/>
  <c r="I108" i="140"/>
  <c r="F109" i="140"/>
  <c r="G109" i="140"/>
  <c r="H109" i="140"/>
  <c r="I109" i="140"/>
  <c r="F110" i="140"/>
  <c r="G110" i="140"/>
  <c r="H110" i="140"/>
  <c r="I110" i="140"/>
  <c r="F111" i="140"/>
  <c r="G111" i="140"/>
  <c r="H111" i="140"/>
  <c r="I111" i="140"/>
  <c r="F112" i="140"/>
  <c r="G112" i="140"/>
  <c r="H112" i="140"/>
  <c r="I112" i="140"/>
  <c r="F113" i="140"/>
  <c r="G113" i="140"/>
  <c r="H113" i="140"/>
  <c r="I113" i="140"/>
  <c r="F114" i="140"/>
  <c r="G114" i="140"/>
  <c r="H114" i="140"/>
  <c r="I114" i="140"/>
  <c r="F115" i="140"/>
  <c r="G115" i="140"/>
  <c r="T143" i="4" s="1"/>
  <c r="H115" i="140"/>
  <c r="I115" i="140"/>
  <c r="F116" i="140"/>
  <c r="G116" i="140"/>
  <c r="H116" i="140"/>
  <c r="I116" i="140"/>
  <c r="F117" i="140"/>
  <c r="G117" i="140"/>
  <c r="T145" i="4" s="1"/>
  <c r="H117" i="140"/>
  <c r="I117" i="140"/>
  <c r="F118" i="140"/>
  <c r="I146" i="4" s="1"/>
  <c r="G118" i="140"/>
  <c r="H118" i="140"/>
  <c r="I118" i="140"/>
  <c r="F119" i="140"/>
  <c r="G119" i="140"/>
  <c r="H119" i="140"/>
  <c r="I119" i="140"/>
  <c r="F120" i="140"/>
  <c r="G120" i="140"/>
  <c r="H120" i="140"/>
  <c r="I120" i="140"/>
  <c r="F121" i="140"/>
  <c r="G121" i="140"/>
  <c r="H121" i="140"/>
  <c r="I121" i="140"/>
  <c r="F122" i="140"/>
  <c r="G122" i="140"/>
  <c r="H122" i="140"/>
  <c r="I122" i="140"/>
  <c r="F123" i="140"/>
  <c r="G123" i="140"/>
  <c r="T155" i="4" s="1"/>
  <c r="H123" i="140"/>
  <c r="I123" i="140"/>
  <c r="F124" i="140"/>
  <c r="G124" i="140"/>
  <c r="H124" i="140"/>
  <c r="I124" i="140"/>
  <c r="F125" i="140"/>
  <c r="G125" i="140"/>
  <c r="H125" i="140"/>
  <c r="I125" i="140"/>
  <c r="F126" i="140"/>
  <c r="I166" i="4" s="1"/>
  <c r="G126" i="140"/>
  <c r="H126" i="140"/>
  <c r="I126" i="140"/>
  <c r="F127" i="140"/>
  <c r="G127" i="140"/>
  <c r="H127" i="140"/>
  <c r="I127" i="140"/>
  <c r="F128" i="140"/>
  <c r="G128" i="140"/>
  <c r="H128" i="140"/>
  <c r="I128" i="140"/>
  <c r="F129" i="140"/>
  <c r="G129" i="140"/>
  <c r="H129" i="140"/>
  <c r="I129" i="140"/>
  <c r="F130" i="140"/>
  <c r="G130" i="140"/>
  <c r="H130" i="140"/>
  <c r="I130" i="140"/>
  <c r="F131" i="140"/>
  <c r="G131" i="140"/>
  <c r="T189" i="4" s="1"/>
  <c r="H131" i="140"/>
  <c r="I131" i="140"/>
  <c r="F132" i="140"/>
  <c r="I190" i="4" s="1"/>
  <c r="G132" i="140"/>
  <c r="H132" i="140"/>
  <c r="I132" i="140"/>
  <c r="F133" i="140"/>
  <c r="G133" i="140"/>
  <c r="T191" i="4" s="1"/>
  <c r="H133" i="140"/>
  <c r="I133" i="140"/>
  <c r="F134" i="140"/>
  <c r="G134" i="140"/>
  <c r="H134" i="140"/>
  <c r="I134" i="140"/>
  <c r="F135" i="140"/>
  <c r="G135" i="140"/>
  <c r="H135" i="140"/>
  <c r="I135" i="140"/>
  <c r="F136" i="140"/>
  <c r="I194" i="4" s="1"/>
  <c r="G136" i="140"/>
  <c r="H136" i="140"/>
  <c r="I136" i="140"/>
  <c r="F137" i="140"/>
  <c r="G137" i="140"/>
  <c r="H137" i="140"/>
  <c r="I137" i="140"/>
  <c r="F138" i="140"/>
  <c r="I202" i="4" s="1"/>
  <c r="G138" i="140"/>
  <c r="H138" i="140"/>
  <c r="I138" i="140"/>
  <c r="F139" i="140"/>
  <c r="I203" i="4" s="1"/>
  <c r="G139" i="140"/>
  <c r="H139" i="140"/>
  <c r="I139" i="140"/>
  <c r="F140" i="140"/>
  <c r="G140" i="140"/>
  <c r="H140" i="140"/>
  <c r="I140" i="140"/>
  <c r="F141" i="140"/>
  <c r="G141" i="140"/>
  <c r="T209" i="4" s="1"/>
  <c r="H141" i="140"/>
  <c r="I141" i="140"/>
  <c r="F142" i="140"/>
  <c r="G142" i="140"/>
  <c r="H142" i="140"/>
  <c r="I142" i="140"/>
  <c r="F143" i="140"/>
  <c r="G143" i="140"/>
  <c r="H143" i="140"/>
  <c r="I143" i="140"/>
  <c r="F144" i="140"/>
  <c r="I212" i="4" s="1"/>
  <c r="G144" i="140"/>
  <c r="H144" i="140"/>
  <c r="I144" i="140"/>
  <c r="G3" i="140"/>
  <c r="H3" i="140"/>
  <c r="I3" i="140"/>
  <c r="F3" i="140"/>
  <c r="I10" i="4" s="1"/>
  <c r="R16" i="39"/>
  <c r="R79" i="39"/>
  <c r="R91" i="39"/>
  <c r="R127" i="39"/>
  <c r="R222" i="39"/>
  <c r="R223" i="39"/>
  <c r="R224" i="39"/>
  <c r="R225" i="39"/>
  <c r="R226" i="39"/>
  <c r="R240" i="39"/>
  <c r="R262" i="39"/>
  <c r="R281" i="39"/>
  <c r="R283" i="39"/>
  <c r="R295" i="39"/>
  <c r="R296" i="39"/>
  <c r="R297" i="39"/>
  <c r="R298" i="39"/>
  <c r="R300" i="39"/>
  <c r="O155" i="39"/>
  <c r="O160" i="39"/>
  <c r="O161" i="39"/>
  <c r="O164" i="39"/>
  <c r="O165" i="39"/>
  <c r="O197" i="39"/>
  <c r="O202" i="39"/>
  <c r="O227" i="39"/>
  <c r="O228" i="39"/>
  <c r="O239" i="39"/>
  <c r="O240" i="39"/>
  <c r="O259" i="39"/>
  <c r="O263" i="39"/>
  <c r="O264" i="39"/>
  <c r="O265" i="39"/>
  <c r="O281" i="39"/>
  <c r="O283" i="39"/>
  <c r="O295" i="39"/>
  <c r="O296" i="39"/>
  <c r="O297" i="39"/>
  <c r="O298" i="39"/>
  <c r="O300" i="39"/>
  <c r="M155" i="39"/>
  <c r="M160" i="39"/>
  <c r="M161" i="39"/>
  <c r="M164" i="39"/>
  <c r="M165" i="39"/>
  <c r="M167" i="39"/>
  <c r="M171" i="39"/>
  <c r="M197" i="39"/>
  <c r="M202" i="39"/>
  <c r="M227" i="39"/>
  <c r="M228" i="39"/>
  <c r="M239" i="39"/>
  <c r="M240" i="39"/>
  <c r="M259" i="39"/>
  <c r="M263" i="39"/>
  <c r="M264" i="39"/>
  <c r="M265" i="39"/>
  <c r="M281" i="39"/>
  <c r="M283" i="39"/>
  <c r="M295" i="39"/>
  <c r="M296" i="39"/>
  <c r="M297" i="39"/>
  <c r="M298" i="39"/>
  <c r="M300" i="39"/>
  <c r="K155" i="39"/>
  <c r="K160" i="39"/>
  <c r="K161" i="39"/>
  <c r="K164" i="39"/>
  <c r="K165" i="39"/>
  <c r="K167" i="39"/>
  <c r="K171" i="39"/>
  <c r="K197" i="39"/>
  <c r="K202" i="39"/>
  <c r="K227" i="39"/>
  <c r="K228" i="39"/>
  <c r="K239" i="39"/>
  <c r="K240" i="39"/>
  <c r="K259" i="39"/>
  <c r="K263" i="39"/>
  <c r="K264" i="39"/>
  <c r="K265" i="39"/>
  <c r="K281" i="39"/>
  <c r="K283" i="39"/>
  <c r="K295" i="39"/>
  <c r="K296" i="39"/>
  <c r="K297" i="39"/>
  <c r="K298" i="39"/>
  <c r="K300" i="39"/>
  <c r="AL35" i="54"/>
  <c r="EL4" i="139"/>
  <c r="EL3" i="139"/>
  <c r="AL33" i="54" s="1"/>
  <c r="AL32" i="54" s="1"/>
  <c r="AL9" i="54" s="1"/>
  <c r="ES4" i="139"/>
  <c r="ET4" i="139"/>
  <c r="EU4" i="139"/>
  <c r="ES5" i="139"/>
  <c r="ET5" i="139"/>
  <c r="EU5" i="139"/>
  <c r="ES6" i="139"/>
  <c r="ET6" i="139"/>
  <c r="EU6" i="139"/>
  <c r="ES7" i="139"/>
  <c r="ET7" i="139"/>
  <c r="EU7" i="139"/>
  <c r="ES8" i="139"/>
  <c r="ET8" i="139"/>
  <c r="EU8" i="139"/>
  <c r="ET3" i="139"/>
  <c r="EU3" i="139"/>
  <c r="ES3" i="139"/>
  <c r="AL41" i="37"/>
  <c r="AL60" i="37"/>
  <c r="AL51" i="37"/>
  <c r="AL47" i="37"/>
  <c r="AL22" i="37"/>
  <c r="AL17" i="37"/>
  <c r="HJ4" i="138"/>
  <c r="HK4" i="138"/>
  <c r="HL4" i="138"/>
  <c r="HJ5" i="138"/>
  <c r="HK5" i="138"/>
  <c r="HL5" i="138"/>
  <c r="HJ6" i="138"/>
  <c r="HK6" i="138"/>
  <c r="HL6" i="138"/>
  <c r="HJ7" i="138"/>
  <c r="HK7" i="138"/>
  <c r="HL7" i="138"/>
  <c r="HJ8" i="138"/>
  <c r="HK8" i="138"/>
  <c r="HL8" i="138"/>
  <c r="HJ9" i="138"/>
  <c r="HK9" i="138"/>
  <c r="HL9" i="138"/>
  <c r="HJ10" i="138"/>
  <c r="HK10" i="138"/>
  <c r="HL10" i="138"/>
  <c r="HJ11" i="138"/>
  <c r="HK11" i="138"/>
  <c r="HL11" i="138"/>
  <c r="HJ12" i="138"/>
  <c r="HK12" i="138"/>
  <c r="HL12" i="138"/>
  <c r="HJ13" i="138"/>
  <c r="HK13" i="138"/>
  <c r="HL13" i="138"/>
  <c r="HJ14" i="138"/>
  <c r="HK14" i="138"/>
  <c r="HL14" i="138"/>
  <c r="HJ15" i="138"/>
  <c r="HK15" i="138"/>
  <c r="HL15" i="138"/>
  <c r="HJ16" i="138"/>
  <c r="HK16" i="138"/>
  <c r="HL16" i="138"/>
  <c r="HJ17" i="138"/>
  <c r="HK17" i="138"/>
  <c r="HL17" i="138"/>
  <c r="HJ18" i="138"/>
  <c r="HK18" i="138"/>
  <c r="HL18" i="138"/>
  <c r="HJ19" i="138"/>
  <c r="HK19" i="138"/>
  <c r="HL19" i="138"/>
  <c r="HJ20" i="138"/>
  <c r="HK20" i="138"/>
  <c r="HL20" i="138"/>
  <c r="HJ21" i="138"/>
  <c r="HK21" i="138"/>
  <c r="HL21" i="138"/>
  <c r="HJ22" i="138"/>
  <c r="HK22" i="138"/>
  <c r="HL22" i="138"/>
  <c r="HJ23" i="138"/>
  <c r="HK23" i="138"/>
  <c r="HL23" i="138"/>
  <c r="HJ24" i="138"/>
  <c r="HK24" i="138"/>
  <c r="HL24" i="138"/>
  <c r="HJ25" i="138"/>
  <c r="HK25" i="138"/>
  <c r="HL25" i="138"/>
  <c r="HJ26" i="138"/>
  <c r="HK26" i="138"/>
  <c r="HL26" i="138"/>
  <c r="HJ27" i="138"/>
  <c r="HK27" i="138"/>
  <c r="HL27" i="138"/>
  <c r="HJ28" i="138"/>
  <c r="HK28" i="138"/>
  <c r="HL28" i="138"/>
  <c r="HJ29" i="138"/>
  <c r="HK29" i="138"/>
  <c r="HL29" i="138"/>
  <c r="HJ30" i="138"/>
  <c r="HK30" i="138"/>
  <c r="HL30" i="138"/>
  <c r="HJ31" i="138"/>
  <c r="HK31" i="138"/>
  <c r="HL31" i="138"/>
  <c r="HJ32" i="138"/>
  <c r="HK32" i="138"/>
  <c r="HL32" i="138"/>
  <c r="HJ33" i="138"/>
  <c r="HK33" i="138"/>
  <c r="HL33" i="138"/>
  <c r="HJ34" i="138"/>
  <c r="HK34" i="138"/>
  <c r="HL34" i="138"/>
  <c r="HJ35" i="138"/>
  <c r="HK35" i="138"/>
  <c r="HL35" i="138"/>
  <c r="HJ36" i="138"/>
  <c r="HK36" i="138"/>
  <c r="HL36" i="138"/>
  <c r="HJ37" i="138"/>
  <c r="HK37" i="138"/>
  <c r="HL37" i="138"/>
  <c r="HJ38" i="138"/>
  <c r="HK38" i="138"/>
  <c r="HL38" i="138"/>
  <c r="HJ39" i="138"/>
  <c r="HK39" i="138"/>
  <c r="HL39" i="138"/>
  <c r="HJ40" i="138"/>
  <c r="HK40" i="138"/>
  <c r="HL40" i="138"/>
  <c r="HJ41" i="138"/>
  <c r="HK41" i="138"/>
  <c r="HL41" i="138"/>
  <c r="HJ42" i="138"/>
  <c r="HK42" i="138"/>
  <c r="HL42" i="138"/>
  <c r="HJ43" i="138"/>
  <c r="HK43" i="138"/>
  <c r="HL43" i="138"/>
  <c r="HJ44" i="138"/>
  <c r="HK44" i="138"/>
  <c r="HL44" i="138"/>
  <c r="HJ45" i="138"/>
  <c r="HK45" i="138"/>
  <c r="HL45" i="138"/>
  <c r="HJ46" i="138"/>
  <c r="HK46" i="138"/>
  <c r="HL46" i="138"/>
  <c r="HJ47" i="138"/>
  <c r="HK47" i="138"/>
  <c r="HL47" i="138"/>
  <c r="HJ48" i="138"/>
  <c r="HK48" i="138"/>
  <c r="HL48" i="138"/>
  <c r="HJ49" i="138"/>
  <c r="HK49" i="138"/>
  <c r="HL49" i="138"/>
  <c r="HJ50" i="138"/>
  <c r="HK50" i="138"/>
  <c r="HL50" i="138"/>
  <c r="HJ51" i="138"/>
  <c r="HK51" i="138"/>
  <c r="HL51" i="138"/>
  <c r="HJ52" i="138"/>
  <c r="HK52" i="138"/>
  <c r="HL52" i="138"/>
  <c r="HJ53" i="138"/>
  <c r="HK53" i="138"/>
  <c r="HL53" i="138"/>
  <c r="HJ54" i="138"/>
  <c r="HK54" i="138"/>
  <c r="HL54" i="138"/>
  <c r="HJ55" i="138"/>
  <c r="HK55" i="138"/>
  <c r="HL55" i="138"/>
  <c r="HJ56" i="138"/>
  <c r="HK56" i="138"/>
  <c r="HL56" i="138"/>
  <c r="HK3" i="138"/>
  <c r="HL3" i="138"/>
  <c r="HJ3" i="138"/>
  <c r="HA4" i="138"/>
  <c r="HA5" i="138"/>
  <c r="AL20" i="37" s="1"/>
  <c r="HA6" i="138"/>
  <c r="AL21" i="37" s="1"/>
  <c r="HA7" i="138"/>
  <c r="AL18" i="37" s="1"/>
  <c r="HA8" i="138"/>
  <c r="AL23" i="37" s="1"/>
  <c r="HA9" i="138"/>
  <c r="HA10" i="138"/>
  <c r="AL38" i="37" s="1"/>
  <c r="AL37" i="37" s="1"/>
  <c r="HA11" i="138"/>
  <c r="AL46" i="37" s="1"/>
  <c r="HA12" i="138"/>
  <c r="HA13" i="138"/>
  <c r="HA14" i="138"/>
  <c r="AL53" i="37" s="1"/>
  <c r="HA15" i="138"/>
  <c r="AL54" i="37" s="1"/>
  <c r="HA16" i="138"/>
  <c r="AL55" i="37" s="1"/>
  <c r="HA17" i="138"/>
  <c r="AL56" i="37" s="1"/>
  <c r="HA18" i="138"/>
  <c r="AL57" i="37" s="1"/>
  <c r="HA19" i="138"/>
  <c r="AL59" i="37" s="1"/>
  <c r="HA20" i="138"/>
  <c r="HA3" i="138"/>
  <c r="AL35" i="35"/>
  <c r="HA4" i="137"/>
  <c r="HB4" i="137"/>
  <c r="HC4" i="137"/>
  <c r="HA5" i="137"/>
  <c r="HB5" i="137"/>
  <c r="HC5" i="137"/>
  <c r="HA6" i="137"/>
  <c r="HB6" i="137"/>
  <c r="HC6" i="137"/>
  <c r="HA7" i="137"/>
  <c r="HB7" i="137"/>
  <c r="HC7" i="137"/>
  <c r="HA8" i="137"/>
  <c r="HB8" i="137"/>
  <c r="HC8" i="137"/>
  <c r="HA9" i="137"/>
  <c r="HB9" i="137"/>
  <c r="HC9" i="137"/>
  <c r="HA10" i="137"/>
  <c r="HB10" i="137"/>
  <c r="HC10" i="137"/>
  <c r="HA11" i="137"/>
  <c r="HB11" i="137"/>
  <c r="HC11" i="137"/>
  <c r="HA12" i="137"/>
  <c r="HB12" i="137"/>
  <c r="HC12" i="137"/>
  <c r="HA13" i="137"/>
  <c r="HB13" i="137"/>
  <c r="HC13" i="137"/>
  <c r="HA14" i="137"/>
  <c r="HB14" i="137"/>
  <c r="HC14" i="137"/>
  <c r="HA15" i="137"/>
  <c r="HB15" i="137"/>
  <c r="HC15" i="137"/>
  <c r="HA16" i="137"/>
  <c r="HB16" i="137"/>
  <c r="HC16" i="137"/>
  <c r="HA17" i="137"/>
  <c r="HB17" i="137"/>
  <c r="HC17" i="137"/>
  <c r="HA18" i="137"/>
  <c r="HB18" i="137"/>
  <c r="HC18" i="137"/>
  <c r="HA19" i="137"/>
  <c r="HB19" i="137"/>
  <c r="HC19" i="137"/>
  <c r="HA20" i="137"/>
  <c r="HB20" i="137"/>
  <c r="HC20" i="137"/>
  <c r="HA21" i="137"/>
  <c r="HB21" i="137"/>
  <c r="HC21" i="137"/>
  <c r="HA22" i="137"/>
  <c r="HB22" i="137"/>
  <c r="HC22" i="137"/>
  <c r="HA23" i="137"/>
  <c r="HB23" i="137"/>
  <c r="HC23" i="137"/>
  <c r="HA24" i="137"/>
  <c r="HB24" i="137"/>
  <c r="HC24" i="137"/>
  <c r="HA25" i="137"/>
  <c r="HB25" i="137"/>
  <c r="HC25" i="137"/>
  <c r="HA26" i="137"/>
  <c r="HB26" i="137"/>
  <c r="HC26" i="137"/>
  <c r="HA27" i="137"/>
  <c r="HB27" i="137"/>
  <c r="HC27" i="137"/>
  <c r="HA28" i="137"/>
  <c r="HB28" i="137"/>
  <c r="HC28" i="137"/>
  <c r="HA29" i="137"/>
  <c r="HB29" i="137"/>
  <c r="HC29" i="137"/>
  <c r="HA30" i="137"/>
  <c r="HB30" i="137"/>
  <c r="HC30" i="137"/>
  <c r="HA31" i="137"/>
  <c r="HB31" i="137"/>
  <c r="HC31" i="137"/>
  <c r="HA32" i="137"/>
  <c r="HB32" i="137"/>
  <c r="HC32" i="137"/>
  <c r="HA33" i="137"/>
  <c r="HB33" i="137"/>
  <c r="HC33" i="137"/>
  <c r="HA34" i="137"/>
  <c r="HB34" i="137"/>
  <c r="HC34" i="137"/>
  <c r="HA35" i="137"/>
  <c r="HB35" i="137"/>
  <c r="HC35" i="137"/>
  <c r="HA36" i="137"/>
  <c r="HB36" i="137"/>
  <c r="HC36" i="137"/>
  <c r="HA37" i="137"/>
  <c r="HB37" i="137"/>
  <c r="HC37" i="137"/>
  <c r="HA38" i="137"/>
  <c r="HB38" i="137"/>
  <c r="HC38" i="137"/>
  <c r="HA39" i="137"/>
  <c r="HB39" i="137"/>
  <c r="HC39" i="137"/>
  <c r="HA40" i="137"/>
  <c r="HB40" i="137"/>
  <c r="HC40" i="137"/>
  <c r="HA41" i="137"/>
  <c r="HB41" i="137"/>
  <c r="HC41" i="137"/>
  <c r="HA42" i="137"/>
  <c r="HB42" i="137"/>
  <c r="HC42" i="137"/>
  <c r="HA43" i="137"/>
  <c r="HB43" i="137"/>
  <c r="HC43" i="137"/>
  <c r="HA44" i="137"/>
  <c r="HB44" i="137"/>
  <c r="HC44" i="137"/>
  <c r="HA45" i="137"/>
  <c r="HB45" i="137"/>
  <c r="HC45" i="137"/>
  <c r="HA46" i="137"/>
  <c r="HB46" i="137"/>
  <c r="HC46" i="137"/>
  <c r="HA47" i="137"/>
  <c r="HB47" i="137"/>
  <c r="HC47" i="137"/>
  <c r="HA48" i="137"/>
  <c r="HB48" i="137"/>
  <c r="HC48" i="137"/>
  <c r="HA49" i="137"/>
  <c r="HB49" i="137"/>
  <c r="HC49" i="137"/>
  <c r="HA50" i="137"/>
  <c r="HB50" i="137"/>
  <c r="HC50" i="137"/>
  <c r="HA51" i="137"/>
  <c r="HB51" i="137"/>
  <c r="HC51" i="137"/>
  <c r="HA52" i="137"/>
  <c r="HB52" i="137"/>
  <c r="HC52" i="137"/>
  <c r="HA53" i="137"/>
  <c r="HB53" i="137"/>
  <c r="HC53" i="137"/>
  <c r="HA54" i="137"/>
  <c r="HB54" i="137"/>
  <c r="HC54" i="137"/>
  <c r="HA55" i="137"/>
  <c r="HB55" i="137"/>
  <c r="HC55" i="137"/>
  <c r="HA56" i="137"/>
  <c r="HB56" i="137"/>
  <c r="HC56" i="137"/>
  <c r="HA57" i="137"/>
  <c r="HB57" i="137"/>
  <c r="HC57" i="137"/>
  <c r="HA58" i="137"/>
  <c r="HB58" i="137"/>
  <c r="HC58" i="137"/>
  <c r="HB3" i="137"/>
  <c r="HC3" i="137"/>
  <c r="HA3" i="137"/>
  <c r="GR4" i="137"/>
  <c r="GR5" i="137"/>
  <c r="AL23" i="35" s="1"/>
  <c r="GR6" i="137"/>
  <c r="AL22" i="35" s="1"/>
  <c r="GR7" i="137"/>
  <c r="AL30" i="35" s="1"/>
  <c r="GR8" i="137"/>
  <c r="AL32" i="35" s="1"/>
  <c r="GR9" i="137"/>
  <c r="AL28" i="35" s="1"/>
  <c r="GR10" i="137"/>
  <c r="AL29" i="35" s="1"/>
  <c r="GR11" i="137"/>
  <c r="AL34" i="35" s="1"/>
  <c r="AL33" i="35" s="1"/>
  <c r="GR12" i="137"/>
  <c r="AL40" i="35" s="1"/>
  <c r="GR13" i="137"/>
  <c r="AL39" i="35" s="1"/>
  <c r="GR14" i="137"/>
  <c r="AL38" i="35" s="1"/>
  <c r="GR15" i="137"/>
  <c r="AL42" i="35" s="1"/>
  <c r="GR16" i="137"/>
  <c r="AL50" i="35" s="1"/>
  <c r="GR17" i="137"/>
  <c r="AL56" i="35" s="1"/>
  <c r="GR18" i="137"/>
  <c r="AL57" i="35" s="1"/>
  <c r="GR19" i="137"/>
  <c r="AL58" i="35" s="1"/>
  <c r="GR20" i="137"/>
  <c r="AL59" i="35" s="1"/>
  <c r="GR21" i="137"/>
  <c r="AL60" i="35" s="1"/>
  <c r="GR3" i="137"/>
  <c r="AL26" i="35" s="1"/>
  <c r="G63" i="4"/>
  <c r="FR165" i="136"/>
  <c r="FR166" i="136"/>
  <c r="FS165" i="136"/>
  <c r="FT165" i="136"/>
  <c r="FS166" i="136"/>
  <c r="FT166" i="136"/>
  <c r="FR163" i="136"/>
  <c r="FS163" i="136"/>
  <c r="FT163" i="136"/>
  <c r="F127" i="39"/>
  <c r="F91" i="39"/>
  <c r="I127" i="39"/>
  <c r="FR4" i="136"/>
  <c r="FS4" i="136"/>
  <c r="FT4" i="136"/>
  <c r="FR5" i="136"/>
  <c r="FS5" i="136"/>
  <c r="FT5" i="136"/>
  <c r="FR6" i="136"/>
  <c r="FS6" i="136"/>
  <c r="FT6" i="136"/>
  <c r="FR7" i="136"/>
  <c r="FS7" i="136"/>
  <c r="FT7" i="136"/>
  <c r="FR8" i="136"/>
  <c r="FS8" i="136"/>
  <c r="FT8" i="136"/>
  <c r="FR9" i="136"/>
  <c r="FS9" i="136"/>
  <c r="FT9" i="136"/>
  <c r="FR10" i="136"/>
  <c r="FS10" i="136"/>
  <c r="FT10" i="136"/>
  <c r="FR11" i="136"/>
  <c r="FS11" i="136"/>
  <c r="FT11" i="136"/>
  <c r="FR12" i="136"/>
  <c r="FS12" i="136"/>
  <c r="FT12" i="136"/>
  <c r="FR13" i="136"/>
  <c r="FS13" i="136"/>
  <c r="FT13" i="136"/>
  <c r="FR14" i="136"/>
  <c r="FS14" i="136"/>
  <c r="FT14" i="136"/>
  <c r="FR15" i="136"/>
  <c r="FS15" i="136"/>
  <c r="FT15" i="136"/>
  <c r="FR16" i="136"/>
  <c r="FS16" i="136"/>
  <c r="FT16" i="136"/>
  <c r="FR17" i="136"/>
  <c r="FS17" i="136"/>
  <c r="FT17" i="136"/>
  <c r="FR18" i="136"/>
  <c r="FS18" i="136"/>
  <c r="FT18" i="136"/>
  <c r="FR19" i="136"/>
  <c r="FS19" i="136"/>
  <c r="FT19" i="136"/>
  <c r="FR20" i="136"/>
  <c r="FS20" i="136"/>
  <c r="FT20" i="136"/>
  <c r="FR21" i="136"/>
  <c r="FS21" i="136"/>
  <c r="FT21" i="136"/>
  <c r="FR22" i="136"/>
  <c r="FS22" i="136"/>
  <c r="FT22" i="136"/>
  <c r="FR23" i="136"/>
  <c r="FS23" i="136"/>
  <c r="FT23" i="136"/>
  <c r="FR24" i="136"/>
  <c r="FS24" i="136"/>
  <c r="FT24" i="136"/>
  <c r="FR25" i="136"/>
  <c r="FS25" i="136"/>
  <c r="FT25" i="136"/>
  <c r="FR26" i="136"/>
  <c r="FS26" i="136"/>
  <c r="FT26" i="136"/>
  <c r="FR27" i="136"/>
  <c r="FS27" i="136"/>
  <c r="FT27" i="136"/>
  <c r="FR28" i="136"/>
  <c r="FS28" i="136"/>
  <c r="FT28" i="136"/>
  <c r="FR29" i="136"/>
  <c r="FS29" i="136"/>
  <c r="FT29" i="136"/>
  <c r="FR30" i="136"/>
  <c r="FS30" i="136"/>
  <c r="FT30" i="136"/>
  <c r="FR31" i="136"/>
  <c r="FS31" i="136"/>
  <c r="FT31" i="136"/>
  <c r="FR32" i="136"/>
  <c r="FS32" i="136"/>
  <c r="FT32" i="136"/>
  <c r="FR33" i="136"/>
  <c r="FS33" i="136"/>
  <c r="FT33" i="136"/>
  <c r="FR34" i="136"/>
  <c r="FS34" i="136"/>
  <c r="FT34" i="136"/>
  <c r="FR35" i="136"/>
  <c r="FS35" i="136"/>
  <c r="FT35" i="136"/>
  <c r="FR36" i="136"/>
  <c r="FS36" i="136"/>
  <c r="FT36" i="136"/>
  <c r="FR37" i="136"/>
  <c r="FS37" i="136"/>
  <c r="FT37" i="136"/>
  <c r="FR38" i="136"/>
  <c r="FS38" i="136"/>
  <c r="FT38" i="136"/>
  <c r="FR39" i="136"/>
  <c r="FS39" i="136"/>
  <c r="FT39" i="136"/>
  <c r="FR40" i="136"/>
  <c r="FS40" i="136"/>
  <c r="FT40" i="136"/>
  <c r="FR41" i="136"/>
  <c r="FS41" i="136"/>
  <c r="FT41" i="136"/>
  <c r="FR42" i="136"/>
  <c r="FS42" i="136"/>
  <c r="FT42" i="136"/>
  <c r="FR43" i="136"/>
  <c r="FS43" i="136"/>
  <c r="FT43" i="136"/>
  <c r="FR44" i="136"/>
  <c r="FS44" i="136"/>
  <c r="FT44" i="136"/>
  <c r="FR45" i="136"/>
  <c r="FS45" i="136"/>
  <c r="FT45" i="136"/>
  <c r="FR46" i="136"/>
  <c r="FS46" i="136"/>
  <c r="FT46" i="136"/>
  <c r="FR47" i="136"/>
  <c r="FS47" i="136"/>
  <c r="FT47" i="136"/>
  <c r="FR48" i="136"/>
  <c r="FS48" i="136"/>
  <c r="FT48" i="136"/>
  <c r="FR49" i="136"/>
  <c r="FS49" i="136"/>
  <c r="FT49" i="136"/>
  <c r="FR50" i="136"/>
  <c r="FS50" i="136"/>
  <c r="FT50" i="136"/>
  <c r="FR51" i="136"/>
  <c r="FS51" i="136"/>
  <c r="FT51" i="136"/>
  <c r="FR52" i="136"/>
  <c r="FS52" i="136"/>
  <c r="FT52" i="136"/>
  <c r="FR53" i="136"/>
  <c r="FS53" i="136"/>
  <c r="FT53" i="136"/>
  <c r="FR54" i="136"/>
  <c r="FS54" i="136"/>
  <c r="FT54" i="136"/>
  <c r="FR55" i="136"/>
  <c r="FS55" i="136"/>
  <c r="FT55" i="136"/>
  <c r="FR56" i="136"/>
  <c r="FS56" i="136"/>
  <c r="FT56" i="136"/>
  <c r="FR57" i="136"/>
  <c r="FS57" i="136"/>
  <c r="FT57" i="136"/>
  <c r="FR58" i="136"/>
  <c r="FS58" i="136"/>
  <c r="FT58" i="136"/>
  <c r="FR59" i="136"/>
  <c r="FS59" i="136"/>
  <c r="FT59" i="136"/>
  <c r="FR60" i="136"/>
  <c r="FS60" i="136"/>
  <c r="FT60" i="136"/>
  <c r="FR61" i="136"/>
  <c r="FS61" i="136"/>
  <c r="FT61" i="136"/>
  <c r="FR62" i="136"/>
  <c r="FS62" i="136"/>
  <c r="FT62" i="136"/>
  <c r="FR63" i="136"/>
  <c r="FS63" i="136"/>
  <c r="FT63" i="136"/>
  <c r="FR64" i="136"/>
  <c r="FS64" i="136"/>
  <c r="FT64" i="136"/>
  <c r="FR65" i="136"/>
  <c r="FS65" i="136"/>
  <c r="FT65" i="136"/>
  <c r="L79" i="39" s="1"/>
  <c r="FR66" i="136"/>
  <c r="FS66" i="136"/>
  <c r="FT66" i="136"/>
  <c r="FR67" i="136"/>
  <c r="FS67" i="136"/>
  <c r="FT67" i="136"/>
  <c r="FR68" i="136"/>
  <c r="FS68" i="136"/>
  <c r="FT68" i="136"/>
  <c r="FR69" i="136"/>
  <c r="FS69" i="136"/>
  <c r="FT69" i="136"/>
  <c r="FR70" i="136"/>
  <c r="FS70" i="136"/>
  <c r="FT70" i="136"/>
  <c r="FR71" i="136"/>
  <c r="FS71" i="136"/>
  <c r="FT71" i="136"/>
  <c r="FR72" i="136"/>
  <c r="FS72" i="136"/>
  <c r="FT72" i="136"/>
  <c r="FR73" i="136"/>
  <c r="FS73" i="136"/>
  <c r="FT73" i="136"/>
  <c r="FR74" i="136"/>
  <c r="FS74" i="136"/>
  <c r="FT74" i="136"/>
  <c r="FR75" i="136"/>
  <c r="FS75" i="136"/>
  <c r="FT75" i="136"/>
  <c r="FR76" i="136"/>
  <c r="FS76" i="136"/>
  <c r="FT76" i="136"/>
  <c r="FR77" i="136"/>
  <c r="FS77" i="136"/>
  <c r="FT77" i="136"/>
  <c r="FR78" i="136"/>
  <c r="FS78" i="136"/>
  <c r="FT78" i="136"/>
  <c r="FR79" i="136"/>
  <c r="FS79" i="136"/>
  <c r="FT79" i="136"/>
  <c r="FR80" i="136"/>
  <c r="FS80" i="136"/>
  <c r="FT80" i="136"/>
  <c r="FR81" i="136"/>
  <c r="FS81" i="136"/>
  <c r="FT81" i="136"/>
  <c r="FR82" i="136"/>
  <c r="FS82" i="136"/>
  <c r="FT82" i="136"/>
  <c r="FR83" i="136"/>
  <c r="FS83" i="136"/>
  <c r="FT83" i="136"/>
  <c r="FR84" i="136"/>
  <c r="FS84" i="136"/>
  <c r="FT84" i="136"/>
  <c r="FR85" i="136"/>
  <c r="FS85" i="136"/>
  <c r="FT85" i="136"/>
  <c r="FR86" i="136"/>
  <c r="FS86" i="136"/>
  <c r="FT86" i="136"/>
  <c r="FR87" i="136"/>
  <c r="FS87" i="136"/>
  <c r="FT87" i="136"/>
  <c r="FR88" i="136"/>
  <c r="FS88" i="136"/>
  <c r="FT88" i="136"/>
  <c r="FR89" i="136"/>
  <c r="FS89" i="136"/>
  <c r="FT89" i="136"/>
  <c r="FR90" i="136"/>
  <c r="FS90" i="136"/>
  <c r="FT90" i="136"/>
  <c r="FR91" i="136"/>
  <c r="FS91" i="136"/>
  <c r="FT91" i="136"/>
  <c r="FR92" i="136"/>
  <c r="FS92" i="136"/>
  <c r="FT92" i="136"/>
  <c r="FR93" i="136"/>
  <c r="FS93" i="136"/>
  <c r="FT93" i="136"/>
  <c r="FR94" i="136"/>
  <c r="FS94" i="136"/>
  <c r="FT94" i="136"/>
  <c r="FR95" i="136"/>
  <c r="FS95" i="136"/>
  <c r="FT95" i="136"/>
  <c r="FR96" i="136"/>
  <c r="FS96" i="136"/>
  <c r="FT96" i="136"/>
  <c r="FR97" i="136"/>
  <c r="FS97" i="136"/>
  <c r="FT97" i="136"/>
  <c r="FR98" i="136"/>
  <c r="FS98" i="136"/>
  <c r="FT98" i="136"/>
  <c r="FR99" i="136"/>
  <c r="FS99" i="136"/>
  <c r="FT99" i="136"/>
  <c r="FR100" i="136"/>
  <c r="FS100" i="136"/>
  <c r="FT100" i="136"/>
  <c r="FR101" i="136"/>
  <c r="FS101" i="136"/>
  <c r="FT101" i="136"/>
  <c r="FR102" i="136"/>
  <c r="FS102" i="136"/>
  <c r="FT102" i="136"/>
  <c r="FR103" i="136"/>
  <c r="FS103" i="136"/>
  <c r="FT103" i="136"/>
  <c r="FR104" i="136"/>
  <c r="FS104" i="136"/>
  <c r="FT104" i="136"/>
  <c r="FR105" i="136"/>
  <c r="FS105" i="136"/>
  <c r="FT105" i="136"/>
  <c r="FR106" i="136"/>
  <c r="FS106" i="136"/>
  <c r="FT106" i="136"/>
  <c r="L127" i="39" s="1"/>
  <c r="FR107" i="136"/>
  <c r="FS107" i="136"/>
  <c r="FT107" i="136"/>
  <c r="FR108" i="136"/>
  <c r="FS108" i="136"/>
  <c r="FT108" i="136"/>
  <c r="FR109" i="136"/>
  <c r="FS109" i="136"/>
  <c r="FT109" i="136"/>
  <c r="FR110" i="136"/>
  <c r="FS110" i="136"/>
  <c r="FT110" i="136"/>
  <c r="FR111" i="136"/>
  <c r="FS111" i="136"/>
  <c r="FT111" i="136"/>
  <c r="FR112" i="136"/>
  <c r="FS112" i="136"/>
  <c r="FT112" i="136"/>
  <c r="FR113" i="136"/>
  <c r="FS113" i="136"/>
  <c r="FT113" i="136"/>
  <c r="FR114" i="136"/>
  <c r="FS114" i="136"/>
  <c r="FT114" i="136"/>
  <c r="FR115" i="136"/>
  <c r="FS115" i="136"/>
  <c r="FT115" i="136"/>
  <c r="FR116" i="136"/>
  <c r="FS116" i="136"/>
  <c r="FT116" i="136"/>
  <c r="FR117" i="136"/>
  <c r="FS117" i="136"/>
  <c r="FT117" i="136"/>
  <c r="FR118" i="136"/>
  <c r="FS118" i="136"/>
  <c r="FT118" i="136"/>
  <c r="FR119" i="136"/>
  <c r="FS119" i="136"/>
  <c r="FT119" i="136"/>
  <c r="FR120" i="136"/>
  <c r="FS120" i="136"/>
  <c r="FT120" i="136"/>
  <c r="FR121" i="136"/>
  <c r="FS121" i="136"/>
  <c r="FT121" i="136"/>
  <c r="FR122" i="136"/>
  <c r="FS122" i="136"/>
  <c r="FT122" i="136"/>
  <c r="FR123" i="136"/>
  <c r="FS123" i="136"/>
  <c r="FT123" i="136"/>
  <c r="FR124" i="136"/>
  <c r="FS124" i="136"/>
  <c r="FT124" i="136"/>
  <c r="FR125" i="136"/>
  <c r="FS125" i="136"/>
  <c r="FT125" i="136"/>
  <c r="FR126" i="136"/>
  <c r="FS126" i="136"/>
  <c r="FT126" i="136"/>
  <c r="FR127" i="136"/>
  <c r="FS127" i="136"/>
  <c r="FT127" i="136"/>
  <c r="FR128" i="136"/>
  <c r="FS128" i="136"/>
  <c r="FT128" i="136"/>
  <c r="FR129" i="136"/>
  <c r="FS129" i="136"/>
  <c r="FT129" i="136"/>
  <c r="FR130" i="136"/>
  <c r="FS130" i="136"/>
  <c r="FT130" i="136"/>
  <c r="FR131" i="136"/>
  <c r="FS131" i="136"/>
  <c r="FT131" i="136"/>
  <c r="FR132" i="136"/>
  <c r="FS132" i="136"/>
  <c r="FT132" i="136"/>
  <c r="FR133" i="136"/>
  <c r="FS133" i="136"/>
  <c r="FT133" i="136"/>
  <c r="FR134" i="136"/>
  <c r="FS134" i="136"/>
  <c r="FT134" i="136"/>
  <c r="FR135" i="136"/>
  <c r="FS135" i="136"/>
  <c r="FT135" i="136"/>
  <c r="FR136" i="136"/>
  <c r="FS136" i="136"/>
  <c r="FT136" i="136"/>
  <c r="FR137" i="136"/>
  <c r="FS137" i="136"/>
  <c r="FT137" i="136"/>
  <c r="FR138" i="136"/>
  <c r="FS138" i="136"/>
  <c r="FT138" i="136"/>
  <c r="FR139" i="136"/>
  <c r="FS139" i="136"/>
  <c r="FT139" i="136"/>
  <c r="FR140" i="136"/>
  <c r="FS140" i="136"/>
  <c r="FT140" i="136"/>
  <c r="FR141" i="136"/>
  <c r="FS141" i="136"/>
  <c r="FT141" i="136"/>
  <c r="FR142" i="136"/>
  <c r="FS142" i="136"/>
  <c r="FT142" i="136"/>
  <c r="FR143" i="136"/>
  <c r="FS143" i="136"/>
  <c r="FT143" i="136"/>
  <c r="FR144" i="136"/>
  <c r="FS144" i="136"/>
  <c r="FT144" i="136"/>
  <c r="FR145" i="136"/>
  <c r="FS145" i="136"/>
  <c r="FT145" i="136"/>
  <c r="FR146" i="136"/>
  <c r="FS146" i="136"/>
  <c r="FT146" i="136"/>
  <c r="FR147" i="136"/>
  <c r="FS147" i="136"/>
  <c r="FT147" i="136"/>
  <c r="FR148" i="136"/>
  <c r="FS148" i="136"/>
  <c r="FT148" i="136"/>
  <c r="FR149" i="136"/>
  <c r="FS149" i="136"/>
  <c r="FT149" i="136"/>
  <c r="FR150" i="136"/>
  <c r="FS150" i="136"/>
  <c r="FT150" i="136"/>
  <c r="FR151" i="136"/>
  <c r="FS151" i="136"/>
  <c r="FT151" i="136"/>
  <c r="FR152" i="136"/>
  <c r="FS152" i="136"/>
  <c r="FT152" i="136"/>
  <c r="FR153" i="136"/>
  <c r="FS153" i="136"/>
  <c r="FT153" i="136"/>
  <c r="FR154" i="136"/>
  <c r="FS154" i="136"/>
  <c r="FT154" i="136"/>
  <c r="FR155" i="136"/>
  <c r="FS155" i="136"/>
  <c r="FT155" i="136"/>
  <c r="FR156" i="136"/>
  <c r="FS156" i="136"/>
  <c r="FT156" i="136"/>
  <c r="FR157" i="136"/>
  <c r="FS157" i="136"/>
  <c r="FT157" i="136"/>
  <c r="FR158" i="136"/>
  <c r="FS158" i="136"/>
  <c r="FT158" i="136"/>
  <c r="FR159" i="136"/>
  <c r="FS159" i="136"/>
  <c r="FT159" i="136"/>
  <c r="FR160" i="136"/>
  <c r="FS160" i="136"/>
  <c r="FT160" i="136"/>
  <c r="FR161" i="136"/>
  <c r="FS161" i="136"/>
  <c r="FT161" i="136"/>
  <c r="FR162" i="136"/>
  <c r="FS162" i="136"/>
  <c r="FT162" i="136"/>
  <c r="FR164" i="136"/>
  <c r="FS164" i="136"/>
  <c r="FT164" i="136"/>
  <c r="FR167" i="136"/>
  <c r="FS167" i="136"/>
  <c r="FT167" i="136"/>
  <c r="FS3" i="136"/>
  <c r="FT3" i="136"/>
  <c r="FR3" i="136"/>
  <c r="FL4" i="136"/>
  <c r="AM11" i="4" s="1"/>
  <c r="FL5" i="136"/>
  <c r="AM12" i="4" s="1"/>
  <c r="FL6" i="136"/>
  <c r="AM13" i="4" s="1"/>
  <c r="FL7" i="136"/>
  <c r="AM14" i="4" s="1"/>
  <c r="FL8" i="136"/>
  <c r="AM15" i="4" s="1"/>
  <c r="FL9" i="136"/>
  <c r="AM17" i="4" s="1"/>
  <c r="FL10" i="136"/>
  <c r="AM18" i="4" s="1"/>
  <c r="FL11" i="136"/>
  <c r="AM19" i="4" s="1"/>
  <c r="FL12" i="136"/>
  <c r="AM20" i="4" s="1"/>
  <c r="FL13" i="136"/>
  <c r="AM21" i="4" s="1"/>
  <c r="FL14" i="136"/>
  <c r="AM22" i="4" s="1"/>
  <c r="FL15" i="136"/>
  <c r="AM23" i="4" s="1"/>
  <c r="FL16" i="136"/>
  <c r="AM26" i="4" s="1"/>
  <c r="FL17" i="136"/>
  <c r="AM27" i="4" s="1"/>
  <c r="FL18" i="136"/>
  <c r="AM28" i="4" s="1"/>
  <c r="FL19" i="136"/>
  <c r="AM29" i="4" s="1"/>
  <c r="FL20" i="136"/>
  <c r="AM30" i="4" s="1"/>
  <c r="FL21" i="136"/>
  <c r="AM31" i="4" s="1"/>
  <c r="FL22" i="136"/>
  <c r="AM33" i="4" s="1"/>
  <c r="FL23" i="136"/>
  <c r="AM34" i="4" s="1"/>
  <c r="FL24" i="136"/>
  <c r="AM35" i="4" s="1"/>
  <c r="FL25" i="136"/>
  <c r="AM36" i="4" s="1"/>
  <c r="FL26" i="136"/>
  <c r="AM38" i="4" s="1"/>
  <c r="FL27" i="136"/>
  <c r="AM39" i="4" s="1"/>
  <c r="FL28" i="136"/>
  <c r="AM41" i="4" s="1"/>
  <c r="FL29" i="136"/>
  <c r="AM42" i="4" s="1"/>
  <c r="FL30" i="136"/>
  <c r="AM43" i="4" s="1"/>
  <c r="FL31" i="136"/>
  <c r="AM44" i="4" s="1"/>
  <c r="FL32" i="136"/>
  <c r="AM45" i="4" s="1"/>
  <c r="FL33" i="136"/>
  <c r="AM46" i="4" s="1"/>
  <c r="FL34" i="136"/>
  <c r="AM47" i="4" s="1"/>
  <c r="FL35" i="136"/>
  <c r="AM49" i="4" s="1"/>
  <c r="FL36" i="136"/>
  <c r="AM50" i="4" s="1"/>
  <c r="FL37" i="136"/>
  <c r="AM51" i="4" s="1"/>
  <c r="FL38" i="136"/>
  <c r="AM52" i="4" s="1"/>
  <c r="FL39" i="136"/>
  <c r="AM53" i="4" s="1"/>
  <c r="FL40" i="136"/>
  <c r="AM54" i="4" s="1"/>
  <c r="FL41" i="136"/>
  <c r="AM57" i="4" s="1"/>
  <c r="FL42" i="136"/>
  <c r="AM58" i="4" s="1"/>
  <c r="FL43" i="136"/>
  <c r="AM59" i="4" s="1"/>
  <c r="FL44" i="136"/>
  <c r="AM60" i="4" s="1"/>
  <c r="FL45" i="136"/>
  <c r="AM61" i="4" s="1"/>
  <c r="FL46" i="136"/>
  <c r="AM62" i="4" s="1"/>
  <c r="FL47" i="136"/>
  <c r="AM63" i="4" s="1"/>
  <c r="FL48" i="136"/>
  <c r="AM64" i="4" s="1"/>
  <c r="FL49" i="136"/>
  <c r="AM65" i="4" s="1"/>
  <c r="FL50" i="136"/>
  <c r="AM66" i="4" s="1"/>
  <c r="FL51" i="136"/>
  <c r="AM67" i="4" s="1"/>
  <c r="FL52" i="136"/>
  <c r="AM69" i="4" s="1"/>
  <c r="FL53" i="136"/>
  <c r="AM70" i="4" s="1"/>
  <c r="FL54" i="136"/>
  <c r="AM72" i="4" s="1"/>
  <c r="FL55" i="136"/>
  <c r="AM73" i="4" s="1"/>
  <c r="FL56" i="136"/>
  <c r="AM74" i="4" s="1"/>
  <c r="FL57" i="136"/>
  <c r="AM75" i="4" s="1"/>
  <c r="FL58" i="136"/>
  <c r="AM76" i="4" s="1"/>
  <c r="FL59" i="136"/>
  <c r="AM77" i="4" s="1"/>
  <c r="FL60" i="136"/>
  <c r="AM79" i="4" s="1"/>
  <c r="FL61" i="136"/>
  <c r="AM80" i="4" s="1"/>
  <c r="FL62" i="136"/>
  <c r="AM89" i="4" s="1"/>
  <c r="FL63" i="136"/>
  <c r="AM90" i="4" s="1"/>
  <c r="FL64" i="136"/>
  <c r="AM93" i="4" s="1"/>
  <c r="FL65" i="136"/>
  <c r="AM95" i="4" s="1"/>
  <c r="FL66" i="136"/>
  <c r="AM97" i="4" s="1"/>
  <c r="FL67" i="136"/>
  <c r="AM98" i="4" s="1"/>
  <c r="FL68" i="136"/>
  <c r="AM99" i="4" s="1"/>
  <c r="FL69" i="136"/>
  <c r="AM100" i="4" s="1"/>
  <c r="FL70" i="136"/>
  <c r="AM101" i="4" s="1"/>
  <c r="FL71" i="136"/>
  <c r="AM102" i="4" s="1"/>
  <c r="FL72" i="136"/>
  <c r="AM103" i="4" s="1"/>
  <c r="FL73" i="136"/>
  <c r="AM104" i="4" s="1"/>
  <c r="FL74" i="136"/>
  <c r="AM105" i="4" s="1"/>
  <c r="FL75" i="136"/>
  <c r="AM106" i="4" s="1"/>
  <c r="FL76" i="136"/>
  <c r="AM107" i="4" s="1"/>
  <c r="FL77" i="136"/>
  <c r="AM108" i="4" s="1"/>
  <c r="FL78" i="136"/>
  <c r="AM111" i="4" s="1"/>
  <c r="FL79" i="136"/>
  <c r="AM112" i="4" s="1"/>
  <c r="FL80" i="136"/>
  <c r="AM113" i="4" s="1"/>
  <c r="FL81" i="136"/>
  <c r="AM114" i="4" s="1"/>
  <c r="FL82" i="136"/>
  <c r="AM116" i="4" s="1"/>
  <c r="FL83" i="136"/>
  <c r="AM118" i="4" s="1"/>
  <c r="FL84" i="136"/>
  <c r="AM120" i="4" s="1"/>
  <c r="FL85" i="136"/>
  <c r="AM121" i="4" s="1"/>
  <c r="FL86" i="136"/>
  <c r="AM124" i="4" s="1"/>
  <c r="FL87" i="136"/>
  <c r="AM125" i="4" s="1"/>
  <c r="FL88" i="136"/>
  <c r="AM126" i="4" s="1"/>
  <c r="FL89" i="136"/>
  <c r="AM127" i="4" s="1"/>
  <c r="FL90" i="136"/>
  <c r="AM128" i="4" s="1"/>
  <c r="FL91" i="136"/>
  <c r="AM129" i="4" s="1"/>
  <c r="FL92" i="136"/>
  <c r="AM130" i="4" s="1"/>
  <c r="FL93" i="136"/>
  <c r="AM131" i="4" s="1"/>
  <c r="FL94" i="136"/>
  <c r="AM132" i="4" s="1"/>
  <c r="FL95" i="136"/>
  <c r="AM133" i="4" s="1"/>
  <c r="FL96" i="136"/>
  <c r="AM134" i="4" s="1"/>
  <c r="FL97" i="136"/>
  <c r="AM135" i="4" s="1"/>
  <c r="FL98" i="136"/>
  <c r="AM136" i="4" s="1"/>
  <c r="FL99" i="136"/>
  <c r="AM140" i="4" s="1"/>
  <c r="FL100" i="136"/>
  <c r="AM141" i="4" s="1"/>
  <c r="FL101" i="136"/>
  <c r="AM142" i="4" s="1"/>
  <c r="FL102" i="136"/>
  <c r="AM143" i="4" s="1"/>
  <c r="FL103" i="136"/>
  <c r="AM144" i="4" s="1"/>
  <c r="FL104" i="136"/>
  <c r="AM145" i="4" s="1"/>
  <c r="FL105" i="136"/>
  <c r="AM146" i="4" s="1"/>
  <c r="FL106" i="136"/>
  <c r="AM148" i="4" s="1"/>
  <c r="FL107" i="136"/>
  <c r="AM149" i="4" s="1"/>
  <c r="FL108" i="136"/>
  <c r="AM152" i="4" s="1"/>
  <c r="FL109" i="136"/>
  <c r="AM154" i="4" s="1"/>
  <c r="FL110" i="136"/>
  <c r="AM156" i="4" s="1"/>
  <c r="FL111" i="136"/>
  <c r="AM165" i="4" s="1"/>
  <c r="FL112" i="136"/>
  <c r="AM167" i="4" s="1"/>
  <c r="FL113" i="136"/>
  <c r="AM168" i="4" s="1"/>
  <c r="FL114" i="136"/>
  <c r="AM172" i="4" s="1"/>
  <c r="FL115" i="136"/>
  <c r="AM176" i="4" s="1"/>
  <c r="FL116" i="136"/>
  <c r="AM178" i="4" s="1"/>
  <c r="FL117" i="136"/>
  <c r="AM183" i="4" s="1"/>
  <c r="FL118" i="136"/>
  <c r="AM187" i="4" s="1"/>
  <c r="FL119" i="136"/>
  <c r="AM188" i="4" s="1"/>
  <c r="FL120" i="136"/>
  <c r="AM189" i="4" s="1"/>
  <c r="FL121" i="136"/>
  <c r="AM194" i="4" s="1"/>
  <c r="FL122" i="136"/>
  <c r="AM202" i="4" s="1"/>
  <c r="FL123" i="136"/>
  <c r="AM203" i="4" s="1"/>
  <c r="FL124" i="136"/>
  <c r="AM205" i="4" s="1"/>
  <c r="FL125" i="136"/>
  <c r="AM206" i="4" s="1"/>
  <c r="FL126" i="136"/>
  <c r="AM207" i="4" s="1"/>
  <c r="FL3" i="136"/>
  <c r="AM10" i="4" s="1"/>
  <c r="FK127" i="136"/>
  <c r="EE4" i="139"/>
  <c r="EF4" i="139"/>
  <c r="EG4" i="139"/>
  <c r="EE5" i="139"/>
  <c r="EF5" i="139"/>
  <c r="EG5" i="139"/>
  <c r="EE6" i="139"/>
  <c r="EF6" i="139"/>
  <c r="EG6" i="139"/>
  <c r="EE7" i="139"/>
  <c r="EF7" i="139"/>
  <c r="EG7" i="139"/>
  <c r="EE8" i="139"/>
  <c r="EF8" i="139"/>
  <c r="EG8" i="139"/>
  <c r="EF3" i="139"/>
  <c r="EG3" i="139"/>
  <c r="EE3" i="139"/>
  <c r="AK41" i="37"/>
  <c r="AK38" i="37"/>
  <c r="AK37" i="37" s="1"/>
  <c r="AK35" i="37"/>
  <c r="AK33" i="37"/>
  <c r="AK18" i="37"/>
  <c r="GR4" i="138"/>
  <c r="GS4" i="138"/>
  <c r="GT4" i="138"/>
  <c r="GR5" i="138"/>
  <c r="GS5" i="138"/>
  <c r="GT5" i="138"/>
  <c r="GR6" i="138"/>
  <c r="GS6" i="138"/>
  <c r="GT6" i="138"/>
  <c r="GR7" i="138"/>
  <c r="GS7" i="138"/>
  <c r="GT7" i="138"/>
  <c r="GR8" i="138"/>
  <c r="GS8" i="138"/>
  <c r="GT8" i="138"/>
  <c r="GR9" i="138"/>
  <c r="GS9" i="138"/>
  <c r="GT9" i="138"/>
  <c r="GR10" i="138"/>
  <c r="GS10" i="138"/>
  <c r="GT10" i="138"/>
  <c r="GR11" i="138"/>
  <c r="GS11" i="138"/>
  <c r="GT11" i="138"/>
  <c r="GR12" i="138"/>
  <c r="GS12" i="138"/>
  <c r="GT12" i="138"/>
  <c r="GR13" i="138"/>
  <c r="GS13" i="138"/>
  <c r="GT13" i="138"/>
  <c r="GR14" i="138"/>
  <c r="GS14" i="138"/>
  <c r="GT14" i="138"/>
  <c r="GR15" i="138"/>
  <c r="GS15" i="138"/>
  <c r="GT15" i="138"/>
  <c r="GR16" i="138"/>
  <c r="GS16" i="138"/>
  <c r="GT16" i="138"/>
  <c r="GR17" i="138"/>
  <c r="GS17" i="138"/>
  <c r="GT17" i="138"/>
  <c r="GR18" i="138"/>
  <c r="GS18" i="138"/>
  <c r="GT18" i="138"/>
  <c r="GR19" i="138"/>
  <c r="GS19" i="138"/>
  <c r="GT19" i="138"/>
  <c r="GR20" i="138"/>
  <c r="GS20" i="138"/>
  <c r="GT20" i="138"/>
  <c r="GR21" i="138"/>
  <c r="GS21" i="138"/>
  <c r="GT21" i="138"/>
  <c r="GR22" i="138"/>
  <c r="GS22" i="138"/>
  <c r="GT22" i="138"/>
  <c r="GR23" i="138"/>
  <c r="GS23" i="138"/>
  <c r="GT23" i="138"/>
  <c r="GR24" i="138"/>
  <c r="GS24" i="138"/>
  <c r="GT24" i="138"/>
  <c r="GR25" i="138"/>
  <c r="GS25" i="138"/>
  <c r="GT25" i="138"/>
  <c r="GR26" i="138"/>
  <c r="GS26" i="138"/>
  <c r="GT26" i="138"/>
  <c r="GR27" i="138"/>
  <c r="GS27" i="138"/>
  <c r="GT27" i="138"/>
  <c r="GR28" i="138"/>
  <c r="GS28" i="138"/>
  <c r="GT28" i="138"/>
  <c r="GR29" i="138"/>
  <c r="GS29" i="138"/>
  <c r="GT29" i="138"/>
  <c r="GR30" i="138"/>
  <c r="GS30" i="138"/>
  <c r="GT30" i="138"/>
  <c r="GR31" i="138"/>
  <c r="GS31" i="138"/>
  <c r="GT31" i="138"/>
  <c r="GR32" i="138"/>
  <c r="GS32" i="138"/>
  <c r="GT32" i="138"/>
  <c r="GR33" i="138"/>
  <c r="GS33" i="138"/>
  <c r="GT33" i="138"/>
  <c r="GR34" i="138"/>
  <c r="GS34" i="138"/>
  <c r="GT34" i="138"/>
  <c r="GR35" i="138"/>
  <c r="GS35" i="138"/>
  <c r="GT35" i="138"/>
  <c r="GR36" i="138"/>
  <c r="GS36" i="138"/>
  <c r="GT36" i="138"/>
  <c r="GR37" i="138"/>
  <c r="GS37" i="138"/>
  <c r="GT37" i="138"/>
  <c r="GR38" i="138"/>
  <c r="GS38" i="138"/>
  <c r="GT38" i="138"/>
  <c r="GR39" i="138"/>
  <c r="GS39" i="138"/>
  <c r="GT39" i="138"/>
  <c r="GR40" i="138"/>
  <c r="GS40" i="138"/>
  <c r="GT40" i="138"/>
  <c r="GR41" i="138"/>
  <c r="GS41" i="138"/>
  <c r="GT41" i="138"/>
  <c r="GR42" i="138"/>
  <c r="GS42" i="138"/>
  <c r="GT42" i="138"/>
  <c r="GR43" i="138"/>
  <c r="GS43" i="138"/>
  <c r="GT43" i="138"/>
  <c r="GR44" i="138"/>
  <c r="GS44" i="138"/>
  <c r="GT44" i="138"/>
  <c r="GR45" i="138"/>
  <c r="GS45" i="138"/>
  <c r="GT45" i="138"/>
  <c r="GR46" i="138"/>
  <c r="GS46" i="138"/>
  <c r="GT46" i="138"/>
  <c r="GR47" i="138"/>
  <c r="GS47" i="138"/>
  <c r="GT47" i="138"/>
  <c r="GR48" i="138"/>
  <c r="GS48" i="138"/>
  <c r="GT48" i="138"/>
  <c r="GR49" i="138"/>
  <c r="GS49" i="138"/>
  <c r="GT49" i="138"/>
  <c r="GR50" i="138"/>
  <c r="GS50" i="138"/>
  <c r="GT50" i="138"/>
  <c r="GR51" i="138"/>
  <c r="GS51" i="138"/>
  <c r="GT51" i="138"/>
  <c r="GR52" i="138"/>
  <c r="GS52" i="138"/>
  <c r="GT52" i="138"/>
  <c r="GR53" i="138"/>
  <c r="GS53" i="138"/>
  <c r="GT53" i="138"/>
  <c r="GR54" i="138"/>
  <c r="GS54" i="138"/>
  <c r="GT54" i="138"/>
  <c r="GR55" i="138"/>
  <c r="GS55" i="138"/>
  <c r="GT55" i="138"/>
  <c r="GR56" i="138"/>
  <c r="GS56" i="138"/>
  <c r="GT56" i="138"/>
  <c r="GS3" i="138"/>
  <c r="GT3" i="138"/>
  <c r="GR3" i="138"/>
  <c r="GI4" i="138"/>
  <c r="GI5" i="138"/>
  <c r="AK19" i="37" s="1"/>
  <c r="GI6" i="138"/>
  <c r="AK20" i="37" s="1"/>
  <c r="GI7" i="138"/>
  <c r="AK17" i="37" s="1"/>
  <c r="GI8" i="138"/>
  <c r="AK23" i="37" s="1"/>
  <c r="GI9" i="138"/>
  <c r="AK30" i="37" s="1"/>
  <c r="AK29" i="37" s="1"/>
  <c r="GI10" i="138"/>
  <c r="AK46" i="37" s="1"/>
  <c r="GI11" i="138"/>
  <c r="AK47" i="37" s="1"/>
  <c r="GI12" i="138"/>
  <c r="AK48" i="37" s="1"/>
  <c r="GI13" i="138"/>
  <c r="AK49" i="37" s="1"/>
  <c r="GI14" i="138"/>
  <c r="AK51" i="37" s="1"/>
  <c r="GI15" i="138"/>
  <c r="AK52" i="37" s="1"/>
  <c r="GI16" i="138"/>
  <c r="AK53" i="37" s="1"/>
  <c r="GI17" i="138"/>
  <c r="AK54" i="37" s="1"/>
  <c r="GI18" i="138"/>
  <c r="AK55" i="37" s="1"/>
  <c r="GI19" i="138"/>
  <c r="AK56" i="37" s="1"/>
  <c r="GI20" i="138"/>
  <c r="AK57" i="37" s="1"/>
  <c r="GI21" i="138"/>
  <c r="AK59" i="37" s="1"/>
  <c r="GI3" i="138"/>
  <c r="AK15" i="37" s="1"/>
  <c r="GI3" i="137"/>
  <c r="N12" i="35"/>
  <c r="O12" i="35" s="1"/>
  <c r="N31" i="35"/>
  <c r="O31" i="35" s="1"/>
  <c r="AK33" i="35"/>
  <c r="AK35" i="35"/>
  <c r="GI4" i="137"/>
  <c r="GJ4" i="137"/>
  <c r="GK4" i="137"/>
  <c r="GI5" i="137"/>
  <c r="GJ5" i="137"/>
  <c r="GK5" i="137"/>
  <c r="GI6" i="137"/>
  <c r="GJ6" i="137"/>
  <c r="GK6" i="137"/>
  <c r="GI7" i="137"/>
  <c r="GJ7" i="137"/>
  <c r="GK7" i="137"/>
  <c r="GI8" i="137"/>
  <c r="GJ8" i="137"/>
  <c r="GK8" i="137"/>
  <c r="GI9" i="137"/>
  <c r="GJ9" i="137"/>
  <c r="GK9" i="137"/>
  <c r="GI10" i="137"/>
  <c r="GJ10" i="137"/>
  <c r="GK10" i="137"/>
  <c r="GI11" i="137"/>
  <c r="GJ11" i="137"/>
  <c r="GK11" i="137"/>
  <c r="GI12" i="137"/>
  <c r="GJ12" i="137"/>
  <c r="GK12" i="137"/>
  <c r="GI13" i="137"/>
  <c r="GJ13" i="137"/>
  <c r="GK13" i="137"/>
  <c r="GI14" i="137"/>
  <c r="GJ14" i="137"/>
  <c r="GK14" i="137"/>
  <c r="GI15" i="137"/>
  <c r="GJ15" i="137"/>
  <c r="GK15" i="137"/>
  <c r="GI16" i="137"/>
  <c r="GJ16" i="137"/>
  <c r="GK16" i="137"/>
  <c r="GI17" i="137"/>
  <c r="GJ17" i="137"/>
  <c r="GK17" i="137"/>
  <c r="GI18" i="137"/>
  <c r="GJ18" i="137"/>
  <c r="GK18" i="137"/>
  <c r="GI19" i="137"/>
  <c r="GJ19" i="137"/>
  <c r="GK19" i="137"/>
  <c r="GI20" i="137"/>
  <c r="GJ20" i="137"/>
  <c r="GK20" i="137"/>
  <c r="GI21" i="137"/>
  <c r="GJ21" i="137"/>
  <c r="GK21" i="137"/>
  <c r="GI22" i="137"/>
  <c r="GJ22" i="137"/>
  <c r="GK22" i="137"/>
  <c r="GI23" i="137"/>
  <c r="GJ23" i="137"/>
  <c r="GK23" i="137"/>
  <c r="GI24" i="137"/>
  <c r="GJ24" i="137"/>
  <c r="GK24" i="137"/>
  <c r="GI25" i="137"/>
  <c r="GJ25" i="137"/>
  <c r="GK25" i="137"/>
  <c r="GI26" i="137"/>
  <c r="GJ26" i="137"/>
  <c r="GK26" i="137"/>
  <c r="GI27" i="137"/>
  <c r="GJ27" i="137"/>
  <c r="GK27" i="137"/>
  <c r="GI28" i="137"/>
  <c r="GJ28" i="137"/>
  <c r="GK28" i="137"/>
  <c r="GI29" i="137"/>
  <c r="GJ29" i="137"/>
  <c r="GK29" i="137"/>
  <c r="GI30" i="137"/>
  <c r="GJ30" i="137"/>
  <c r="GK30" i="137"/>
  <c r="GI31" i="137"/>
  <c r="GJ31" i="137"/>
  <c r="GK31" i="137"/>
  <c r="GI32" i="137"/>
  <c r="GJ32" i="137"/>
  <c r="GK32" i="137"/>
  <c r="GI33" i="137"/>
  <c r="GJ33" i="137"/>
  <c r="GK33" i="137"/>
  <c r="GI34" i="137"/>
  <c r="GJ34" i="137"/>
  <c r="GK34" i="137"/>
  <c r="GI35" i="137"/>
  <c r="GJ35" i="137"/>
  <c r="GK35" i="137"/>
  <c r="GI36" i="137"/>
  <c r="GJ36" i="137"/>
  <c r="GK36" i="137"/>
  <c r="GI37" i="137"/>
  <c r="GJ37" i="137"/>
  <c r="GK37" i="137"/>
  <c r="GI38" i="137"/>
  <c r="GJ38" i="137"/>
  <c r="GK38" i="137"/>
  <c r="GI39" i="137"/>
  <c r="GJ39" i="137"/>
  <c r="GK39" i="137"/>
  <c r="GI40" i="137"/>
  <c r="GJ40" i="137"/>
  <c r="GK40" i="137"/>
  <c r="GI41" i="137"/>
  <c r="GJ41" i="137"/>
  <c r="GK41" i="137"/>
  <c r="GI42" i="137"/>
  <c r="GJ42" i="137"/>
  <c r="GK42" i="137"/>
  <c r="GI43" i="137"/>
  <c r="GJ43" i="137"/>
  <c r="GK43" i="137"/>
  <c r="GI44" i="137"/>
  <c r="GJ44" i="137"/>
  <c r="GK44" i="137"/>
  <c r="GI45" i="137"/>
  <c r="GJ45" i="137"/>
  <c r="GK45" i="137"/>
  <c r="GI46" i="137"/>
  <c r="GJ46" i="137"/>
  <c r="GK46" i="137"/>
  <c r="GI47" i="137"/>
  <c r="GJ47" i="137"/>
  <c r="GK47" i="137"/>
  <c r="GI48" i="137"/>
  <c r="GJ48" i="137"/>
  <c r="GK48" i="137"/>
  <c r="GI49" i="137"/>
  <c r="GJ49" i="137"/>
  <c r="GK49" i="137"/>
  <c r="GI50" i="137"/>
  <c r="GJ50" i="137"/>
  <c r="GK50" i="137"/>
  <c r="GI51" i="137"/>
  <c r="GJ51" i="137"/>
  <c r="GK51" i="137"/>
  <c r="GI52" i="137"/>
  <c r="GJ52" i="137"/>
  <c r="GK52" i="137"/>
  <c r="GI53" i="137"/>
  <c r="GJ53" i="137"/>
  <c r="GK53" i="137"/>
  <c r="GI54" i="137"/>
  <c r="GJ54" i="137"/>
  <c r="GK54" i="137"/>
  <c r="GI55" i="137"/>
  <c r="GJ55" i="137"/>
  <c r="GK55" i="137"/>
  <c r="GJ3" i="137"/>
  <c r="GK3" i="137"/>
  <c r="FZ4" i="137"/>
  <c r="AK32" i="35" s="1"/>
  <c r="FZ5" i="137"/>
  <c r="AK29" i="35" s="1"/>
  <c r="FZ6" i="137"/>
  <c r="AK30" i="35" s="1"/>
  <c r="FZ7" i="137"/>
  <c r="AK28" i="35" s="1"/>
  <c r="FZ8" i="137"/>
  <c r="AK42" i="35" s="1"/>
  <c r="FZ9" i="137"/>
  <c r="AK39" i="35" s="1"/>
  <c r="FZ10" i="137"/>
  <c r="AK56" i="35" s="1"/>
  <c r="FZ11" i="137"/>
  <c r="AK57" i="35" s="1"/>
  <c r="FZ12" i="137"/>
  <c r="AK58" i="35" s="1"/>
  <c r="FZ13" i="137"/>
  <c r="AK59" i="35" s="1"/>
  <c r="FZ3" i="137"/>
  <c r="AK22" i="35" s="1"/>
  <c r="AK21" i="35" s="1"/>
  <c r="FC4" i="136"/>
  <c r="FD4" i="136"/>
  <c r="FE4" i="136"/>
  <c r="FF4" i="136"/>
  <c r="FG4" i="136"/>
  <c r="FC5" i="136"/>
  <c r="FD5" i="136"/>
  <c r="FE5" i="136"/>
  <c r="FF5" i="136"/>
  <c r="FG5" i="136"/>
  <c r="FC6" i="136"/>
  <c r="FD6" i="136"/>
  <c r="FE6" i="136"/>
  <c r="FF6" i="136"/>
  <c r="FG6" i="136"/>
  <c r="FC7" i="136"/>
  <c r="FD7" i="136"/>
  <c r="FE7" i="136"/>
  <c r="FF7" i="136"/>
  <c r="FG7" i="136"/>
  <c r="FC8" i="136"/>
  <c r="FD8" i="136"/>
  <c r="FE8" i="136"/>
  <c r="FF8" i="136"/>
  <c r="FG8" i="136"/>
  <c r="FC9" i="136"/>
  <c r="FD9" i="136"/>
  <c r="FE9" i="136"/>
  <c r="FF9" i="136"/>
  <c r="FG9" i="136"/>
  <c r="FC10" i="136"/>
  <c r="FD10" i="136"/>
  <c r="FE10" i="136"/>
  <c r="FF10" i="136"/>
  <c r="FG10" i="136"/>
  <c r="FC11" i="136"/>
  <c r="FD11" i="136"/>
  <c r="FE11" i="136"/>
  <c r="FF11" i="136"/>
  <c r="FG11" i="136"/>
  <c r="FC12" i="136"/>
  <c r="FD12" i="136"/>
  <c r="FE12" i="136"/>
  <c r="FF12" i="136"/>
  <c r="FG12" i="136"/>
  <c r="FC13" i="136"/>
  <c r="FD13" i="136"/>
  <c r="FE13" i="136"/>
  <c r="FF13" i="136"/>
  <c r="FG13" i="136"/>
  <c r="FC14" i="136"/>
  <c r="FD14" i="136"/>
  <c r="FE14" i="136"/>
  <c r="FF14" i="136"/>
  <c r="FG14" i="136"/>
  <c r="FC15" i="136"/>
  <c r="FD15" i="136"/>
  <c r="FE15" i="136"/>
  <c r="FF15" i="136"/>
  <c r="FG15" i="136"/>
  <c r="FC16" i="136"/>
  <c r="FD16" i="136"/>
  <c r="FE16" i="136"/>
  <c r="FF16" i="136"/>
  <c r="FG16" i="136"/>
  <c r="FC17" i="136"/>
  <c r="FD17" i="136"/>
  <c r="FE17" i="136"/>
  <c r="FF17" i="136"/>
  <c r="FG17" i="136"/>
  <c r="FC18" i="136"/>
  <c r="FD18" i="136"/>
  <c r="FE18" i="136"/>
  <c r="FF18" i="136"/>
  <c r="FG18" i="136"/>
  <c r="FC19" i="136"/>
  <c r="FD19" i="136"/>
  <c r="FE19" i="136"/>
  <c r="FF19" i="136"/>
  <c r="FG19" i="136"/>
  <c r="FC20" i="136"/>
  <c r="FD20" i="136"/>
  <c r="FE20" i="136"/>
  <c r="FF20" i="136"/>
  <c r="FG20" i="136"/>
  <c r="FC21" i="136"/>
  <c r="FD21" i="136"/>
  <c r="FE21" i="136"/>
  <c r="FF21" i="136"/>
  <c r="FG21" i="136"/>
  <c r="FC22" i="136"/>
  <c r="FD22" i="136"/>
  <c r="FE22" i="136"/>
  <c r="FF22" i="136"/>
  <c r="FG22" i="136"/>
  <c r="FC23" i="136"/>
  <c r="FD23" i="136"/>
  <c r="FE23" i="136"/>
  <c r="FF23" i="136"/>
  <c r="FG23" i="136"/>
  <c r="FC24" i="136"/>
  <c r="FD24" i="136"/>
  <c r="FE24" i="136"/>
  <c r="FF24" i="136"/>
  <c r="FG24" i="136"/>
  <c r="FC25" i="136"/>
  <c r="FD25" i="136"/>
  <c r="FE25" i="136"/>
  <c r="FF25" i="136"/>
  <c r="FG25" i="136"/>
  <c r="FC26" i="136"/>
  <c r="FD26" i="136"/>
  <c r="FE26" i="136"/>
  <c r="FF26" i="136"/>
  <c r="FG26" i="136"/>
  <c r="FC27" i="136"/>
  <c r="FD27" i="136"/>
  <c r="FE27" i="136"/>
  <c r="FF27" i="136"/>
  <c r="FG27" i="136"/>
  <c r="FC28" i="136"/>
  <c r="FD28" i="136"/>
  <c r="FE28" i="136"/>
  <c r="FF28" i="136"/>
  <c r="FG28" i="136"/>
  <c r="FC29" i="136"/>
  <c r="FD29" i="136"/>
  <c r="FE29" i="136"/>
  <c r="FF29" i="136"/>
  <c r="FG29" i="136"/>
  <c r="FC30" i="136"/>
  <c r="FD30" i="136"/>
  <c r="FE30" i="136"/>
  <c r="FF30" i="136"/>
  <c r="FG30" i="136"/>
  <c r="FC31" i="136"/>
  <c r="FD31" i="136"/>
  <c r="FE31" i="136"/>
  <c r="FF31" i="136"/>
  <c r="FG31" i="136"/>
  <c r="FC32" i="136"/>
  <c r="FD32" i="136"/>
  <c r="FE32" i="136"/>
  <c r="FF32" i="136"/>
  <c r="FG32" i="136"/>
  <c r="FC33" i="136"/>
  <c r="FD33" i="136"/>
  <c r="FE33" i="136"/>
  <c r="FF33" i="136"/>
  <c r="FG33" i="136"/>
  <c r="FC34" i="136"/>
  <c r="FD34" i="136"/>
  <c r="FE34" i="136"/>
  <c r="FF34" i="136"/>
  <c r="FG34" i="136"/>
  <c r="FC35" i="136"/>
  <c r="FD35" i="136"/>
  <c r="FE35" i="136"/>
  <c r="FF35" i="136"/>
  <c r="FG35" i="136"/>
  <c r="FC36" i="136"/>
  <c r="FD36" i="136"/>
  <c r="FE36" i="136"/>
  <c r="FF36" i="136"/>
  <c r="FG36" i="136"/>
  <c r="FC37" i="136"/>
  <c r="FD37" i="136"/>
  <c r="FE37" i="136"/>
  <c r="FF37" i="136"/>
  <c r="FG37" i="136"/>
  <c r="FC38" i="136"/>
  <c r="FD38" i="136"/>
  <c r="FE38" i="136"/>
  <c r="FF38" i="136"/>
  <c r="FG38" i="136"/>
  <c r="FC39" i="136"/>
  <c r="FD39" i="136"/>
  <c r="FE39" i="136"/>
  <c r="FF39" i="136"/>
  <c r="FG39" i="136"/>
  <c r="FC40" i="136"/>
  <c r="FD40" i="136"/>
  <c r="FE40" i="136"/>
  <c r="FF40" i="136"/>
  <c r="FG40" i="136"/>
  <c r="FC41" i="136"/>
  <c r="FD41" i="136"/>
  <c r="FE41" i="136"/>
  <c r="FF41" i="136"/>
  <c r="FG41" i="136"/>
  <c r="FC42" i="136"/>
  <c r="FD42" i="136"/>
  <c r="FE42" i="136"/>
  <c r="FF42" i="136"/>
  <c r="FG42" i="136"/>
  <c r="FC43" i="136"/>
  <c r="FD43" i="136"/>
  <c r="FE43" i="136"/>
  <c r="FF43" i="136"/>
  <c r="FG43" i="136"/>
  <c r="FC44" i="136"/>
  <c r="FD44" i="136"/>
  <c r="FE44" i="136"/>
  <c r="FF44" i="136"/>
  <c r="FG44" i="136"/>
  <c r="FC45" i="136"/>
  <c r="FD45" i="136"/>
  <c r="FE45" i="136"/>
  <c r="FF45" i="136"/>
  <c r="FG45" i="136"/>
  <c r="FC46" i="136"/>
  <c r="FD46" i="136"/>
  <c r="FE46" i="136"/>
  <c r="FF46" i="136"/>
  <c r="FG46" i="136"/>
  <c r="FC47" i="136"/>
  <c r="FD47" i="136"/>
  <c r="FE47" i="136"/>
  <c r="FF47" i="136"/>
  <c r="FG47" i="136"/>
  <c r="FC48" i="136"/>
  <c r="FD48" i="136"/>
  <c r="FE48" i="136"/>
  <c r="FF48" i="136"/>
  <c r="FG48" i="136"/>
  <c r="FC49" i="136"/>
  <c r="FD49" i="136"/>
  <c r="FE49" i="136"/>
  <c r="FF49" i="136"/>
  <c r="FG49" i="136"/>
  <c r="FC50" i="136"/>
  <c r="FD50" i="136"/>
  <c r="FE50" i="136"/>
  <c r="FF50" i="136"/>
  <c r="FG50" i="136"/>
  <c r="FC51" i="136"/>
  <c r="FD51" i="136"/>
  <c r="FE51" i="136"/>
  <c r="FF51" i="136"/>
  <c r="FG51" i="136"/>
  <c r="FC52" i="136"/>
  <c r="FD52" i="136"/>
  <c r="FE52" i="136"/>
  <c r="FF52" i="136"/>
  <c r="FG52" i="136"/>
  <c r="FC53" i="136"/>
  <c r="FD53" i="136"/>
  <c r="FE53" i="136"/>
  <c r="FF53" i="136"/>
  <c r="FG53" i="136"/>
  <c r="FC54" i="136"/>
  <c r="FD54" i="136"/>
  <c r="FE54" i="136"/>
  <c r="FF54" i="136"/>
  <c r="FG54" i="136"/>
  <c r="FC55" i="136"/>
  <c r="FD55" i="136"/>
  <c r="FE55" i="136"/>
  <c r="FF55" i="136"/>
  <c r="FG55" i="136"/>
  <c r="FC56" i="136"/>
  <c r="FD56" i="136"/>
  <c r="FE56" i="136"/>
  <c r="FF56" i="136"/>
  <c r="FG56" i="136"/>
  <c r="FC57" i="136"/>
  <c r="FD57" i="136"/>
  <c r="FE57" i="136"/>
  <c r="FF57" i="136"/>
  <c r="FG57" i="136"/>
  <c r="FC58" i="136"/>
  <c r="FD58" i="136"/>
  <c r="FE58" i="136"/>
  <c r="FF58" i="136"/>
  <c r="FG58" i="136"/>
  <c r="FC59" i="136"/>
  <c r="FD59" i="136"/>
  <c r="FE59" i="136"/>
  <c r="FF59" i="136"/>
  <c r="FG59" i="136"/>
  <c r="FC60" i="136"/>
  <c r="FD60" i="136"/>
  <c r="FE60" i="136"/>
  <c r="FF60" i="136"/>
  <c r="FG60" i="136"/>
  <c r="FC61" i="136"/>
  <c r="FD61" i="136"/>
  <c r="FE61" i="136"/>
  <c r="FF61" i="136"/>
  <c r="FG61" i="136"/>
  <c r="FC62" i="136"/>
  <c r="FD62" i="136"/>
  <c r="FE62" i="136"/>
  <c r="FF62" i="136"/>
  <c r="FG62" i="136"/>
  <c r="FC63" i="136"/>
  <c r="FD63" i="136"/>
  <c r="FE63" i="136"/>
  <c r="FF63" i="136"/>
  <c r="FG63" i="136"/>
  <c r="FC64" i="136"/>
  <c r="FD64" i="136"/>
  <c r="FE64" i="136"/>
  <c r="FF64" i="136"/>
  <c r="FG64" i="136"/>
  <c r="FC65" i="136"/>
  <c r="FD65" i="136"/>
  <c r="FE65" i="136"/>
  <c r="FF65" i="136"/>
  <c r="FG65" i="136"/>
  <c r="FC66" i="136"/>
  <c r="FD66" i="136"/>
  <c r="FE66" i="136"/>
  <c r="FF66" i="136"/>
  <c r="FG66" i="136"/>
  <c r="FC67" i="136"/>
  <c r="FD67" i="136"/>
  <c r="FE67" i="136"/>
  <c r="FF67" i="136"/>
  <c r="FG67" i="136"/>
  <c r="FC68" i="136"/>
  <c r="FD68" i="136"/>
  <c r="FE68" i="136"/>
  <c r="FF68" i="136"/>
  <c r="FG68" i="136"/>
  <c r="FC69" i="136"/>
  <c r="FD69" i="136"/>
  <c r="FE69" i="136"/>
  <c r="FF69" i="136"/>
  <c r="FG69" i="136"/>
  <c r="FC70" i="136"/>
  <c r="FD70" i="136"/>
  <c r="FE70" i="136"/>
  <c r="FF70" i="136"/>
  <c r="FG70" i="136"/>
  <c r="FC71" i="136"/>
  <c r="FD71" i="136"/>
  <c r="FE71" i="136"/>
  <c r="FF71" i="136"/>
  <c r="FG71" i="136"/>
  <c r="FC72" i="136"/>
  <c r="FD72" i="136"/>
  <c r="FE72" i="136"/>
  <c r="FF72" i="136"/>
  <c r="FG72" i="136"/>
  <c r="FC73" i="136"/>
  <c r="FD73" i="136"/>
  <c r="FE73" i="136"/>
  <c r="FF73" i="136"/>
  <c r="FG73" i="136"/>
  <c r="FC74" i="136"/>
  <c r="FD74" i="136"/>
  <c r="FE74" i="136"/>
  <c r="FF74" i="136"/>
  <c r="FG74" i="136"/>
  <c r="FC75" i="136"/>
  <c r="FD75" i="136"/>
  <c r="FE75" i="136"/>
  <c r="FF75" i="136"/>
  <c r="FG75" i="136"/>
  <c r="FC76" i="136"/>
  <c r="FD76" i="136"/>
  <c r="FE76" i="136"/>
  <c r="FF76" i="136"/>
  <c r="FG76" i="136"/>
  <c r="FC77" i="136"/>
  <c r="FD77" i="136"/>
  <c r="FE77" i="136"/>
  <c r="FF77" i="136"/>
  <c r="FG77" i="136"/>
  <c r="FC78" i="136"/>
  <c r="FD78" i="136"/>
  <c r="FE78" i="136"/>
  <c r="FF78" i="136"/>
  <c r="FG78" i="136"/>
  <c r="FC79" i="136"/>
  <c r="FD79" i="136"/>
  <c r="FE79" i="136"/>
  <c r="FF79" i="136"/>
  <c r="FG79" i="136"/>
  <c r="FC80" i="136"/>
  <c r="FD80" i="136"/>
  <c r="FE80" i="136"/>
  <c r="FF80" i="136"/>
  <c r="FG80" i="136"/>
  <c r="FC81" i="136"/>
  <c r="FD81" i="136"/>
  <c r="FE81" i="136"/>
  <c r="FF81" i="136"/>
  <c r="FG81" i="136"/>
  <c r="FC82" i="136"/>
  <c r="FD82" i="136"/>
  <c r="FE82" i="136"/>
  <c r="FF82" i="136"/>
  <c r="FG82" i="136"/>
  <c r="FC83" i="136"/>
  <c r="FD83" i="136"/>
  <c r="FE83" i="136"/>
  <c r="FF83" i="136"/>
  <c r="FG83" i="136"/>
  <c r="FC84" i="136"/>
  <c r="FD84" i="136"/>
  <c r="FE84" i="136"/>
  <c r="FF84" i="136"/>
  <c r="FG84" i="136"/>
  <c r="FC85" i="136"/>
  <c r="FD85" i="136"/>
  <c r="FE85" i="136"/>
  <c r="FF85" i="136"/>
  <c r="FG85" i="136"/>
  <c r="FC86" i="136"/>
  <c r="FD86" i="136"/>
  <c r="FE86" i="136"/>
  <c r="FF86" i="136"/>
  <c r="FG86" i="136"/>
  <c r="FC87" i="136"/>
  <c r="FD87" i="136"/>
  <c r="FE87" i="136"/>
  <c r="FF87" i="136"/>
  <c r="FG87" i="136"/>
  <c r="FC88" i="136"/>
  <c r="FD88" i="136"/>
  <c r="FE88" i="136"/>
  <c r="FF88" i="136"/>
  <c r="FG88" i="136"/>
  <c r="FC89" i="136"/>
  <c r="FD89" i="136"/>
  <c r="FE89" i="136"/>
  <c r="FF89" i="136"/>
  <c r="FG89" i="136"/>
  <c r="FC90" i="136"/>
  <c r="FD90" i="136"/>
  <c r="FE90" i="136"/>
  <c r="FF90" i="136"/>
  <c r="FG90" i="136"/>
  <c r="FC91" i="136"/>
  <c r="FD91" i="136"/>
  <c r="FE91" i="136"/>
  <c r="FF91" i="136"/>
  <c r="FG91" i="136"/>
  <c r="FC92" i="136"/>
  <c r="FD92" i="136"/>
  <c r="FE92" i="136"/>
  <c r="FF92" i="136"/>
  <c r="FG92" i="136"/>
  <c r="FC93" i="136"/>
  <c r="FD93" i="136"/>
  <c r="FE93" i="136"/>
  <c r="FF93" i="136"/>
  <c r="FG93" i="136"/>
  <c r="FC94" i="136"/>
  <c r="FD94" i="136"/>
  <c r="FE94" i="136"/>
  <c r="FF94" i="136"/>
  <c r="FG94" i="136"/>
  <c r="FC95" i="136"/>
  <c r="FD95" i="136"/>
  <c r="FE95" i="136"/>
  <c r="FF95" i="136"/>
  <c r="FG95" i="136"/>
  <c r="FC96" i="136"/>
  <c r="FD96" i="136"/>
  <c r="FE96" i="136"/>
  <c r="FF96" i="136"/>
  <c r="FG96" i="136"/>
  <c r="FC97" i="136"/>
  <c r="FD97" i="136"/>
  <c r="FE97" i="136"/>
  <c r="FF97" i="136"/>
  <c r="FG97" i="136"/>
  <c r="FC98" i="136"/>
  <c r="FD98" i="136"/>
  <c r="FE98" i="136"/>
  <c r="FF98" i="136"/>
  <c r="FG98" i="136"/>
  <c r="FC99" i="136"/>
  <c r="FD99" i="136"/>
  <c r="FE99" i="136"/>
  <c r="FF99" i="136"/>
  <c r="FG99" i="136"/>
  <c r="FC100" i="136"/>
  <c r="FD100" i="136"/>
  <c r="FE100" i="136"/>
  <c r="FF100" i="136"/>
  <c r="FG100" i="136"/>
  <c r="FC101" i="136"/>
  <c r="FD101" i="136"/>
  <c r="FE101" i="136"/>
  <c r="FF101" i="136"/>
  <c r="FG101" i="136"/>
  <c r="FC102" i="136"/>
  <c r="FD102" i="136"/>
  <c r="FE102" i="136"/>
  <c r="FF102" i="136"/>
  <c r="FG102" i="136"/>
  <c r="FC103" i="136"/>
  <c r="FD103" i="136"/>
  <c r="FE103" i="136"/>
  <c r="FF103" i="136"/>
  <c r="FG103" i="136"/>
  <c r="FC104" i="136"/>
  <c r="FD104" i="136"/>
  <c r="FE104" i="136"/>
  <c r="FF104" i="136"/>
  <c r="FG104" i="136"/>
  <c r="FC105" i="136"/>
  <c r="FD105" i="136"/>
  <c r="FE105" i="136"/>
  <c r="FF105" i="136"/>
  <c r="FG105" i="136"/>
  <c r="FC106" i="136"/>
  <c r="FD106" i="136"/>
  <c r="FE106" i="136"/>
  <c r="FF106" i="136"/>
  <c r="FG106" i="136"/>
  <c r="FC107" i="136"/>
  <c r="FD107" i="136"/>
  <c r="FE107" i="136"/>
  <c r="FF107" i="136"/>
  <c r="FG107" i="136"/>
  <c r="FC108" i="136"/>
  <c r="FD108" i="136"/>
  <c r="FE108" i="136"/>
  <c r="FF108" i="136"/>
  <c r="FG108" i="136"/>
  <c r="FC109" i="136"/>
  <c r="FD109" i="136"/>
  <c r="FE109" i="136"/>
  <c r="FF109" i="136"/>
  <c r="FG109" i="136"/>
  <c r="FC110" i="136"/>
  <c r="FD110" i="136"/>
  <c r="FE110" i="136"/>
  <c r="FF110" i="136"/>
  <c r="FG110" i="136"/>
  <c r="FC111" i="136"/>
  <c r="FD111" i="136"/>
  <c r="FE111" i="136"/>
  <c r="FF111" i="136"/>
  <c r="FG111" i="136"/>
  <c r="FC112" i="136"/>
  <c r="FD112" i="136"/>
  <c r="FE112" i="136"/>
  <c r="FF112" i="136"/>
  <c r="FG112" i="136"/>
  <c r="FC113" i="136"/>
  <c r="FD113" i="136"/>
  <c r="FE113" i="136"/>
  <c r="FF113" i="136"/>
  <c r="FG113" i="136"/>
  <c r="FC114" i="136"/>
  <c r="FD114" i="136"/>
  <c r="FE114" i="136"/>
  <c r="FF114" i="136"/>
  <c r="FG114" i="136"/>
  <c r="FC115" i="136"/>
  <c r="FD115" i="136"/>
  <c r="FE115" i="136"/>
  <c r="FF115" i="136"/>
  <c r="FG115" i="136"/>
  <c r="FC116" i="136"/>
  <c r="FD116" i="136"/>
  <c r="FE116" i="136"/>
  <c r="FF116" i="136"/>
  <c r="FG116" i="136"/>
  <c r="FC117" i="136"/>
  <c r="FD117" i="136"/>
  <c r="FE117" i="136"/>
  <c r="FF117" i="136"/>
  <c r="FG117" i="136"/>
  <c r="FC118" i="136"/>
  <c r="FD118" i="136"/>
  <c r="FE118" i="136"/>
  <c r="FF118" i="136"/>
  <c r="FG118" i="136"/>
  <c r="FC119" i="136"/>
  <c r="FD119" i="136"/>
  <c r="FE119" i="136"/>
  <c r="FF119" i="136"/>
  <c r="FG119" i="136"/>
  <c r="FC120" i="136"/>
  <c r="FD120" i="136"/>
  <c r="FE120" i="136"/>
  <c r="FF120" i="136"/>
  <c r="FG120" i="136"/>
  <c r="FC121" i="136"/>
  <c r="FD121" i="136"/>
  <c r="FE121" i="136"/>
  <c r="FF121" i="136"/>
  <c r="FG121" i="136"/>
  <c r="FC122" i="136"/>
  <c r="FD122" i="136"/>
  <c r="FE122" i="136"/>
  <c r="FF122" i="136"/>
  <c r="FG122" i="136"/>
  <c r="FC123" i="136"/>
  <c r="FD123" i="136"/>
  <c r="FE123" i="136"/>
  <c r="FF123" i="136"/>
  <c r="FG123" i="136"/>
  <c r="FC124" i="136"/>
  <c r="FD124" i="136"/>
  <c r="FE124" i="136"/>
  <c r="FF124" i="136"/>
  <c r="FG124" i="136"/>
  <c r="FC125" i="136"/>
  <c r="FD125" i="136"/>
  <c r="FE125" i="136"/>
  <c r="FF125" i="136"/>
  <c r="FG125" i="136"/>
  <c r="FC126" i="136"/>
  <c r="FD126" i="136"/>
  <c r="FE126" i="136"/>
  <c r="FF126" i="136"/>
  <c r="FG126" i="136"/>
  <c r="FC127" i="136"/>
  <c r="FD127" i="136"/>
  <c r="FE127" i="136"/>
  <c r="FF127" i="136"/>
  <c r="FG127" i="136"/>
  <c r="FC128" i="136"/>
  <c r="FD128" i="136"/>
  <c r="FE128" i="136"/>
  <c r="FF128" i="136"/>
  <c r="FG128" i="136"/>
  <c r="FC129" i="136"/>
  <c r="FD129" i="136"/>
  <c r="FE129" i="136"/>
  <c r="FF129" i="136"/>
  <c r="FG129" i="136"/>
  <c r="FC130" i="136"/>
  <c r="FD130" i="136"/>
  <c r="FE130" i="136"/>
  <c r="FF130" i="136"/>
  <c r="FG130" i="136"/>
  <c r="FC131" i="136"/>
  <c r="FD131" i="136"/>
  <c r="FE131" i="136"/>
  <c r="FF131" i="136"/>
  <c r="FG131" i="136"/>
  <c r="FC132" i="136"/>
  <c r="FD132" i="136"/>
  <c r="FE132" i="136"/>
  <c r="FF132" i="136"/>
  <c r="FG132" i="136"/>
  <c r="FC133" i="136"/>
  <c r="FD133" i="136"/>
  <c r="FE133" i="136"/>
  <c r="FF133" i="136"/>
  <c r="FG133" i="136"/>
  <c r="FC134" i="136"/>
  <c r="FD134" i="136"/>
  <c r="FE134" i="136"/>
  <c r="FF134" i="136"/>
  <c r="FG134" i="136"/>
  <c r="FC135" i="136"/>
  <c r="FD135" i="136"/>
  <c r="FE135" i="136"/>
  <c r="FF135" i="136"/>
  <c r="FG135" i="136"/>
  <c r="FC136" i="136"/>
  <c r="FD136" i="136"/>
  <c r="FE136" i="136"/>
  <c r="FF136" i="136"/>
  <c r="FG136" i="136"/>
  <c r="FC137" i="136"/>
  <c r="FD137" i="136"/>
  <c r="FE137" i="136"/>
  <c r="FF137" i="136"/>
  <c r="FG137" i="136"/>
  <c r="FC138" i="136"/>
  <c r="FD138" i="136"/>
  <c r="FE138" i="136"/>
  <c r="FF138" i="136"/>
  <c r="FG138" i="136"/>
  <c r="FC139" i="136"/>
  <c r="FD139" i="136"/>
  <c r="FE139" i="136"/>
  <c r="FF139" i="136"/>
  <c r="FG139" i="136"/>
  <c r="FC140" i="136"/>
  <c r="FD140" i="136"/>
  <c r="FE140" i="136"/>
  <c r="FF140" i="136"/>
  <c r="FG140" i="136"/>
  <c r="FC141" i="136"/>
  <c r="FD141" i="136"/>
  <c r="FE141" i="136"/>
  <c r="FF141" i="136"/>
  <c r="FG141" i="136"/>
  <c r="FC142" i="136"/>
  <c r="FD142" i="136"/>
  <c r="FE142" i="136"/>
  <c r="FF142" i="136"/>
  <c r="FG142" i="136"/>
  <c r="FC143" i="136"/>
  <c r="FD143" i="136"/>
  <c r="FE143" i="136"/>
  <c r="FF143" i="136"/>
  <c r="FG143" i="136"/>
  <c r="FC144" i="136"/>
  <c r="FD144" i="136"/>
  <c r="FE144" i="136"/>
  <c r="FF144" i="136"/>
  <c r="FG144" i="136"/>
  <c r="FC145" i="136"/>
  <c r="FD145" i="136"/>
  <c r="FE145" i="136"/>
  <c r="FF145" i="136"/>
  <c r="FG145" i="136"/>
  <c r="FC146" i="136"/>
  <c r="FD146" i="136"/>
  <c r="FE146" i="136"/>
  <c r="FF146" i="136"/>
  <c r="FG146" i="136"/>
  <c r="FC147" i="136"/>
  <c r="FD147" i="136"/>
  <c r="FE147" i="136"/>
  <c r="FF147" i="136"/>
  <c r="FG147" i="136"/>
  <c r="FC148" i="136"/>
  <c r="FD148" i="136"/>
  <c r="FE148" i="136"/>
  <c r="FF148" i="136"/>
  <c r="FG148" i="136"/>
  <c r="FC149" i="136"/>
  <c r="FD149" i="136"/>
  <c r="FE149" i="136"/>
  <c r="FF149" i="136"/>
  <c r="FG149" i="136"/>
  <c r="FC150" i="136"/>
  <c r="FD150" i="136"/>
  <c r="FE150" i="136"/>
  <c r="FF150" i="136"/>
  <c r="FG150" i="136"/>
  <c r="FC151" i="136"/>
  <c r="FD151" i="136"/>
  <c r="FE151" i="136"/>
  <c r="FF151" i="136"/>
  <c r="FG151" i="136"/>
  <c r="FC152" i="136"/>
  <c r="FD152" i="136"/>
  <c r="FE152" i="136"/>
  <c r="FF152" i="136"/>
  <c r="FG152" i="136"/>
  <c r="FC153" i="136"/>
  <c r="FD153" i="136"/>
  <c r="FE153" i="136"/>
  <c r="FF153" i="136"/>
  <c r="FG153" i="136"/>
  <c r="FC154" i="136"/>
  <c r="FD154" i="136"/>
  <c r="FE154" i="136"/>
  <c r="FF154" i="136"/>
  <c r="FG154" i="136"/>
  <c r="FC155" i="136"/>
  <c r="FD155" i="136"/>
  <c r="FE155" i="136"/>
  <c r="FF155" i="136"/>
  <c r="FG155" i="136"/>
  <c r="FC156" i="136"/>
  <c r="FD156" i="136"/>
  <c r="FE156" i="136"/>
  <c r="FF156" i="136"/>
  <c r="FG156" i="136"/>
  <c r="FC157" i="136"/>
  <c r="FD157" i="136"/>
  <c r="FE157" i="136"/>
  <c r="FF157" i="136"/>
  <c r="FG157" i="136"/>
  <c r="FC158" i="136"/>
  <c r="FD158" i="136"/>
  <c r="FE158" i="136"/>
  <c r="FF158" i="136"/>
  <c r="FG158" i="136"/>
  <c r="FC159" i="136"/>
  <c r="FD159" i="136"/>
  <c r="FE159" i="136"/>
  <c r="FF159" i="136"/>
  <c r="FG159" i="136"/>
  <c r="FC160" i="136"/>
  <c r="FD160" i="136"/>
  <c r="FE160" i="136"/>
  <c r="FF160" i="136"/>
  <c r="FG160" i="136"/>
  <c r="FC161" i="136"/>
  <c r="FD161" i="136"/>
  <c r="FE161" i="136"/>
  <c r="FF161" i="136"/>
  <c r="FG161" i="136"/>
  <c r="FC162" i="136"/>
  <c r="FD162" i="136"/>
  <c r="FE162" i="136"/>
  <c r="FF162" i="136"/>
  <c r="FG162" i="136"/>
  <c r="FC163" i="136"/>
  <c r="FD163" i="136"/>
  <c r="FE163" i="136"/>
  <c r="FF163" i="136"/>
  <c r="FG163" i="136"/>
  <c r="FC164" i="136"/>
  <c r="FD164" i="136"/>
  <c r="FE164" i="136"/>
  <c r="FF164" i="136"/>
  <c r="FG164" i="136"/>
  <c r="FC165" i="136"/>
  <c r="FD165" i="136"/>
  <c r="FE165" i="136"/>
  <c r="FF165" i="136"/>
  <c r="FG165" i="136"/>
  <c r="FC166" i="136"/>
  <c r="FD166" i="136"/>
  <c r="FE166" i="136"/>
  <c r="FF166" i="136"/>
  <c r="FG166" i="136"/>
  <c r="FC167" i="136"/>
  <c r="FD167" i="136"/>
  <c r="FE167" i="136"/>
  <c r="FF167" i="136"/>
  <c r="FG167" i="136"/>
  <c r="FC168" i="136"/>
  <c r="FD168" i="136"/>
  <c r="FE168" i="136"/>
  <c r="FF168" i="136"/>
  <c r="FG168" i="136"/>
  <c r="FC169" i="136"/>
  <c r="FD169" i="136"/>
  <c r="FE169" i="136"/>
  <c r="FF169" i="136"/>
  <c r="FG169" i="136"/>
  <c r="FC170" i="136"/>
  <c r="FD170" i="136"/>
  <c r="FE170" i="136"/>
  <c r="FF170" i="136"/>
  <c r="FG170" i="136"/>
  <c r="FC171" i="136"/>
  <c r="FD171" i="136"/>
  <c r="FE171" i="136"/>
  <c r="FF171" i="136"/>
  <c r="FG171" i="136"/>
  <c r="FC172" i="136"/>
  <c r="FD172" i="136"/>
  <c r="FE172" i="136"/>
  <c r="FF172" i="136"/>
  <c r="FG172" i="136"/>
  <c r="FC173" i="136"/>
  <c r="FD173" i="136"/>
  <c r="FE173" i="136"/>
  <c r="FF173" i="136"/>
  <c r="FG173" i="136"/>
  <c r="FC174" i="136"/>
  <c r="FD174" i="136"/>
  <c r="FE174" i="136"/>
  <c r="FF174" i="136"/>
  <c r="FG174" i="136"/>
  <c r="FC175" i="136"/>
  <c r="FD175" i="136"/>
  <c r="FE175" i="136"/>
  <c r="FF175" i="136"/>
  <c r="FG175" i="136"/>
  <c r="FC176" i="136"/>
  <c r="FD176" i="136"/>
  <c r="FE176" i="136"/>
  <c r="FF176" i="136"/>
  <c r="FG176" i="136"/>
  <c r="FC177" i="136"/>
  <c r="FD177" i="136"/>
  <c r="FE177" i="136"/>
  <c r="FF177" i="136"/>
  <c r="FG177" i="136"/>
  <c r="FC178" i="136"/>
  <c r="FD178" i="136"/>
  <c r="FE178" i="136"/>
  <c r="FF178" i="136"/>
  <c r="FG178" i="136"/>
  <c r="FC179" i="136"/>
  <c r="FD179" i="136"/>
  <c r="FE179" i="136"/>
  <c r="FF179" i="136"/>
  <c r="FG179" i="136"/>
  <c r="FC180" i="136"/>
  <c r="FD180" i="136"/>
  <c r="FE180" i="136"/>
  <c r="FF180" i="136"/>
  <c r="FG180" i="136"/>
  <c r="FC181" i="136"/>
  <c r="FD181" i="136"/>
  <c r="FE181" i="136"/>
  <c r="FF181" i="136"/>
  <c r="FG181" i="136"/>
  <c r="FC182" i="136"/>
  <c r="FD182" i="136"/>
  <c r="FE182" i="136"/>
  <c r="FF182" i="136"/>
  <c r="FG182" i="136"/>
  <c r="FC183" i="136"/>
  <c r="FD183" i="136"/>
  <c r="FE183" i="136"/>
  <c r="FF183" i="136"/>
  <c r="FG183" i="136"/>
  <c r="FC184" i="136"/>
  <c r="FD184" i="136"/>
  <c r="FE184" i="136"/>
  <c r="FF184" i="136"/>
  <c r="FG184" i="136"/>
  <c r="FC185" i="136"/>
  <c r="FD185" i="136"/>
  <c r="FE185" i="136"/>
  <c r="FF185" i="136"/>
  <c r="FG185" i="136"/>
  <c r="FC186" i="136"/>
  <c r="FD186" i="136"/>
  <c r="FE186" i="136"/>
  <c r="FF186" i="136"/>
  <c r="FG186" i="136"/>
  <c r="FC187" i="136"/>
  <c r="FD187" i="136"/>
  <c r="FE187" i="136"/>
  <c r="FF187" i="136"/>
  <c r="FG187" i="136"/>
  <c r="FC188" i="136"/>
  <c r="FD188" i="136"/>
  <c r="FE188" i="136"/>
  <c r="FF188" i="136"/>
  <c r="FG188" i="136"/>
  <c r="FC189" i="136"/>
  <c r="FD189" i="136"/>
  <c r="FE189" i="136"/>
  <c r="FF189" i="136"/>
  <c r="FG189" i="136"/>
  <c r="FC190" i="136"/>
  <c r="FD190" i="136"/>
  <c r="FE190" i="136"/>
  <c r="FF190" i="136"/>
  <c r="FG190" i="136"/>
  <c r="FC191" i="136"/>
  <c r="FD191" i="136"/>
  <c r="FE191" i="136"/>
  <c r="FF191" i="136"/>
  <c r="FG191" i="136"/>
  <c r="FC192" i="136"/>
  <c r="FD192" i="136"/>
  <c r="FE192" i="136"/>
  <c r="FF192" i="136"/>
  <c r="FG192" i="136"/>
  <c r="FC193" i="136"/>
  <c r="FD193" i="136"/>
  <c r="FE193" i="136"/>
  <c r="FF193" i="136"/>
  <c r="FG193" i="136"/>
  <c r="FC194" i="136"/>
  <c r="FD194" i="136"/>
  <c r="FE194" i="136"/>
  <c r="FF194" i="136"/>
  <c r="FG194" i="136"/>
  <c r="FC195" i="136"/>
  <c r="FD195" i="136"/>
  <c r="FE195" i="136"/>
  <c r="FF195" i="136"/>
  <c r="FG195" i="136"/>
  <c r="FC196" i="136"/>
  <c r="FD196" i="136"/>
  <c r="FE196" i="136"/>
  <c r="FF196" i="136"/>
  <c r="FG196" i="136"/>
  <c r="FC197" i="136"/>
  <c r="FD197" i="136"/>
  <c r="FE197" i="136"/>
  <c r="FF197" i="136"/>
  <c r="FG197" i="136"/>
  <c r="FC198" i="136"/>
  <c r="FD198" i="136"/>
  <c r="FE198" i="136"/>
  <c r="FF198" i="136"/>
  <c r="FG198" i="136"/>
  <c r="FC199" i="136"/>
  <c r="FD199" i="136"/>
  <c r="FE199" i="136"/>
  <c r="FF199" i="136"/>
  <c r="FG199" i="136"/>
  <c r="FC200" i="136"/>
  <c r="FD200" i="136"/>
  <c r="FE200" i="136"/>
  <c r="FF200" i="136"/>
  <c r="FG200" i="136"/>
  <c r="FC201" i="136"/>
  <c r="FD201" i="136"/>
  <c r="FE201" i="136"/>
  <c r="FF201" i="136"/>
  <c r="FG201" i="136"/>
  <c r="FC202" i="136"/>
  <c r="FD202" i="136"/>
  <c r="FE202" i="136"/>
  <c r="FF202" i="136"/>
  <c r="FG202" i="136"/>
  <c r="FC203" i="136"/>
  <c r="FD203" i="136"/>
  <c r="FE203" i="136"/>
  <c r="FF203" i="136"/>
  <c r="FG203" i="136"/>
  <c r="FC204" i="136"/>
  <c r="FD204" i="136"/>
  <c r="FE204" i="136"/>
  <c r="FF204" i="136"/>
  <c r="FG204" i="136"/>
  <c r="FC205" i="136"/>
  <c r="FD205" i="136"/>
  <c r="FE205" i="136"/>
  <c r="FF205" i="136"/>
  <c r="FG205" i="136"/>
  <c r="FC206" i="136"/>
  <c r="FD206" i="136"/>
  <c r="FE206" i="136"/>
  <c r="FF206" i="136"/>
  <c r="FG206" i="136"/>
  <c r="FC207" i="136"/>
  <c r="FD207" i="136"/>
  <c r="FE207" i="136"/>
  <c r="FF207" i="136"/>
  <c r="FG207" i="136"/>
  <c r="FC208" i="136"/>
  <c r="FD208" i="136"/>
  <c r="FE208" i="136"/>
  <c r="FF208" i="136"/>
  <c r="FG208" i="136"/>
  <c r="FC209" i="136"/>
  <c r="FD209" i="136"/>
  <c r="FE209" i="136"/>
  <c r="FF209" i="136"/>
  <c r="FG209" i="136"/>
  <c r="FC210" i="136"/>
  <c r="FD210" i="136"/>
  <c r="FE210" i="136"/>
  <c r="FF210" i="136"/>
  <c r="FG210" i="136"/>
  <c r="FC211" i="136"/>
  <c r="FD211" i="136"/>
  <c r="FE211" i="136"/>
  <c r="FF211" i="136"/>
  <c r="FG211" i="136"/>
  <c r="FC212" i="136"/>
  <c r="FD212" i="136"/>
  <c r="FE212" i="136"/>
  <c r="FF212" i="136"/>
  <c r="FG212" i="136"/>
  <c r="FC213" i="136"/>
  <c r="FD213" i="136"/>
  <c r="FE213" i="136"/>
  <c r="FF213" i="136"/>
  <c r="FG213" i="136"/>
  <c r="FC214" i="136"/>
  <c r="FD214" i="136"/>
  <c r="FE214" i="136"/>
  <c r="FF214" i="136"/>
  <c r="FG214" i="136"/>
  <c r="FC215" i="136"/>
  <c r="FD215" i="136"/>
  <c r="FE215" i="136"/>
  <c r="FF215" i="136"/>
  <c r="FG215" i="136"/>
  <c r="FC216" i="136"/>
  <c r="FD216" i="136"/>
  <c r="FE216" i="136"/>
  <c r="FF216" i="136"/>
  <c r="FG216" i="136"/>
  <c r="FC217" i="136"/>
  <c r="FD217" i="136"/>
  <c r="FE217" i="136"/>
  <c r="FF217" i="136"/>
  <c r="FG217" i="136"/>
  <c r="FC218" i="136"/>
  <c r="FD218" i="136"/>
  <c r="FE218" i="136"/>
  <c r="FF218" i="136"/>
  <c r="FG218" i="136"/>
  <c r="FC219" i="136"/>
  <c r="FD219" i="136"/>
  <c r="FE219" i="136"/>
  <c r="FF219" i="136"/>
  <c r="FG219" i="136"/>
  <c r="FC220" i="136"/>
  <c r="FD220" i="136"/>
  <c r="FE220" i="136"/>
  <c r="FF220" i="136"/>
  <c r="FG220" i="136"/>
  <c r="FC221" i="136"/>
  <c r="FD221" i="136"/>
  <c r="FE221" i="136"/>
  <c r="FF221" i="136"/>
  <c r="FG221" i="136"/>
  <c r="FC222" i="136"/>
  <c r="FD222" i="136"/>
  <c r="FE222" i="136"/>
  <c r="FF222" i="136"/>
  <c r="FG222" i="136"/>
  <c r="FC223" i="136"/>
  <c r="FD223" i="136"/>
  <c r="FE223" i="136"/>
  <c r="FF223" i="136"/>
  <c r="FG223" i="136"/>
  <c r="FG3" i="136"/>
  <c r="FD3" i="136"/>
  <c r="FE3" i="136"/>
  <c r="FF3" i="136"/>
  <c r="FC3" i="136"/>
  <c r="ET4" i="136"/>
  <c r="AL11" i="4" s="1"/>
  <c r="ET5" i="136"/>
  <c r="AL12" i="4" s="1"/>
  <c r="ET6" i="136"/>
  <c r="AL13" i="4" s="1"/>
  <c r="ET7" i="136"/>
  <c r="AL14" i="4" s="1"/>
  <c r="ET8" i="136"/>
  <c r="AL15" i="4" s="1"/>
  <c r="ET9" i="136"/>
  <c r="AL17" i="4" s="1"/>
  <c r="ET10" i="136"/>
  <c r="AL18" i="4" s="1"/>
  <c r="ET11" i="136"/>
  <c r="AL19" i="4" s="1"/>
  <c r="ET12" i="136"/>
  <c r="AL20" i="4" s="1"/>
  <c r="ET13" i="136"/>
  <c r="AL21" i="4" s="1"/>
  <c r="ET14" i="136"/>
  <c r="AL23" i="4" s="1"/>
  <c r="ET15" i="136"/>
  <c r="AL26" i="4" s="1"/>
  <c r="ET16" i="136"/>
  <c r="AL27" i="4" s="1"/>
  <c r="ET17" i="136"/>
  <c r="AL28" i="4" s="1"/>
  <c r="ET18" i="136"/>
  <c r="AL33" i="4" s="1"/>
  <c r="ET19" i="136"/>
  <c r="AL34" i="4" s="1"/>
  <c r="ET20" i="136"/>
  <c r="AL36" i="4" s="1"/>
  <c r="ET21" i="136"/>
  <c r="AL42" i="4" s="1"/>
  <c r="ET22" i="136"/>
  <c r="AL43" i="4" s="1"/>
  <c r="ET23" i="136"/>
  <c r="AL44" i="4" s="1"/>
  <c r="ET24" i="136"/>
  <c r="AL45" i="4" s="1"/>
  <c r="ET25" i="136"/>
  <c r="AL46" i="4" s="1"/>
  <c r="ET26" i="136"/>
  <c r="AL47" i="4" s="1"/>
  <c r="ET27" i="136"/>
  <c r="AL49" i="4" s="1"/>
  <c r="ET28" i="136"/>
  <c r="AL50" i="4" s="1"/>
  <c r="ET29" i="136"/>
  <c r="AL51" i="4" s="1"/>
  <c r="ET30" i="136"/>
  <c r="AL54" i="4" s="1"/>
  <c r="ET31" i="136"/>
  <c r="AL57" i="4" s="1"/>
  <c r="ET32" i="136"/>
  <c r="AL58" i="4" s="1"/>
  <c r="ET33" i="136"/>
  <c r="AL59" i="4" s="1"/>
  <c r="ET34" i="136"/>
  <c r="AL64" i="4" s="1"/>
  <c r="ET35" i="136"/>
  <c r="AL65" i="4" s="1"/>
  <c r="ET36" i="136"/>
  <c r="AL66" i="4" s="1"/>
  <c r="ET37" i="136"/>
  <c r="AL67" i="4" s="1"/>
  <c r="ET38" i="136"/>
  <c r="AL73" i="4" s="1"/>
  <c r="ET39" i="136"/>
  <c r="AL74" i="4" s="1"/>
  <c r="ET40" i="136"/>
  <c r="AL75" i="4" s="1"/>
  <c r="ET41" i="136"/>
  <c r="AL76" i="4" s="1"/>
  <c r="ET42" i="136"/>
  <c r="AL77" i="4" s="1"/>
  <c r="ET43" i="136"/>
  <c r="AL80" i="4" s="1"/>
  <c r="ET44" i="136"/>
  <c r="AL83" i="4" s="1"/>
  <c r="ET45" i="136"/>
  <c r="AL85" i="4" s="1"/>
  <c r="ET46" i="136"/>
  <c r="AL87" i="4" s="1"/>
  <c r="ET47" i="136"/>
  <c r="AL88" i="4" s="1"/>
  <c r="ET48" i="136"/>
  <c r="AL89" i="4" s="1"/>
  <c r="ET49" i="136"/>
  <c r="AL90" i="4" s="1"/>
  <c r="ET50" i="136"/>
  <c r="AL96" i="4" s="1"/>
  <c r="ET51" i="136"/>
  <c r="AL97" i="4" s="1"/>
  <c r="ET52" i="136"/>
  <c r="AL98" i="4" s="1"/>
  <c r="ET53" i="136"/>
  <c r="AL99" i="4" s="1"/>
  <c r="ET54" i="136"/>
  <c r="AL100" i="4" s="1"/>
  <c r="ET55" i="136"/>
  <c r="AL101" i="4" s="1"/>
  <c r="ET56" i="136"/>
  <c r="AL103" i="4" s="1"/>
  <c r="ET57" i="136"/>
  <c r="AL104" i="4" s="1"/>
  <c r="ET58" i="136"/>
  <c r="AL105" i="4" s="1"/>
  <c r="ET59" i="136"/>
  <c r="AL106" i="4" s="1"/>
  <c r="ET60" i="136"/>
  <c r="AL107" i="4" s="1"/>
  <c r="ET61" i="136"/>
  <c r="AL108" i="4" s="1"/>
  <c r="ET62" i="136"/>
  <c r="AL111" i="4" s="1"/>
  <c r="ET63" i="136"/>
  <c r="AL112" i="4" s="1"/>
  <c r="ET64" i="136"/>
  <c r="AL113" i="4" s="1"/>
  <c r="ET65" i="136"/>
  <c r="AL114" i="4" s="1"/>
  <c r="ET66" i="136"/>
  <c r="AL116" i="4" s="1"/>
  <c r="ET67" i="136"/>
  <c r="AL118" i="4" s="1"/>
  <c r="ET68" i="136"/>
  <c r="AL120" i="4" s="1"/>
  <c r="ET69" i="136"/>
  <c r="AL121" i="4" s="1"/>
  <c r="ET70" i="136"/>
  <c r="AL124" i="4" s="1"/>
  <c r="ET71" i="136"/>
  <c r="AL125" i="4" s="1"/>
  <c r="ET72" i="136"/>
  <c r="AL126" i="4" s="1"/>
  <c r="ET73" i="136"/>
  <c r="AL128" i="4" s="1"/>
  <c r="ET74" i="136"/>
  <c r="AL129" i="4" s="1"/>
  <c r="ET75" i="136"/>
  <c r="AL131" i="4" s="1"/>
  <c r="ET76" i="136"/>
  <c r="AL132" i="4" s="1"/>
  <c r="ET77" i="136"/>
  <c r="AL133" i="4" s="1"/>
  <c r="ET78" i="136"/>
  <c r="AL134" i="4" s="1"/>
  <c r="ET79" i="136"/>
  <c r="AL135" i="4" s="1"/>
  <c r="ET80" i="136"/>
  <c r="AL136" i="4" s="1"/>
  <c r="ET81" i="136"/>
  <c r="AL137" i="4" s="1"/>
  <c r="ET82" i="136"/>
  <c r="AL139" i="4" s="1"/>
  <c r="ET83" i="136"/>
  <c r="AL140" i="4" s="1"/>
  <c r="ET84" i="136"/>
  <c r="AL141" i="4" s="1"/>
  <c r="ET85" i="136"/>
  <c r="AL142" i="4" s="1"/>
  <c r="ET86" i="136"/>
  <c r="AL143" i="4" s="1"/>
  <c r="ET87" i="136"/>
  <c r="AL144" i="4" s="1"/>
  <c r="ET88" i="136"/>
  <c r="AL145" i="4" s="1"/>
  <c r="ET89" i="136"/>
  <c r="AL146" i="4" s="1"/>
  <c r="ET90" i="136"/>
  <c r="AL156" i="4" s="1"/>
  <c r="ET91" i="136"/>
  <c r="AL165" i="4" s="1"/>
  <c r="ET92" i="136"/>
  <c r="AL172" i="4" s="1"/>
  <c r="ET93" i="136"/>
  <c r="AL187" i="4" s="1"/>
  <c r="ET94" i="136"/>
  <c r="AL188" i="4" s="1"/>
  <c r="ET95" i="136"/>
  <c r="AL189" i="4" s="1"/>
  <c r="ET96" i="136"/>
  <c r="ET97" i="136"/>
  <c r="AL191" i="4" s="1"/>
  <c r="ET98" i="136"/>
  <c r="AL194" i="4" s="1"/>
  <c r="ET99" i="136"/>
  <c r="AL196" i="4" s="1"/>
  <c r="ET100" i="136"/>
  <c r="AL202" i="4" s="1"/>
  <c r="ET101" i="136"/>
  <c r="AL203" i="4" s="1"/>
  <c r="ET102" i="136"/>
  <c r="AL205" i="4" s="1"/>
  <c r="ET103" i="136"/>
  <c r="AL206" i="4" s="1"/>
  <c r="ET104" i="136"/>
  <c r="AL207" i="4" s="1"/>
  <c r="ET3" i="136"/>
  <c r="AL10" i="4" s="1"/>
  <c r="M50" i="37" l="1"/>
  <c r="H86" i="37"/>
  <c r="R14" i="35"/>
  <c r="P73" i="4"/>
  <c r="P42" i="4"/>
  <c r="K50" i="37"/>
  <c r="N10" i="4"/>
  <c r="P11" i="4"/>
  <c r="S25" i="4"/>
  <c r="S16" i="4"/>
  <c r="N37" i="37"/>
  <c r="O37" i="37" s="1"/>
  <c r="N50" i="37"/>
  <c r="O50" i="37" s="1"/>
  <c r="Q13" i="35"/>
  <c r="R13" i="35" s="1"/>
  <c r="N159" i="39"/>
  <c r="O10" i="4"/>
  <c r="W11" i="37"/>
  <c r="N81" i="39"/>
  <c r="O81" i="39" s="1"/>
  <c r="S18" i="37"/>
  <c r="S16" i="37" s="1"/>
  <c r="S14" i="37" s="1"/>
  <c r="S12" i="37" s="1"/>
  <c r="U26" i="37"/>
  <c r="U25" i="37" s="1"/>
  <c r="U24" i="37" s="1"/>
  <c r="U11" i="37" s="1"/>
  <c r="Q12" i="142" s="1"/>
  <c r="S26" i="37"/>
  <c r="N82" i="39"/>
  <c r="O82" i="39" s="1"/>
  <c r="I99" i="4"/>
  <c r="I54" i="4"/>
  <c r="H59" i="54"/>
  <c r="H49" i="37"/>
  <c r="H56" i="37"/>
  <c r="H62" i="37"/>
  <c r="H15" i="37"/>
  <c r="H55" i="37"/>
  <c r="H21" i="37"/>
  <c r="H38" i="37"/>
  <c r="H37" i="37" s="1"/>
  <c r="H54" i="37"/>
  <c r="H58" i="37"/>
  <c r="H18" i="37"/>
  <c r="H46" i="37"/>
  <c r="H51" i="37"/>
  <c r="H53" i="37"/>
  <c r="H25" i="37"/>
  <c r="H59" i="37"/>
  <c r="H47" i="37"/>
  <c r="L219" i="39"/>
  <c r="H48" i="37"/>
  <c r="H52" i="37"/>
  <c r="H60" i="37"/>
  <c r="S62" i="35"/>
  <c r="S61" i="35" s="1"/>
  <c r="H15" i="35"/>
  <c r="H48" i="35"/>
  <c r="H16" i="35"/>
  <c r="H58" i="35"/>
  <c r="H52" i="35"/>
  <c r="H24" i="35"/>
  <c r="H23" i="35"/>
  <c r="I217" i="39"/>
  <c r="H51" i="35"/>
  <c r="H57" i="35"/>
  <c r="H39" i="35"/>
  <c r="H62" i="35"/>
  <c r="H49" i="35"/>
  <c r="H59" i="35"/>
  <c r="H50" i="35"/>
  <c r="N48" i="35"/>
  <c r="O48" i="35" s="1"/>
  <c r="H217" i="39"/>
  <c r="Q217" i="39"/>
  <c r="R217" i="39" s="1"/>
  <c r="AL47" i="35"/>
  <c r="AL46" i="35" s="1"/>
  <c r="L217" i="39"/>
  <c r="G145" i="140"/>
  <c r="J51" i="37"/>
  <c r="K51" i="37" s="1"/>
  <c r="J62" i="37"/>
  <c r="K62" i="37" s="1"/>
  <c r="J48" i="37"/>
  <c r="K48" i="37" s="1"/>
  <c r="P159" i="39"/>
  <c r="Q159" i="39"/>
  <c r="I30" i="37"/>
  <c r="S44" i="37"/>
  <c r="S40" i="37" s="1"/>
  <c r="L61" i="37"/>
  <c r="I47" i="35"/>
  <c r="M47" i="35" s="1"/>
  <c r="L21" i="35"/>
  <c r="M21" i="35" s="1"/>
  <c r="S14" i="35"/>
  <c r="J14" i="35" s="1"/>
  <c r="K14" i="35" s="1"/>
  <c r="J18" i="35"/>
  <c r="K18" i="35" s="1"/>
  <c r="L14" i="35"/>
  <c r="M14" i="35" s="1"/>
  <c r="S27" i="35"/>
  <c r="J27" i="35" s="1"/>
  <c r="I50" i="4"/>
  <c r="I35" i="4"/>
  <c r="I13" i="4"/>
  <c r="I62" i="4"/>
  <c r="F145" i="140"/>
  <c r="I26" i="4"/>
  <c r="I36" i="4"/>
  <c r="I145" i="140"/>
  <c r="T140" i="4"/>
  <c r="I41" i="4"/>
  <c r="H145" i="140"/>
  <c r="I12" i="4"/>
  <c r="I27" i="4"/>
  <c r="I71" i="4"/>
  <c r="I83" i="4"/>
  <c r="I30" i="4"/>
  <c r="I145" i="4"/>
  <c r="T203" i="4"/>
  <c r="T195" i="4"/>
  <c r="T193" i="4"/>
  <c r="T185" i="4"/>
  <c r="T165" i="4"/>
  <c r="T153" i="4"/>
  <c r="T149" i="4"/>
  <c r="T18" i="4"/>
  <c r="K18" i="4" s="1"/>
  <c r="T10" i="4"/>
  <c r="I211" i="4"/>
  <c r="I209" i="4"/>
  <c r="I195" i="4"/>
  <c r="I193" i="4"/>
  <c r="I191" i="4"/>
  <c r="I189" i="4"/>
  <c r="I187" i="4"/>
  <c r="I185" i="4"/>
  <c r="I165" i="4"/>
  <c r="I155" i="4"/>
  <c r="I153" i="4"/>
  <c r="I149" i="4"/>
  <c r="I143" i="4"/>
  <c r="I138" i="4"/>
  <c r="I136" i="4"/>
  <c r="I134" i="4"/>
  <c r="I132" i="4"/>
  <c r="I130" i="4"/>
  <c r="I128" i="4"/>
  <c r="I125" i="4"/>
  <c r="I122" i="4"/>
  <c r="I120" i="4"/>
  <c r="I116" i="4"/>
  <c r="I113" i="4"/>
  <c r="I111" i="4"/>
  <c r="I109" i="4"/>
  <c r="I107" i="4"/>
  <c r="I105" i="4"/>
  <c r="I103" i="4"/>
  <c r="I101" i="4"/>
  <c r="I93" i="4"/>
  <c r="I90" i="4"/>
  <c r="I86" i="4"/>
  <c r="I77" i="4"/>
  <c r="I73" i="4"/>
  <c r="I69" i="4"/>
  <c r="I65" i="4"/>
  <c r="I60" i="4"/>
  <c r="I52" i="4"/>
  <c r="I47" i="4"/>
  <c r="I43" i="4"/>
  <c r="I39" i="4"/>
  <c r="I22" i="4"/>
  <c r="I20" i="4"/>
  <c r="I18" i="4"/>
  <c r="I16" i="4"/>
  <c r="T211" i="4"/>
  <c r="I140" i="4"/>
  <c r="I14" i="4"/>
  <c r="I28" i="4"/>
  <c r="I33" i="4"/>
  <c r="I37" i="4"/>
  <c r="I45" i="4"/>
  <c r="I58" i="4"/>
  <c r="I67" i="4"/>
  <c r="I75" i="4"/>
  <c r="I88" i="4"/>
  <c r="I141" i="4"/>
  <c r="T212" i="4"/>
  <c r="T210" i="4"/>
  <c r="T208" i="4"/>
  <c r="T202" i="4"/>
  <c r="T192" i="4"/>
  <c r="T190" i="4"/>
  <c r="T188" i="4"/>
  <c r="T186" i="4"/>
  <c r="T166" i="4"/>
  <c r="T156" i="4"/>
  <c r="T154" i="4"/>
  <c r="T152" i="4"/>
  <c r="T146" i="4"/>
  <c r="T126" i="4"/>
  <c r="T59" i="4"/>
  <c r="T36" i="4"/>
  <c r="I11" i="4"/>
  <c r="I15" i="4"/>
  <c r="I29" i="4"/>
  <c r="I34" i="4"/>
  <c r="I142" i="4"/>
  <c r="I210" i="4"/>
  <c r="I208" i="4"/>
  <c r="I192" i="4"/>
  <c r="I188" i="4"/>
  <c r="I186" i="4"/>
  <c r="I156" i="4"/>
  <c r="I154" i="4"/>
  <c r="I152" i="4"/>
  <c r="I137" i="4"/>
  <c r="I135" i="4"/>
  <c r="I133" i="4"/>
  <c r="I131" i="4"/>
  <c r="I129" i="4"/>
  <c r="I126" i="4"/>
  <c r="I124" i="4"/>
  <c r="I121" i="4"/>
  <c r="I118" i="4"/>
  <c r="I114" i="4"/>
  <c r="I112" i="4"/>
  <c r="I110" i="4"/>
  <c r="I108" i="4"/>
  <c r="I106" i="4"/>
  <c r="I102" i="4"/>
  <c r="I98" i="4"/>
  <c r="I95" i="4"/>
  <c r="I91" i="4"/>
  <c r="H91" i="39" s="1"/>
  <c r="I87" i="4"/>
  <c r="I74" i="4"/>
  <c r="I66" i="4"/>
  <c r="I57" i="4"/>
  <c r="I53" i="4"/>
  <c r="I46" i="4"/>
  <c r="I38" i="4"/>
  <c r="I23" i="4"/>
  <c r="I21" i="4"/>
  <c r="I19" i="4"/>
  <c r="I17" i="4"/>
  <c r="I144" i="4"/>
  <c r="I97" i="4"/>
  <c r="U204" i="4"/>
  <c r="U210" i="4"/>
  <c r="U202" i="4"/>
  <c r="U207" i="4"/>
  <c r="U205" i="4"/>
  <c r="T53" i="4"/>
  <c r="T136" i="4"/>
  <c r="T69" i="4"/>
  <c r="T80" i="4"/>
  <c r="T187" i="4"/>
  <c r="T141" i="4"/>
  <c r="T138" i="4"/>
  <c r="T132" i="4"/>
  <c r="T122" i="4"/>
  <c r="T90" i="4"/>
  <c r="T83" i="4"/>
  <c r="T75" i="4"/>
  <c r="T71" i="4"/>
  <c r="T11" i="4"/>
  <c r="T130" i="4"/>
  <c r="T128" i="4"/>
  <c r="T120" i="4"/>
  <c r="T109" i="4"/>
  <c r="T107" i="4"/>
  <c r="T103" i="4"/>
  <c r="T101" i="4"/>
  <c r="T93" i="4"/>
  <c r="T77" i="4"/>
  <c r="T67" i="4"/>
  <c r="T60" i="4"/>
  <c r="T50" i="4"/>
  <c r="T43" i="4"/>
  <c r="T41" i="4"/>
  <c r="T39" i="4"/>
  <c r="T35" i="4"/>
  <c r="T33" i="4"/>
  <c r="T26" i="4"/>
  <c r="T22" i="4"/>
  <c r="T20" i="4"/>
  <c r="T12" i="4"/>
  <c r="T144" i="4"/>
  <c r="T142" i="4"/>
  <c r="T137" i="4"/>
  <c r="T135" i="4"/>
  <c r="T133" i="4"/>
  <c r="T131" i="4"/>
  <c r="T129" i="4"/>
  <c r="T124" i="4"/>
  <c r="T121" i="4"/>
  <c r="T118" i="4"/>
  <c r="T114" i="4"/>
  <c r="T112" i="4"/>
  <c r="T110" i="4"/>
  <c r="T106" i="4"/>
  <c r="T104" i="4"/>
  <c r="T102" i="4"/>
  <c r="T100" i="4"/>
  <c r="T98" i="4"/>
  <c r="T95" i="4"/>
  <c r="T91" i="4"/>
  <c r="T89" i="4"/>
  <c r="T87" i="4"/>
  <c r="T85" i="4"/>
  <c r="T76" i="4"/>
  <c r="T74" i="4"/>
  <c r="T72" i="4"/>
  <c r="T70" i="4"/>
  <c r="T68" i="4"/>
  <c r="T66" i="4"/>
  <c r="T64" i="4"/>
  <c r="T61" i="4"/>
  <c r="T57" i="4"/>
  <c r="T51" i="4"/>
  <c r="T49" i="4"/>
  <c r="T46" i="4"/>
  <c r="T42" i="4"/>
  <c r="T40" i="4"/>
  <c r="T38" i="4"/>
  <c r="T34" i="4"/>
  <c r="T31" i="4"/>
  <c r="T29" i="4"/>
  <c r="T27" i="4"/>
  <c r="T23" i="4"/>
  <c r="T21" i="4"/>
  <c r="T19" i="4"/>
  <c r="T17" i="4"/>
  <c r="K17" i="4" s="1"/>
  <c r="T15" i="4"/>
  <c r="K15" i="4" s="1"/>
  <c r="T13" i="4"/>
  <c r="K13" i="4" s="1"/>
  <c r="T16" i="4"/>
  <c r="K16" i="4" s="1"/>
  <c r="T99" i="4"/>
  <c r="T194" i="4"/>
  <c r="T116" i="4"/>
  <c r="T111" i="4"/>
  <c r="T88" i="4"/>
  <c r="T62" i="4"/>
  <c r="T58" i="4"/>
  <c r="T52" i="4"/>
  <c r="T47" i="4"/>
  <c r="T30" i="4"/>
  <c r="T14" i="4"/>
  <c r="K14" i="4" s="1"/>
  <c r="T44" i="4"/>
  <c r="T108" i="4"/>
  <c r="I45" i="37"/>
  <c r="M45" i="37" s="1"/>
  <c r="M33" i="54"/>
  <c r="L224" i="39"/>
  <c r="L46" i="35"/>
  <c r="M127" i="39"/>
  <c r="GR22" i="137"/>
  <c r="AL24" i="35"/>
  <c r="AL21" i="35" s="1"/>
  <c r="AL50" i="37"/>
  <c r="I79" i="39"/>
  <c r="M79" i="39" s="1"/>
  <c r="L91" i="39"/>
  <c r="AL32" i="37"/>
  <c r="AL30" i="37"/>
  <c r="AL29" i="37" s="1"/>
  <c r="FT168" i="136"/>
  <c r="FS168" i="136"/>
  <c r="EE9" i="139"/>
  <c r="EG9" i="139"/>
  <c r="EF9" i="139"/>
  <c r="AL45" i="37"/>
  <c r="AL16" i="37"/>
  <c r="AL14" i="37" s="1"/>
  <c r="AL12" i="37" s="1"/>
  <c r="GI22" i="138"/>
  <c r="L16" i="37"/>
  <c r="AK45" i="37"/>
  <c r="AK16" i="37"/>
  <c r="AK14" i="37" s="1"/>
  <c r="AK12" i="37" s="1"/>
  <c r="AL27" i="35"/>
  <c r="AL37" i="35"/>
  <c r="AL55" i="35"/>
  <c r="AL54" i="35" s="1"/>
  <c r="AL53" i="35" s="1"/>
  <c r="N29" i="35"/>
  <c r="O29" i="35" s="1"/>
  <c r="FZ14" i="137"/>
  <c r="N32" i="35"/>
  <c r="O32" i="35" s="1"/>
  <c r="N28" i="35"/>
  <c r="O28" i="35" s="1"/>
  <c r="N30" i="35"/>
  <c r="O30" i="35" s="1"/>
  <c r="FR168" i="136"/>
  <c r="AM9" i="4"/>
  <c r="AK50" i="37"/>
  <c r="AK37" i="35"/>
  <c r="AK27" i="35"/>
  <c r="AK55" i="35"/>
  <c r="AK54" i="35" s="1"/>
  <c r="AK53" i="35" s="1"/>
  <c r="AL9" i="4"/>
  <c r="L13" i="4" l="1"/>
  <c r="L14" i="37"/>
  <c r="K45" i="37"/>
  <c r="L15" i="4"/>
  <c r="L17" i="4"/>
  <c r="L14" i="4"/>
  <c r="L18" i="4"/>
  <c r="L16" i="4"/>
  <c r="P10" i="4"/>
  <c r="N30" i="37"/>
  <c r="N45" i="37"/>
  <c r="O45" i="37" s="1"/>
  <c r="N21" i="35"/>
  <c r="O21" i="35" s="1"/>
  <c r="I9" i="4"/>
  <c r="H319" i="39" s="1"/>
  <c r="H21" i="35"/>
  <c r="J18" i="37"/>
  <c r="K18" i="37" s="1"/>
  <c r="H14" i="35"/>
  <c r="H13" i="35" s="1"/>
  <c r="S13" i="35"/>
  <c r="J13" i="35" s="1"/>
  <c r="H79" i="37"/>
  <c r="J16" i="37"/>
  <c r="S11" i="37"/>
  <c r="S25" i="37"/>
  <c r="J26" i="37"/>
  <c r="K26" i="37" s="1"/>
  <c r="H45" i="37"/>
  <c r="I24" i="37"/>
  <c r="M24" i="37" s="1"/>
  <c r="I219" i="39"/>
  <c r="M219" i="39" s="1"/>
  <c r="H24" i="37"/>
  <c r="H219" i="39"/>
  <c r="M159" i="39"/>
  <c r="I44" i="35"/>
  <c r="M44" i="35" s="1"/>
  <c r="H47" i="35"/>
  <c r="M217" i="39"/>
  <c r="O217" i="39"/>
  <c r="N47" i="35"/>
  <c r="O47" i="35" s="1"/>
  <c r="Q216" i="39"/>
  <c r="R216" i="39" s="1"/>
  <c r="L13" i="35"/>
  <c r="L159" i="39"/>
  <c r="S20" i="35"/>
  <c r="M9" i="4"/>
  <c r="AJ154" i="140"/>
  <c r="I218" i="39"/>
  <c r="L153" i="39"/>
  <c r="M153" i="39"/>
  <c r="I153" i="39"/>
  <c r="L218" i="39"/>
  <c r="I91" i="39"/>
  <c r="M91" i="39" s="1"/>
  <c r="H153" i="39"/>
  <c r="I224" i="39"/>
  <c r="M224" i="39" s="1"/>
  <c r="H218" i="39"/>
  <c r="T9" i="4"/>
  <c r="N127" i="39"/>
  <c r="O127" i="39" s="1"/>
  <c r="N79" i="39"/>
  <c r="O79" i="39" s="1"/>
  <c r="AL44" i="37"/>
  <c r="AL40" i="37" s="1"/>
  <c r="AL11" i="37" s="1"/>
  <c r="AL20" i="35"/>
  <c r="AL10" i="35" s="1"/>
  <c r="AL9" i="35" s="1"/>
  <c r="AK44" i="37"/>
  <c r="AK40" i="37" s="1"/>
  <c r="AK11" i="37" s="1"/>
  <c r="AK20" i="35"/>
  <c r="AK10" i="35" s="1"/>
  <c r="AK9" i="35" s="1"/>
  <c r="L117" i="39"/>
  <c r="L25" i="39"/>
  <c r="L56" i="39"/>
  <c r="I312" i="39"/>
  <c r="I310" i="39"/>
  <c r="K310" i="39" s="1"/>
  <c r="I232" i="39"/>
  <c r="L225" i="39"/>
  <c r="L210" i="39"/>
  <c r="L212" i="39"/>
  <c r="L214" i="39"/>
  <c r="L208" i="39"/>
  <c r="L190" i="39"/>
  <c r="I205" i="39"/>
  <c r="I208" i="39"/>
  <c r="I210" i="39"/>
  <c r="K210" i="39" s="1"/>
  <c r="I212" i="39"/>
  <c r="G213" i="39"/>
  <c r="L12" i="37" l="1"/>
  <c r="AL154" i="140"/>
  <c r="N9" i="4"/>
  <c r="N24" i="37"/>
  <c r="O24" i="37" s="1"/>
  <c r="J14" i="37"/>
  <c r="N191" i="39"/>
  <c r="S24" i="37"/>
  <c r="J24" i="37" s="1"/>
  <c r="K24" i="37" s="1"/>
  <c r="J25" i="37"/>
  <c r="K25" i="37" s="1"/>
  <c r="I216" i="39"/>
  <c r="N219" i="39"/>
  <c r="O219" i="39"/>
  <c r="H216" i="39"/>
  <c r="N44" i="35"/>
  <c r="O44" i="35" s="1"/>
  <c r="H159" i="39"/>
  <c r="I159" i="39"/>
  <c r="I13" i="35"/>
  <c r="M13" i="35" s="1"/>
  <c r="O159" i="39"/>
  <c r="N217" i="39"/>
  <c r="N153" i="39"/>
  <c r="M218" i="39"/>
  <c r="L216" i="39"/>
  <c r="O153" i="39"/>
  <c r="K159" i="39"/>
  <c r="J159" i="39"/>
  <c r="S10" i="35"/>
  <c r="S9" i="35" s="1"/>
  <c r="O216" i="39"/>
  <c r="N218" i="39"/>
  <c r="O218" i="39"/>
  <c r="N91" i="39"/>
  <c r="O91" i="39" s="1"/>
  <c r="M212" i="39"/>
  <c r="M208" i="39"/>
  <c r="M210" i="39"/>
  <c r="K312" i="39"/>
  <c r="N224" i="39"/>
  <c r="O224" i="39" s="1"/>
  <c r="I257" i="39"/>
  <c r="I243" i="39"/>
  <c r="F119" i="39"/>
  <c r="F118" i="39"/>
  <c r="G68" i="4"/>
  <c r="G67" i="4"/>
  <c r="G66" i="4"/>
  <c r="G55" i="4"/>
  <c r="G56" i="4"/>
  <c r="G25" i="4"/>
  <c r="G24" i="4"/>
  <c r="G23" i="4"/>
  <c r="EM3" i="136"/>
  <c r="EN3" i="136"/>
  <c r="EO3" i="136"/>
  <c r="K13" i="35" l="1"/>
  <c r="J12" i="37"/>
  <c r="J219" i="39"/>
  <c r="K219" i="39" s="1"/>
  <c r="M216" i="39"/>
  <c r="N13" i="35"/>
  <c r="O13" i="35" s="1"/>
  <c r="N216" i="39"/>
  <c r="EG3" i="136"/>
  <c r="EG4" i="136"/>
  <c r="EG5" i="136"/>
  <c r="EG6" i="136"/>
  <c r="EG7" i="136"/>
  <c r="EG8" i="136"/>
  <c r="EG9" i="136"/>
  <c r="EG10" i="136"/>
  <c r="EG11" i="136"/>
  <c r="EG12" i="136"/>
  <c r="EG13" i="136"/>
  <c r="EG14" i="136"/>
  <c r="EG15" i="136"/>
  <c r="EG16" i="136"/>
  <c r="EG17" i="136"/>
  <c r="EG18" i="136"/>
  <c r="AK28" i="4" s="1"/>
  <c r="EG19" i="136"/>
  <c r="EG20" i="136"/>
  <c r="EG21" i="136"/>
  <c r="EG22" i="136"/>
  <c r="EG23" i="136"/>
  <c r="EG24" i="136"/>
  <c r="EG25" i="136"/>
  <c r="EG26" i="136"/>
  <c r="EG27" i="136"/>
  <c r="EG28" i="136"/>
  <c r="EG29" i="136"/>
  <c r="EG30" i="136"/>
  <c r="EG31" i="136"/>
  <c r="EG32" i="136"/>
  <c r="AK54" i="4" s="1"/>
  <c r="EG33" i="136"/>
  <c r="EG34" i="136"/>
  <c r="EG35" i="136"/>
  <c r="EG36" i="136"/>
  <c r="EG37" i="136"/>
  <c r="EG38" i="136"/>
  <c r="EG39" i="136"/>
  <c r="EG40" i="136"/>
  <c r="EG41" i="136"/>
  <c r="EG42" i="136"/>
  <c r="EG43" i="136"/>
  <c r="EG44" i="136"/>
  <c r="EG45" i="136"/>
  <c r="EG46" i="136"/>
  <c r="EG47" i="136"/>
  <c r="EG48" i="136"/>
  <c r="AK80" i="4" s="1"/>
  <c r="EG49" i="136"/>
  <c r="AK83" i="4" s="1"/>
  <c r="EG50" i="136"/>
  <c r="EG51" i="136"/>
  <c r="EG52" i="136"/>
  <c r="EG53" i="136"/>
  <c r="EG54" i="136"/>
  <c r="EG55" i="136"/>
  <c r="EG56" i="136"/>
  <c r="EG57" i="136"/>
  <c r="EG58" i="136"/>
  <c r="EG59" i="136"/>
  <c r="EG60" i="136"/>
  <c r="EG61" i="136"/>
  <c r="EG62" i="136"/>
  <c r="EG63" i="136"/>
  <c r="EG64" i="136"/>
  <c r="EG65" i="136"/>
  <c r="EG66" i="136"/>
  <c r="EG67" i="136"/>
  <c r="EG68" i="136"/>
  <c r="EG69" i="136"/>
  <c r="EG70" i="136"/>
  <c r="EG71" i="136"/>
  <c r="EG72" i="136"/>
  <c r="EG73" i="136"/>
  <c r="EG74" i="136"/>
  <c r="EG75" i="136"/>
  <c r="EG76" i="136"/>
  <c r="EG77" i="136"/>
  <c r="EG78" i="136"/>
  <c r="EG79" i="136"/>
  <c r="EG80" i="136"/>
  <c r="EG81" i="136"/>
  <c r="EG82" i="136"/>
  <c r="EG83" i="136"/>
  <c r="EG84" i="136"/>
  <c r="EG85" i="136"/>
  <c r="EG86" i="136"/>
  <c r="EG87" i="136"/>
  <c r="EG88" i="136"/>
  <c r="EG89" i="136"/>
  <c r="EG90" i="136"/>
  <c r="EG91" i="136"/>
  <c r="EG92" i="136"/>
  <c r="EG93" i="136"/>
  <c r="EG94" i="136"/>
  <c r="EG95" i="136"/>
  <c r="EG96" i="136"/>
  <c r="EG97" i="136"/>
  <c r="EG98" i="136"/>
  <c r="EG99" i="136"/>
  <c r="EG100" i="136"/>
  <c r="EG101" i="136"/>
  <c r="EG102" i="136"/>
  <c r="EG103" i="136"/>
  <c r="EM4" i="136"/>
  <c r="EN4" i="136"/>
  <c r="EO4" i="136"/>
  <c r="EM5" i="136"/>
  <c r="EN5" i="136"/>
  <c r="EO5" i="136"/>
  <c r="EM6" i="136"/>
  <c r="EN6" i="136"/>
  <c r="EO6" i="136"/>
  <c r="EM7" i="136"/>
  <c r="EN7" i="136"/>
  <c r="EO7" i="136"/>
  <c r="EM8" i="136"/>
  <c r="EN8" i="136"/>
  <c r="EO8" i="136"/>
  <c r="EM9" i="136"/>
  <c r="EN9" i="136"/>
  <c r="EO9" i="136"/>
  <c r="EM10" i="136"/>
  <c r="EN10" i="136"/>
  <c r="EO10" i="136"/>
  <c r="EM11" i="136"/>
  <c r="EN11" i="136"/>
  <c r="EO11" i="136"/>
  <c r="EM12" i="136"/>
  <c r="EN12" i="136"/>
  <c r="EO12" i="136"/>
  <c r="EM13" i="136"/>
  <c r="EN13" i="136"/>
  <c r="EO13" i="136"/>
  <c r="EM14" i="136"/>
  <c r="EN14" i="136"/>
  <c r="EO14" i="136"/>
  <c r="EM15" i="136"/>
  <c r="EN15" i="136"/>
  <c r="EO15" i="136"/>
  <c r="EM16" i="136"/>
  <c r="EN16" i="136"/>
  <c r="EO16" i="136"/>
  <c r="EM17" i="136"/>
  <c r="EN17" i="136"/>
  <c r="EO17" i="136"/>
  <c r="EM18" i="136"/>
  <c r="EN18" i="136"/>
  <c r="EO18" i="136"/>
  <c r="EM19" i="136"/>
  <c r="EN19" i="136"/>
  <c r="EO19" i="136"/>
  <c r="EM20" i="136"/>
  <c r="EN20" i="136"/>
  <c r="EO20" i="136"/>
  <c r="EM21" i="136"/>
  <c r="EN21" i="136"/>
  <c r="EO21" i="136"/>
  <c r="EM22" i="136"/>
  <c r="EN22" i="136"/>
  <c r="EO22" i="136"/>
  <c r="EM23" i="136"/>
  <c r="EN23" i="136"/>
  <c r="EO23" i="136"/>
  <c r="EM24" i="136"/>
  <c r="EN24" i="136"/>
  <c r="EO24" i="136"/>
  <c r="EM25" i="136"/>
  <c r="EN25" i="136"/>
  <c r="EO25" i="136"/>
  <c r="EM26" i="136"/>
  <c r="EN26" i="136"/>
  <c r="EO26" i="136"/>
  <c r="EM27" i="136"/>
  <c r="EN27" i="136"/>
  <c r="EO27" i="136"/>
  <c r="EM28" i="136"/>
  <c r="EN28" i="136"/>
  <c r="EO28" i="136"/>
  <c r="EM29" i="136"/>
  <c r="EN29" i="136"/>
  <c r="EO29" i="136"/>
  <c r="EM30" i="136"/>
  <c r="EN30" i="136"/>
  <c r="EO30" i="136"/>
  <c r="EM31" i="136"/>
  <c r="EN31" i="136"/>
  <c r="EO31" i="136"/>
  <c r="EM32" i="136"/>
  <c r="EN32" i="136"/>
  <c r="EO32" i="136"/>
  <c r="EM33" i="136"/>
  <c r="EN33" i="136"/>
  <c r="EO33" i="136"/>
  <c r="EM34" i="136"/>
  <c r="EN34" i="136"/>
  <c r="EO34" i="136"/>
  <c r="EM35" i="136"/>
  <c r="EN35" i="136"/>
  <c r="EO35" i="136"/>
  <c r="EM36" i="136"/>
  <c r="EN36" i="136"/>
  <c r="EO36" i="136"/>
  <c r="EM37" i="136"/>
  <c r="EN37" i="136"/>
  <c r="EO37" i="136"/>
  <c r="EM38" i="136"/>
  <c r="EN38" i="136"/>
  <c r="EO38" i="136"/>
  <c r="EM39" i="136"/>
  <c r="EN39" i="136"/>
  <c r="EO39" i="136"/>
  <c r="EM40" i="136"/>
  <c r="EN40" i="136"/>
  <c r="EO40" i="136"/>
  <c r="EM41" i="136"/>
  <c r="EN41" i="136"/>
  <c r="EO41" i="136"/>
  <c r="EM42" i="136"/>
  <c r="EN42" i="136"/>
  <c r="EO42" i="136"/>
  <c r="EM43" i="136"/>
  <c r="EN43" i="136"/>
  <c r="EO43" i="136"/>
  <c r="EM44" i="136"/>
  <c r="EN44" i="136"/>
  <c r="EO44" i="136"/>
  <c r="EM45" i="136"/>
  <c r="EN45" i="136"/>
  <c r="EO45" i="136"/>
  <c r="EM46" i="136"/>
  <c r="EN46" i="136"/>
  <c r="EO46" i="136"/>
  <c r="EM47" i="136"/>
  <c r="EN47" i="136"/>
  <c r="EO47" i="136"/>
  <c r="EM48" i="136"/>
  <c r="EN48" i="136"/>
  <c r="EO48" i="136"/>
  <c r="EM49" i="136"/>
  <c r="EN49" i="136"/>
  <c r="EO49" i="136"/>
  <c r="EM50" i="136"/>
  <c r="EN50" i="136"/>
  <c r="EO50" i="136"/>
  <c r="EM51" i="136"/>
  <c r="EN51" i="136"/>
  <c r="EO51" i="136"/>
  <c r="EM52" i="136"/>
  <c r="EN52" i="136"/>
  <c r="EO52" i="136"/>
  <c r="EM53" i="136"/>
  <c r="EN53" i="136"/>
  <c r="EO53" i="136"/>
  <c r="EM54" i="136"/>
  <c r="EN54" i="136"/>
  <c r="EO54" i="136"/>
  <c r="EM55" i="136"/>
  <c r="EN55" i="136"/>
  <c r="EO55" i="136"/>
  <c r="EM56" i="136"/>
  <c r="EN56" i="136"/>
  <c r="EO56" i="136"/>
  <c r="EM57" i="136"/>
  <c r="EN57" i="136"/>
  <c r="EO57" i="136"/>
  <c r="EM58" i="136"/>
  <c r="EN58" i="136"/>
  <c r="EO58" i="136"/>
  <c r="EM59" i="136"/>
  <c r="EN59" i="136"/>
  <c r="EO59" i="136"/>
  <c r="EM60" i="136"/>
  <c r="EN60" i="136"/>
  <c r="EO60" i="136"/>
  <c r="EM61" i="136"/>
  <c r="EN61" i="136"/>
  <c r="EO61" i="136"/>
  <c r="EM62" i="136"/>
  <c r="EN62" i="136"/>
  <c r="EO62" i="136"/>
  <c r="EM63" i="136"/>
  <c r="EN63" i="136"/>
  <c r="EO63" i="136"/>
  <c r="EM64" i="136"/>
  <c r="EN64" i="136"/>
  <c r="EO64" i="136"/>
  <c r="EM65" i="136"/>
  <c r="EN65" i="136"/>
  <c r="EO65" i="136"/>
  <c r="EM66" i="136"/>
  <c r="EN66" i="136"/>
  <c r="EO66" i="136"/>
  <c r="EM67" i="136"/>
  <c r="EN67" i="136"/>
  <c r="EO67" i="136"/>
  <c r="EM68" i="136"/>
  <c r="EN68" i="136"/>
  <c r="EO68" i="136"/>
  <c r="EM69" i="136"/>
  <c r="EN69" i="136"/>
  <c r="EO69" i="136"/>
  <c r="EM70" i="136"/>
  <c r="EN70" i="136"/>
  <c r="EO70" i="136"/>
  <c r="EM71" i="136"/>
  <c r="EN71" i="136"/>
  <c r="EO71" i="136"/>
  <c r="EM72" i="136"/>
  <c r="EN72" i="136"/>
  <c r="EO72" i="136"/>
  <c r="EM73" i="136"/>
  <c r="EN73" i="136"/>
  <c r="EO73" i="136"/>
  <c r="EM74" i="136"/>
  <c r="EN74" i="136"/>
  <c r="EO74" i="136"/>
  <c r="EM75" i="136"/>
  <c r="EN75" i="136"/>
  <c r="EO75" i="136"/>
  <c r="EM76" i="136"/>
  <c r="EN76" i="136"/>
  <c r="EO76" i="136"/>
  <c r="EM77" i="136"/>
  <c r="EN77" i="136"/>
  <c r="EO77" i="136"/>
  <c r="EM78" i="136"/>
  <c r="EN78" i="136"/>
  <c r="EO78" i="136"/>
  <c r="EM79" i="136"/>
  <c r="EN79" i="136"/>
  <c r="EO79" i="136"/>
  <c r="EM80" i="136"/>
  <c r="EN80" i="136"/>
  <c r="EO80" i="136"/>
  <c r="EM81" i="136"/>
  <c r="EN81" i="136"/>
  <c r="EO81" i="136"/>
  <c r="EM82" i="136"/>
  <c r="EN82" i="136"/>
  <c r="EO82" i="136"/>
  <c r="EM83" i="136"/>
  <c r="EN83" i="136"/>
  <c r="EO83" i="136"/>
  <c r="EM84" i="136"/>
  <c r="EN84" i="136"/>
  <c r="EO84" i="136"/>
  <c r="EM85" i="136"/>
  <c r="EN85" i="136"/>
  <c r="EO85" i="136"/>
  <c r="EM86" i="136"/>
  <c r="EN86" i="136"/>
  <c r="EO86" i="136"/>
  <c r="EM87" i="136"/>
  <c r="EN87" i="136"/>
  <c r="EO87" i="136"/>
  <c r="EM88" i="136"/>
  <c r="EN88" i="136"/>
  <c r="EO88" i="136"/>
  <c r="EM89" i="136"/>
  <c r="EN89" i="136"/>
  <c r="EO89" i="136"/>
  <c r="EM90" i="136"/>
  <c r="EN90" i="136"/>
  <c r="EO90" i="136"/>
  <c r="EM91" i="136"/>
  <c r="EN91" i="136"/>
  <c r="EO91" i="136"/>
  <c r="EM92" i="136"/>
  <c r="EN92" i="136"/>
  <c r="EO92" i="136"/>
  <c r="EM93" i="136"/>
  <c r="EN93" i="136"/>
  <c r="EO93" i="136"/>
  <c r="EM94" i="136"/>
  <c r="EN94" i="136"/>
  <c r="EO94" i="136"/>
  <c r="EM95" i="136"/>
  <c r="EN95" i="136"/>
  <c r="EO95" i="136"/>
  <c r="EM96" i="136"/>
  <c r="EN96" i="136"/>
  <c r="EO96" i="136"/>
  <c r="EM97" i="136"/>
  <c r="EN97" i="136"/>
  <c r="EO97" i="136"/>
  <c r="EM98" i="136"/>
  <c r="EN98" i="136"/>
  <c r="EO98" i="136"/>
  <c r="EM99" i="136"/>
  <c r="EN99" i="136"/>
  <c r="EO99" i="136"/>
  <c r="EM100" i="136"/>
  <c r="EN100" i="136"/>
  <c r="EO100" i="136"/>
  <c r="EM101" i="136"/>
  <c r="EN101" i="136"/>
  <c r="EO101" i="136"/>
  <c r="EM102" i="136"/>
  <c r="EN102" i="136"/>
  <c r="EO102" i="136"/>
  <c r="EM103" i="136"/>
  <c r="EN103" i="136"/>
  <c r="EO103" i="136"/>
  <c r="EM104" i="136"/>
  <c r="EN104" i="136"/>
  <c r="EO104" i="136"/>
  <c r="EM105" i="136"/>
  <c r="EN105" i="136"/>
  <c r="EO105" i="136"/>
  <c r="EM106" i="136"/>
  <c r="EN106" i="136"/>
  <c r="EO106" i="136"/>
  <c r="EM107" i="136"/>
  <c r="EN107" i="136"/>
  <c r="EO107" i="136"/>
  <c r="EM108" i="136"/>
  <c r="EN108" i="136"/>
  <c r="EO108" i="136"/>
  <c r="EM109" i="136"/>
  <c r="EN109" i="136"/>
  <c r="EO109" i="136"/>
  <c r="EM110" i="136"/>
  <c r="EN110" i="136"/>
  <c r="EO110" i="136"/>
  <c r="EM111" i="136"/>
  <c r="EN111" i="136"/>
  <c r="EO111" i="136"/>
  <c r="EM112" i="136"/>
  <c r="EN112" i="136"/>
  <c r="EO112" i="136"/>
  <c r="EM113" i="136"/>
  <c r="EN113" i="136"/>
  <c r="EO113" i="136"/>
  <c r="EM114" i="136"/>
  <c r="EN114" i="136"/>
  <c r="EO114" i="136"/>
  <c r="EM115" i="136"/>
  <c r="EN115" i="136"/>
  <c r="EO115" i="136"/>
  <c r="EM116" i="136"/>
  <c r="EN116" i="136"/>
  <c r="EO116" i="136"/>
  <c r="EM117" i="136"/>
  <c r="EN117" i="136"/>
  <c r="EO117" i="136"/>
  <c r="EM118" i="136"/>
  <c r="EN118" i="136"/>
  <c r="EO118" i="136"/>
  <c r="EM119" i="136"/>
  <c r="EN119" i="136"/>
  <c r="EO119" i="136"/>
  <c r="EM120" i="136"/>
  <c r="EN120" i="136"/>
  <c r="EO120" i="136"/>
  <c r="EM121" i="136"/>
  <c r="EN121" i="136"/>
  <c r="EO121" i="136"/>
  <c r="EM122" i="136"/>
  <c r="EN122" i="136"/>
  <c r="EO122" i="136"/>
  <c r="EM123" i="136"/>
  <c r="EN123" i="136"/>
  <c r="EO123" i="136"/>
  <c r="EM124" i="136"/>
  <c r="EN124" i="136"/>
  <c r="EO124" i="136"/>
  <c r="EM125" i="136"/>
  <c r="EN125" i="136"/>
  <c r="EO125" i="136"/>
  <c r="EM126" i="136"/>
  <c r="EN126" i="136"/>
  <c r="EO126" i="136"/>
  <c r="EM127" i="136"/>
  <c r="EN127" i="136"/>
  <c r="EO127" i="136"/>
  <c r="EM128" i="136"/>
  <c r="EN128" i="136"/>
  <c r="EO128" i="136"/>
  <c r="EM129" i="136"/>
  <c r="EN129" i="136"/>
  <c r="EO129" i="136"/>
  <c r="EM130" i="136"/>
  <c r="EN130" i="136"/>
  <c r="EO130" i="136"/>
  <c r="EM131" i="136"/>
  <c r="EN131" i="136"/>
  <c r="EO131" i="136"/>
  <c r="EM132" i="136"/>
  <c r="EN132" i="136"/>
  <c r="EO132" i="136"/>
  <c r="EM133" i="136"/>
  <c r="EN133" i="136"/>
  <c r="EO133" i="136"/>
  <c r="EM134" i="136"/>
  <c r="EN134" i="136"/>
  <c r="EO134" i="136"/>
  <c r="EM135" i="136"/>
  <c r="EN135" i="136"/>
  <c r="L196" i="39" s="1"/>
  <c r="EO135" i="136"/>
  <c r="EM136" i="136"/>
  <c r="EN136" i="136"/>
  <c r="L201" i="39" s="1"/>
  <c r="EO136" i="136"/>
  <c r="EM137" i="136"/>
  <c r="EN137" i="136"/>
  <c r="EO137" i="136"/>
  <c r="EM138" i="136"/>
  <c r="EN138" i="136"/>
  <c r="L209" i="39" s="1"/>
  <c r="EO138" i="136"/>
  <c r="EM139" i="136"/>
  <c r="EN139" i="136"/>
  <c r="L211" i="39" s="1"/>
  <c r="EO139" i="136"/>
  <c r="EM140" i="136"/>
  <c r="EN140" i="136"/>
  <c r="L213" i="39" s="1"/>
  <c r="EO140" i="136"/>
  <c r="EM141" i="136"/>
  <c r="EN141" i="136"/>
  <c r="EO141" i="136"/>
  <c r="EM142" i="136"/>
  <c r="EN142" i="136"/>
  <c r="EO142" i="136"/>
  <c r="EM143" i="136"/>
  <c r="EN143" i="136"/>
  <c r="EO143" i="136"/>
  <c r="EM144" i="136"/>
  <c r="EN144" i="136"/>
  <c r="L222" i="39" s="1"/>
  <c r="EO144" i="136"/>
  <c r="EM145" i="136"/>
  <c r="EN145" i="136"/>
  <c r="EO145" i="136"/>
  <c r="EM146" i="136"/>
  <c r="EN146" i="136"/>
  <c r="EO146" i="136"/>
  <c r="EM147" i="136"/>
  <c r="EN147" i="136"/>
  <c r="EO147" i="136"/>
  <c r="EM148" i="136"/>
  <c r="EN148" i="136"/>
  <c r="EO148" i="136"/>
  <c r="EM149" i="136"/>
  <c r="EN149" i="136"/>
  <c r="EO149" i="136"/>
  <c r="EM150" i="136"/>
  <c r="EN150" i="136"/>
  <c r="EO150" i="136"/>
  <c r="EM151" i="136"/>
  <c r="EN151" i="136"/>
  <c r="EO151" i="136"/>
  <c r="EM152" i="136"/>
  <c r="EN152" i="136"/>
  <c r="EO152" i="136"/>
  <c r="EM153" i="136"/>
  <c r="EN153" i="136"/>
  <c r="L233" i="39" s="1"/>
  <c r="EO153" i="136"/>
  <c r="EM154" i="136"/>
  <c r="EN154" i="136"/>
  <c r="EO154" i="136"/>
  <c r="EM155" i="136"/>
  <c r="EN155" i="136"/>
  <c r="EO155" i="136"/>
  <c r="EM156" i="136"/>
  <c r="EN156" i="136"/>
  <c r="L234" i="39" s="1"/>
  <c r="EO156" i="136"/>
  <c r="EM157" i="136"/>
  <c r="EN157" i="136"/>
  <c r="EO157" i="136"/>
  <c r="EM158" i="136"/>
  <c r="EN158" i="136"/>
  <c r="EO158" i="136"/>
  <c r="EM159" i="136"/>
  <c r="EN159" i="136"/>
  <c r="EO159" i="136"/>
  <c r="EM160" i="136"/>
  <c r="EN160" i="136"/>
  <c r="EO160" i="136"/>
  <c r="EM161" i="136"/>
  <c r="EN161" i="136"/>
  <c r="L262" i="39" s="1"/>
  <c r="EO161" i="136"/>
  <c r="EM162" i="136"/>
  <c r="EN162" i="136"/>
  <c r="EO162" i="136"/>
  <c r="EM163" i="136"/>
  <c r="EN163" i="136"/>
  <c r="EO163" i="136"/>
  <c r="EM164" i="136"/>
  <c r="EN164" i="136"/>
  <c r="EO164" i="136"/>
  <c r="EM165" i="136"/>
  <c r="EN165" i="136"/>
  <c r="EO165" i="136"/>
  <c r="EM166" i="136"/>
  <c r="EN166" i="136"/>
  <c r="EO166" i="136"/>
  <c r="EM167" i="136"/>
  <c r="EN167" i="136"/>
  <c r="EO167" i="136"/>
  <c r="EM168" i="136"/>
  <c r="EN168" i="136"/>
  <c r="EO168" i="136"/>
  <c r="I299" i="39"/>
  <c r="DV5" i="139"/>
  <c r="DV4" i="139"/>
  <c r="DV3" i="139"/>
  <c r="DX8" i="139"/>
  <c r="DW4" i="139"/>
  <c r="DX4" i="139"/>
  <c r="DW5" i="139"/>
  <c r="DX5" i="139"/>
  <c r="DV6" i="139"/>
  <c r="DW6" i="139"/>
  <c r="DX6" i="139"/>
  <c r="DV7" i="139"/>
  <c r="DW7" i="139"/>
  <c r="DX7" i="139"/>
  <c r="DV8" i="139"/>
  <c r="DW8" i="139"/>
  <c r="DW3" i="139"/>
  <c r="DX3" i="139"/>
  <c r="I168" i="39"/>
  <c r="I169" i="39"/>
  <c r="I170" i="39"/>
  <c r="I172" i="39"/>
  <c r="I173" i="39"/>
  <c r="I174" i="39"/>
  <c r="I176" i="39"/>
  <c r="I178" i="39"/>
  <c r="I179" i="39"/>
  <c r="I181" i="39"/>
  <c r="I182" i="39"/>
  <c r="I186" i="39"/>
  <c r="I187" i="39"/>
  <c r="F16" i="39"/>
  <c r="G16" i="4"/>
  <c r="I166" i="39" l="1"/>
  <c r="L207" i="39"/>
  <c r="I213" i="39"/>
  <c r="M213" i="39" s="1"/>
  <c r="I231" i="39"/>
  <c r="L319" i="39" l="1"/>
  <c r="FZ6" i="138"/>
  <c r="I33" i="37"/>
  <c r="I35" i="37"/>
  <c r="I41" i="37"/>
  <c r="L237" i="39"/>
  <c r="I198" i="39"/>
  <c r="FY4" i="138"/>
  <c r="FZ4" i="138"/>
  <c r="GA4" i="138"/>
  <c r="FY5" i="138"/>
  <c r="FZ5" i="138"/>
  <c r="GA5" i="138"/>
  <c r="FY6" i="138"/>
  <c r="GA6" i="138"/>
  <c r="FY7" i="138"/>
  <c r="FZ7" i="138"/>
  <c r="GA7" i="138"/>
  <c r="FY8" i="138"/>
  <c r="FZ8" i="138"/>
  <c r="GA8" i="138"/>
  <c r="FY9" i="138"/>
  <c r="FZ9" i="138"/>
  <c r="GA9" i="138"/>
  <c r="FY10" i="138"/>
  <c r="FZ10" i="138"/>
  <c r="GA10" i="138"/>
  <c r="FY11" i="138"/>
  <c r="FZ11" i="138"/>
  <c r="GA11" i="138"/>
  <c r="FY12" i="138"/>
  <c r="FZ12" i="138"/>
  <c r="GA12" i="138"/>
  <c r="FY13" i="138"/>
  <c r="FZ13" i="138"/>
  <c r="GA13" i="138"/>
  <c r="FY14" i="138"/>
  <c r="FZ14" i="138"/>
  <c r="GA14" i="138"/>
  <c r="FY15" i="138"/>
  <c r="FZ15" i="138"/>
  <c r="GA15" i="138"/>
  <c r="FY16" i="138"/>
  <c r="FZ16" i="138"/>
  <c r="GA16" i="138"/>
  <c r="FY17" i="138"/>
  <c r="FZ17" i="138"/>
  <c r="GA17" i="138"/>
  <c r="FY18" i="138"/>
  <c r="FZ18" i="138"/>
  <c r="GA18" i="138"/>
  <c r="FY19" i="138"/>
  <c r="FZ19" i="138"/>
  <c r="GA19" i="138"/>
  <c r="FY20" i="138"/>
  <c r="FZ20" i="138"/>
  <c r="GA20" i="138"/>
  <c r="FY21" i="138"/>
  <c r="I200" i="39" s="1"/>
  <c r="FZ21" i="138"/>
  <c r="GA21" i="138"/>
  <c r="FY22" i="138"/>
  <c r="FZ22" i="138"/>
  <c r="GA22" i="138"/>
  <c r="FY23" i="138"/>
  <c r="FZ23" i="138"/>
  <c r="GA23" i="138"/>
  <c r="FY24" i="138"/>
  <c r="FZ24" i="138"/>
  <c r="GA24" i="138"/>
  <c r="FY25" i="138"/>
  <c r="FZ25" i="138"/>
  <c r="GA25" i="138"/>
  <c r="FY26" i="138"/>
  <c r="FZ26" i="138"/>
  <c r="GA26" i="138"/>
  <c r="FY27" i="138"/>
  <c r="FZ27" i="138"/>
  <c r="GA27" i="138"/>
  <c r="FY28" i="138"/>
  <c r="FZ28" i="138"/>
  <c r="GA28" i="138"/>
  <c r="FY29" i="138"/>
  <c r="FZ29" i="138"/>
  <c r="GA29" i="138"/>
  <c r="FY30" i="138"/>
  <c r="H97" i="37" s="1"/>
  <c r="FZ30" i="138"/>
  <c r="GA30" i="138"/>
  <c r="FY31" i="138"/>
  <c r="FZ31" i="138"/>
  <c r="GA31" i="138"/>
  <c r="FY32" i="138"/>
  <c r="FZ32" i="138"/>
  <c r="GA32" i="138"/>
  <c r="FY33" i="138"/>
  <c r="FZ33" i="138"/>
  <c r="GA33" i="138"/>
  <c r="FY34" i="138"/>
  <c r="FZ34" i="138"/>
  <c r="GA34" i="138"/>
  <c r="FY35" i="138"/>
  <c r="FZ35" i="138"/>
  <c r="GA35" i="138"/>
  <c r="FY36" i="138"/>
  <c r="FZ36" i="138"/>
  <c r="GA36" i="138"/>
  <c r="FY37" i="138"/>
  <c r="FZ37" i="138"/>
  <c r="GA37" i="138"/>
  <c r="FY38" i="138"/>
  <c r="FZ38" i="138"/>
  <c r="GA38" i="138"/>
  <c r="FY39" i="138"/>
  <c r="FZ39" i="138"/>
  <c r="GA39" i="138"/>
  <c r="FY40" i="138"/>
  <c r="FZ40" i="138"/>
  <c r="GA40" i="138"/>
  <c r="FY41" i="138"/>
  <c r="FZ41" i="138"/>
  <c r="GA41" i="138"/>
  <c r="FY42" i="138"/>
  <c r="FZ42" i="138"/>
  <c r="GA42" i="138"/>
  <c r="FY43" i="138"/>
  <c r="FZ43" i="138"/>
  <c r="GA43" i="138"/>
  <c r="FY44" i="138"/>
  <c r="FZ44" i="138"/>
  <c r="GA44" i="138"/>
  <c r="FY45" i="138"/>
  <c r="FZ45" i="138"/>
  <c r="GA45" i="138"/>
  <c r="FY46" i="138"/>
  <c r="FZ46" i="138"/>
  <c r="GA46" i="138"/>
  <c r="FY47" i="138"/>
  <c r="FZ47" i="138"/>
  <c r="GA47" i="138"/>
  <c r="FY48" i="138"/>
  <c r="FZ48" i="138"/>
  <c r="GA48" i="138"/>
  <c r="FY49" i="138"/>
  <c r="FZ49" i="138"/>
  <c r="GA49" i="138"/>
  <c r="FY50" i="138"/>
  <c r="FZ50" i="138"/>
  <c r="GA50" i="138"/>
  <c r="FY51" i="138"/>
  <c r="FZ51" i="138"/>
  <c r="GA51" i="138"/>
  <c r="FY52" i="138"/>
  <c r="FZ52" i="138"/>
  <c r="GA52" i="138"/>
  <c r="FY53" i="138"/>
  <c r="FZ53" i="138"/>
  <c r="GA53" i="138"/>
  <c r="FY54" i="138"/>
  <c r="FZ54" i="138"/>
  <c r="GA54" i="138"/>
  <c r="FY55" i="138"/>
  <c r="FZ55" i="138"/>
  <c r="GA55" i="138"/>
  <c r="FZ3" i="138"/>
  <c r="GA3" i="138"/>
  <c r="FY3" i="138"/>
  <c r="AJ29" i="37"/>
  <c r="AJ33" i="37"/>
  <c r="AJ35" i="37"/>
  <c r="AJ41" i="37"/>
  <c r="L236" i="39" l="1"/>
  <c r="I29" i="37"/>
  <c r="I61" i="37"/>
  <c r="I237" i="39"/>
  <c r="I236" i="39" s="1"/>
  <c r="I238" i="39"/>
  <c r="M238" i="39" s="1"/>
  <c r="I16" i="37"/>
  <c r="H95" i="37"/>
  <c r="FP4" i="138"/>
  <c r="FP5" i="138"/>
  <c r="AJ23" i="37" s="1"/>
  <c r="FP6" i="138"/>
  <c r="FP7" i="138"/>
  <c r="FP8" i="138"/>
  <c r="FP9" i="138"/>
  <c r="FP10" i="138"/>
  <c r="FP11" i="138"/>
  <c r="FP12" i="138"/>
  <c r="FP13" i="138"/>
  <c r="FP14" i="138"/>
  <c r="FP15" i="138"/>
  <c r="FP16" i="138"/>
  <c r="FP17" i="138"/>
  <c r="FP18" i="138"/>
  <c r="FP19" i="138"/>
  <c r="FP3" i="138"/>
  <c r="AJ18" i="37" s="1"/>
  <c r="AK205" i="4"/>
  <c r="K61" i="37" l="1"/>
  <c r="M61" i="37"/>
  <c r="M16" i="37"/>
  <c r="K16" i="37"/>
  <c r="N61" i="37"/>
  <c r="O61" i="37" s="1"/>
  <c r="N16" i="37"/>
  <c r="O16" i="37" s="1"/>
  <c r="I44" i="37"/>
  <c r="I199" i="39"/>
  <c r="M236" i="39"/>
  <c r="M237" i="39"/>
  <c r="AJ17" i="37"/>
  <c r="AJ16" i="37" s="1"/>
  <c r="AJ14" i="37" s="1"/>
  <c r="AJ12" i="37" s="1"/>
  <c r="AJ60" i="37"/>
  <c r="AJ59" i="37"/>
  <c r="AJ57" i="37"/>
  <c r="AJ56" i="37"/>
  <c r="AJ55" i="37"/>
  <c r="AJ54" i="37"/>
  <c r="AJ53" i="37"/>
  <c r="AJ52" i="37"/>
  <c r="AJ51" i="37"/>
  <c r="AJ49" i="37"/>
  <c r="AJ48" i="37"/>
  <c r="AJ47" i="37"/>
  <c r="AJ46" i="37"/>
  <c r="AJ38" i="37"/>
  <c r="AJ37" i="37" s="1"/>
  <c r="AK208" i="4"/>
  <c r="AK189" i="4"/>
  <c r="AK176" i="4"/>
  <c r="AK149" i="4"/>
  <c r="AK137" i="4"/>
  <c r="AK87" i="4"/>
  <c r="AK69" i="4"/>
  <c r="AK38" i="4"/>
  <c r="AK29" i="4"/>
  <c r="AK19" i="4"/>
  <c r="L115" i="39"/>
  <c r="AK13" i="4"/>
  <c r="AK14" i="4"/>
  <c r="AK15" i="4"/>
  <c r="AK16" i="4"/>
  <c r="AK18" i="4"/>
  <c r="AK20" i="4"/>
  <c r="AK21" i="4"/>
  <c r="AK23" i="4"/>
  <c r="AK34" i="4"/>
  <c r="AK36" i="4"/>
  <c r="AK47" i="4"/>
  <c r="AK50" i="4"/>
  <c r="AK51" i="4"/>
  <c r="AK52" i="4"/>
  <c r="AK58" i="4"/>
  <c r="AK59" i="4"/>
  <c r="AK61" i="4"/>
  <c r="AK62" i="4"/>
  <c r="AK66" i="4"/>
  <c r="AK75" i="4"/>
  <c r="AK76" i="4"/>
  <c r="AK77" i="4"/>
  <c r="AK85" i="4"/>
  <c r="AK95" i="4"/>
  <c r="AK97" i="4"/>
  <c r="AK99" i="4"/>
  <c r="AK100" i="4"/>
  <c r="AK101" i="4"/>
  <c r="AK102" i="4"/>
  <c r="AK105" i="4"/>
  <c r="AK106" i="4"/>
  <c r="AK108" i="4"/>
  <c r="AK109" i="4"/>
  <c r="AK111" i="4"/>
  <c r="AK113" i="4"/>
  <c r="AK118" i="4"/>
  <c r="AK125" i="4"/>
  <c r="AK126" i="4"/>
  <c r="AK128" i="4"/>
  <c r="AK129" i="4"/>
  <c r="AK131" i="4"/>
  <c r="AK133" i="4"/>
  <c r="AK134" i="4"/>
  <c r="AK135" i="4"/>
  <c r="AK136" i="4"/>
  <c r="AK141" i="4"/>
  <c r="AK142" i="4"/>
  <c r="AK143" i="4"/>
  <c r="AK144" i="4"/>
  <c r="AK146" i="4"/>
  <c r="AK145" i="4" s="1"/>
  <c r="AK172" i="4"/>
  <c r="AK165" i="4" s="1"/>
  <c r="AK200" i="4"/>
  <c r="AK199" i="4" s="1"/>
  <c r="AK203" i="4"/>
  <c r="AK202" i="4" s="1"/>
  <c r="AK10" i="4"/>
  <c r="I40" i="37" l="1"/>
  <c r="I214" i="39"/>
  <c r="M214" i="39" s="1"/>
  <c r="L114" i="39"/>
  <c r="AK119" i="4"/>
  <c r="AK121" i="4"/>
  <c r="AK120" i="4" s="1"/>
  <c r="AK104" i="4"/>
  <c r="AK132" i="4"/>
  <c r="AK27" i="4"/>
  <c r="AK26" i="4" s="1"/>
  <c r="AK17" i="4"/>
  <c r="AK12" i="4" s="1"/>
  <c r="AK114" i="4"/>
  <c r="AK191" i="4"/>
  <c r="AK188" i="4" s="1"/>
  <c r="AK187" i="4" s="1"/>
  <c r="AK46" i="4"/>
  <c r="AK65" i="4"/>
  <c r="AK44" i="4"/>
  <c r="AK45" i="4"/>
  <c r="AK107" i="4"/>
  <c r="AK67" i="4"/>
  <c r="AK110" i="4"/>
  <c r="AK49" i="4"/>
  <c r="AJ50" i="37"/>
  <c r="AJ45" i="37"/>
  <c r="AK140" i="4"/>
  <c r="AK124" i="4"/>
  <c r="AK194" i="4"/>
  <c r="AK57" i="4"/>
  <c r="AK33" i="4"/>
  <c r="AK89" i="4"/>
  <c r="AK74" i="4"/>
  <c r="AK73" i="4" s="1"/>
  <c r="AK60" i="4"/>
  <c r="AK156" i="4"/>
  <c r="I222" i="39" l="1"/>
  <c r="M222" i="39" s="1"/>
  <c r="I233" i="39"/>
  <c r="M233" i="39" s="1"/>
  <c r="I225" i="39"/>
  <c r="M225" i="39" s="1"/>
  <c r="I196" i="39"/>
  <c r="M196" i="39" s="1"/>
  <c r="L119" i="39"/>
  <c r="L116" i="39"/>
  <c r="AJ44" i="37"/>
  <c r="AJ40" i="37" s="1"/>
  <c r="AJ11" i="37" s="1"/>
  <c r="I209" i="39"/>
  <c r="I309" i="39"/>
  <c r="I230" i="39"/>
  <c r="L118" i="39"/>
  <c r="I308" i="39"/>
  <c r="I192" i="39"/>
  <c r="L113" i="39"/>
  <c r="I211" i="39"/>
  <c r="M211" i="39" s="1"/>
  <c r="I234" i="39"/>
  <c r="M234" i="39" s="1"/>
  <c r="I262" i="39"/>
  <c r="M262" i="39" s="1"/>
  <c r="I190" i="39"/>
  <c r="M190" i="39" s="1"/>
  <c r="AK112" i="4"/>
  <c r="AK9" i="4"/>
  <c r="AK64" i="4"/>
  <c r="AK43" i="4"/>
  <c r="AK103" i="4"/>
  <c r="AK11" i="4"/>
  <c r="FR7" i="137"/>
  <c r="FQ3" i="137"/>
  <c r="M209" i="39" l="1"/>
  <c r="I207" i="39"/>
  <c r="M207" i="39" s="1"/>
  <c r="I229" i="39"/>
  <c r="AK42" i="4"/>
  <c r="AJ55" i="35" l="1"/>
  <c r="AJ54" i="35" s="1"/>
  <c r="AJ21" i="35"/>
  <c r="AJ61" i="35"/>
  <c r="AJ46" i="35"/>
  <c r="AJ37" i="35"/>
  <c r="AJ35" i="35"/>
  <c r="AJ33" i="35"/>
  <c r="AJ27" i="35"/>
  <c r="AJ11" i="35"/>
  <c r="FR3" i="137"/>
  <c r="FS3" i="137"/>
  <c r="FR4" i="137"/>
  <c r="FS4" i="137"/>
  <c r="FR5" i="137"/>
  <c r="FS5" i="137"/>
  <c r="FR6" i="137"/>
  <c r="FS6" i="137"/>
  <c r="FS7" i="137"/>
  <c r="FR8" i="137"/>
  <c r="FS8" i="137"/>
  <c r="FR9" i="137"/>
  <c r="FS9" i="137"/>
  <c r="FR10" i="137"/>
  <c r="FS10" i="137"/>
  <c r="FR11" i="137"/>
  <c r="FS11" i="137"/>
  <c r="FR12" i="137"/>
  <c r="FS12" i="137"/>
  <c r="FR13" i="137"/>
  <c r="FS13" i="137"/>
  <c r="FR14" i="137"/>
  <c r="FS14" i="137"/>
  <c r="FR15" i="137"/>
  <c r="FS15" i="137"/>
  <c r="FR16" i="137"/>
  <c r="FS16" i="137"/>
  <c r="FR17" i="137"/>
  <c r="FS17" i="137"/>
  <c r="FR18" i="137"/>
  <c r="FS18" i="137"/>
  <c r="FR19" i="137"/>
  <c r="FS19" i="137"/>
  <c r="FR20" i="137"/>
  <c r="FS20" i="137"/>
  <c r="FR21" i="137"/>
  <c r="FS21" i="137"/>
  <c r="FR22" i="137"/>
  <c r="FS22" i="137"/>
  <c r="FR23" i="137"/>
  <c r="FS23" i="137"/>
  <c r="FR24" i="137"/>
  <c r="FS24" i="137"/>
  <c r="FR25" i="137"/>
  <c r="FS25" i="137"/>
  <c r="FR26" i="137"/>
  <c r="FS26" i="137"/>
  <c r="FR27" i="137"/>
  <c r="FS27" i="137"/>
  <c r="FR28" i="137"/>
  <c r="FS28" i="137"/>
  <c r="FR29" i="137"/>
  <c r="FS29" i="137"/>
  <c r="FR30" i="137"/>
  <c r="FS30" i="137"/>
  <c r="FR31" i="137"/>
  <c r="FS31" i="137"/>
  <c r="FR32" i="137"/>
  <c r="FS32" i="137"/>
  <c r="FR33" i="137"/>
  <c r="FS33" i="137"/>
  <c r="FR34" i="137"/>
  <c r="FS34" i="137"/>
  <c r="FR35" i="137"/>
  <c r="FS35" i="137"/>
  <c r="FR36" i="137"/>
  <c r="FS36" i="137"/>
  <c r="FR37" i="137"/>
  <c r="FS37" i="137"/>
  <c r="FR38" i="137"/>
  <c r="FS38" i="137"/>
  <c r="FR39" i="137"/>
  <c r="FS39" i="137"/>
  <c r="FR40" i="137"/>
  <c r="FS40" i="137"/>
  <c r="FR41" i="137"/>
  <c r="FS41" i="137"/>
  <c r="FR42" i="137"/>
  <c r="FS42" i="137"/>
  <c r="FR43" i="137"/>
  <c r="FS43" i="137"/>
  <c r="FR44" i="137"/>
  <c r="FS44" i="137"/>
  <c r="FR45" i="137"/>
  <c r="FS45" i="137"/>
  <c r="FR46" i="137"/>
  <c r="FS46" i="137"/>
  <c r="FR47" i="137"/>
  <c r="FS47" i="137"/>
  <c r="FR48" i="137"/>
  <c r="FS48" i="137"/>
  <c r="FR49" i="137"/>
  <c r="FS49" i="137"/>
  <c r="FR50" i="137"/>
  <c r="FS50" i="137"/>
  <c r="FR51" i="137"/>
  <c r="FS51" i="137"/>
  <c r="FR52" i="137"/>
  <c r="FS52" i="137"/>
  <c r="FR53" i="137"/>
  <c r="FS53" i="137"/>
  <c r="FQ4" i="137"/>
  <c r="FQ5" i="137"/>
  <c r="FQ6" i="137"/>
  <c r="FQ7" i="137"/>
  <c r="FQ8" i="137"/>
  <c r="FQ9" i="137"/>
  <c r="FQ10" i="137"/>
  <c r="FQ11" i="137"/>
  <c r="FQ12" i="137"/>
  <c r="FQ13" i="137"/>
  <c r="FQ14" i="137"/>
  <c r="FQ15" i="137"/>
  <c r="FQ16" i="137"/>
  <c r="FQ17" i="137"/>
  <c r="FQ18" i="137"/>
  <c r="FQ19" i="137"/>
  <c r="FQ20" i="137"/>
  <c r="FQ21" i="137"/>
  <c r="FQ22" i="137"/>
  <c r="FQ23" i="137"/>
  <c r="FQ24" i="137"/>
  <c r="FQ25" i="137"/>
  <c r="FQ26" i="137"/>
  <c r="FQ27" i="137"/>
  <c r="FQ28" i="137"/>
  <c r="FQ29" i="137"/>
  <c r="FQ30" i="137"/>
  <c r="FQ31" i="137"/>
  <c r="FQ32" i="137"/>
  <c r="FQ33" i="137"/>
  <c r="FQ34" i="137"/>
  <c r="FQ35" i="137"/>
  <c r="FQ36" i="137"/>
  <c r="FQ37" i="137"/>
  <c r="FQ38" i="137"/>
  <c r="FQ39" i="137"/>
  <c r="FQ40" i="137"/>
  <c r="FQ41" i="137"/>
  <c r="FQ42" i="137"/>
  <c r="FQ43" i="137"/>
  <c r="FQ44" i="137"/>
  <c r="FQ45" i="137"/>
  <c r="FQ46" i="137"/>
  <c r="FQ47" i="137"/>
  <c r="FQ48" i="137"/>
  <c r="I311" i="39" s="1"/>
  <c r="FQ49" i="137"/>
  <c r="FQ50" i="137"/>
  <c r="FQ51" i="137"/>
  <c r="FQ52" i="137"/>
  <c r="FQ53" i="137"/>
  <c r="FH3" i="137"/>
  <c r="FH4" i="137"/>
  <c r="FH5" i="137"/>
  <c r="FH6" i="137"/>
  <c r="FH7" i="137"/>
  <c r="FH8" i="137"/>
  <c r="FH9" i="137"/>
  <c r="FH10" i="137"/>
  <c r="FH11" i="137"/>
  <c r="EM3" i="137"/>
  <c r="I27" i="35" l="1"/>
  <c r="K27" i="35" s="1"/>
  <c r="L191" i="39"/>
  <c r="I223" i="39"/>
  <c r="AJ20" i="35"/>
  <c r="AJ10" i="35" s="1"/>
  <c r="AJ53" i="35"/>
  <c r="I46" i="35" l="1"/>
  <c r="M46" i="35" s="1"/>
  <c r="I194" i="39"/>
  <c r="AJ9" i="35"/>
  <c r="DM3" i="139"/>
  <c r="DN3" i="139"/>
  <c r="DM4" i="139"/>
  <c r="DN4" i="139"/>
  <c r="DM5" i="139"/>
  <c r="DN5" i="139"/>
  <c r="DM6" i="139"/>
  <c r="DN6" i="139"/>
  <c r="DM7" i="139"/>
  <c r="DN7" i="139"/>
  <c r="DM8" i="139"/>
  <c r="DN8" i="139"/>
  <c r="DL4" i="139"/>
  <c r="DL5" i="139"/>
  <c r="DL6" i="139"/>
  <c r="DL7" i="139"/>
  <c r="DL8" i="139"/>
  <c r="DL3" i="139"/>
  <c r="AI11" i="35"/>
  <c r="AI22" i="35"/>
  <c r="EW4" i="137"/>
  <c r="EX4" i="137"/>
  <c r="EY4" i="137"/>
  <c r="EW5" i="137"/>
  <c r="EX5" i="137"/>
  <c r="EY5" i="137"/>
  <c r="EW6" i="137"/>
  <c r="EX6" i="137"/>
  <c r="EY6" i="137"/>
  <c r="EW7" i="137"/>
  <c r="EX7" i="137"/>
  <c r="EY7" i="137"/>
  <c r="EW8" i="137"/>
  <c r="EX8" i="137"/>
  <c r="EY8" i="137"/>
  <c r="EW9" i="137"/>
  <c r="EX9" i="137"/>
  <c r="EY9" i="137"/>
  <c r="EW10" i="137"/>
  <c r="EX10" i="137"/>
  <c r="EY10" i="137"/>
  <c r="EW11" i="137"/>
  <c r="EX11" i="137"/>
  <c r="EY11" i="137"/>
  <c r="EW12" i="137"/>
  <c r="EX12" i="137"/>
  <c r="EY12" i="137"/>
  <c r="EW13" i="137"/>
  <c r="EX13" i="137"/>
  <c r="EY13" i="137"/>
  <c r="EW14" i="137"/>
  <c r="EX14" i="137"/>
  <c r="EY14" i="137"/>
  <c r="EW15" i="137"/>
  <c r="EX15" i="137"/>
  <c r="EY15" i="137"/>
  <c r="EW16" i="137"/>
  <c r="EX16" i="137"/>
  <c r="EY16" i="137"/>
  <c r="EW17" i="137"/>
  <c r="EX17" i="137"/>
  <c r="EY17" i="137"/>
  <c r="EW18" i="137"/>
  <c r="EX18" i="137"/>
  <c r="EY18" i="137"/>
  <c r="EW19" i="137"/>
  <c r="EX19" i="137"/>
  <c r="EY19" i="137"/>
  <c r="EW20" i="137"/>
  <c r="EX20" i="137"/>
  <c r="EY20" i="137"/>
  <c r="EW21" i="137"/>
  <c r="EX21" i="137"/>
  <c r="EY21" i="137"/>
  <c r="EW22" i="137"/>
  <c r="EX22" i="137"/>
  <c r="EY22" i="137"/>
  <c r="EW23" i="137"/>
  <c r="EX23" i="137"/>
  <c r="EY23" i="137"/>
  <c r="EW24" i="137"/>
  <c r="EX24" i="137"/>
  <c r="EY24" i="137"/>
  <c r="EW25" i="137"/>
  <c r="EX25" i="137"/>
  <c r="EY25" i="137"/>
  <c r="EW26" i="137"/>
  <c r="EX26" i="137"/>
  <c r="EY26" i="137"/>
  <c r="EW27" i="137"/>
  <c r="EX27" i="137"/>
  <c r="EY27" i="137"/>
  <c r="EW28" i="137"/>
  <c r="EX28" i="137"/>
  <c r="EY28" i="137"/>
  <c r="EW29" i="137"/>
  <c r="EW30" i="137"/>
  <c r="EX30" i="137"/>
  <c r="EY30" i="137"/>
  <c r="EW31" i="137"/>
  <c r="EX31" i="137"/>
  <c r="EY31" i="137"/>
  <c r="EW32" i="137"/>
  <c r="EX32" i="137"/>
  <c r="EY32" i="137"/>
  <c r="EW33" i="137"/>
  <c r="EX33" i="137"/>
  <c r="EY33" i="137"/>
  <c r="EW34" i="137"/>
  <c r="EX34" i="137"/>
  <c r="EY34" i="137"/>
  <c r="EW35" i="137"/>
  <c r="EX35" i="137"/>
  <c r="EY35" i="137"/>
  <c r="EW36" i="137"/>
  <c r="EX36" i="137"/>
  <c r="EY36" i="137"/>
  <c r="EW37" i="137"/>
  <c r="EX37" i="137"/>
  <c r="EY37" i="137"/>
  <c r="EW38" i="137"/>
  <c r="EX38" i="137"/>
  <c r="EY38" i="137"/>
  <c r="EW39" i="137"/>
  <c r="EX39" i="137"/>
  <c r="EY39" i="137"/>
  <c r="EW40" i="137"/>
  <c r="EX40" i="137"/>
  <c r="EY40" i="137"/>
  <c r="EW41" i="137"/>
  <c r="EX41" i="137"/>
  <c r="EY41" i="137"/>
  <c r="EW42" i="137"/>
  <c r="EX42" i="137"/>
  <c r="EY42" i="137"/>
  <c r="EW43" i="137"/>
  <c r="EX43" i="137"/>
  <c r="EY43" i="137"/>
  <c r="EW44" i="137"/>
  <c r="EX44" i="137"/>
  <c r="EY44" i="137"/>
  <c r="EW45" i="137"/>
  <c r="EX45" i="137"/>
  <c r="EY45" i="137"/>
  <c r="EW46" i="137"/>
  <c r="EX46" i="137"/>
  <c r="EY46" i="137"/>
  <c r="EW47" i="137"/>
  <c r="EX47" i="137"/>
  <c r="EY47" i="137"/>
  <c r="EW48" i="137"/>
  <c r="EX48" i="137"/>
  <c r="EY48" i="137"/>
  <c r="EW49" i="137"/>
  <c r="EX49" i="137"/>
  <c r="EY49" i="137"/>
  <c r="EW50" i="137"/>
  <c r="EX50" i="137"/>
  <c r="EY50" i="137"/>
  <c r="EW51" i="137"/>
  <c r="EX51" i="137"/>
  <c r="EY51" i="137"/>
  <c r="EW52" i="137"/>
  <c r="EX52" i="137"/>
  <c r="EY52" i="137"/>
  <c r="EW53" i="137"/>
  <c r="EX53" i="137"/>
  <c r="EY53" i="137"/>
  <c r="EW54" i="137"/>
  <c r="EX54" i="137"/>
  <c r="EY54" i="137"/>
  <c r="EX3" i="137"/>
  <c r="EY3" i="137"/>
  <c r="EW3" i="137"/>
  <c r="EM4" i="137"/>
  <c r="AI26" i="35" s="1"/>
  <c r="EM5" i="137"/>
  <c r="AI30" i="35" s="1"/>
  <c r="EM6" i="137"/>
  <c r="AI29" i="35" s="1"/>
  <c r="EM7" i="137"/>
  <c r="AI28" i="35" s="1"/>
  <c r="EM8" i="137"/>
  <c r="AI39" i="35" s="1"/>
  <c r="EM9" i="137"/>
  <c r="AI42" i="35" s="1"/>
  <c r="EM10" i="137"/>
  <c r="AI57" i="35" s="1"/>
  <c r="EM11" i="137"/>
  <c r="AI58" i="35" s="1"/>
  <c r="EM12" i="137"/>
  <c r="AI59" i="35" s="1"/>
  <c r="AI41" i="37"/>
  <c r="AI37" i="37"/>
  <c r="FF4" i="138"/>
  <c r="FG4" i="138"/>
  <c r="FH4" i="138"/>
  <c r="FF5" i="138"/>
  <c r="FG5" i="138"/>
  <c r="FH5" i="138"/>
  <c r="FF6" i="138"/>
  <c r="FG6" i="138"/>
  <c r="FH6" i="138"/>
  <c r="FF7" i="138"/>
  <c r="FG7" i="138"/>
  <c r="FH7" i="138"/>
  <c r="FF8" i="138"/>
  <c r="FG8" i="138"/>
  <c r="FH8" i="138"/>
  <c r="FF9" i="138"/>
  <c r="FG9" i="138"/>
  <c r="FH9" i="138"/>
  <c r="FF10" i="138"/>
  <c r="FG10" i="138"/>
  <c r="FH10" i="138"/>
  <c r="FF11" i="138"/>
  <c r="FG11" i="138"/>
  <c r="FH11" i="138"/>
  <c r="FF12" i="138"/>
  <c r="FG12" i="138"/>
  <c r="FH12" i="138"/>
  <c r="FF13" i="138"/>
  <c r="FG13" i="138"/>
  <c r="FH13" i="138"/>
  <c r="FF14" i="138"/>
  <c r="FG14" i="138"/>
  <c r="FH14" i="138"/>
  <c r="FF15" i="138"/>
  <c r="FG15" i="138"/>
  <c r="FH15" i="138"/>
  <c r="FF16" i="138"/>
  <c r="FG16" i="138"/>
  <c r="FH16" i="138"/>
  <c r="FF17" i="138"/>
  <c r="FG17" i="138"/>
  <c r="FH17" i="138"/>
  <c r="FF18" i="138"/>
  <c r="FG18" i="138"/>
  <c r="FH18" i="138"/>
  <c r="FF19" i="138"/>
  <c r="FG19" i="138"/>
  <c r="FH19" i="138"/>
  <c r="FF20" i="138"/>
  <c r="FG20" i="138"/>
  <c r="FH20" i="138"/>
  <c r="FF21" i="138"/>
  <c r="FG21" i="138"/>
  <c r="FH21" i="138"/>
  <c r="FF22" i="138"/>
  <c r="FG22" i="138"/>
  <c r="FH22" i="138"/>
  <c r="FF23" i="138"/>
  <c r="FG23" i="138"/>
  <c r="FH23" i="138"/>
  <c r="FF24" i="138"/>
  <c r="FG24" i="138"/>
  <c r="FH24" i="138"/>
  <c r="FF25" i="138"/>
  <c r="FG25" i="138"/>
  <c r="FH25" i="138"/>
  <c r="FF26" i="138"/>
  <c r="FG26" i="138"/>
  <c r="FH26" i="138"/>
  <c r="FF27" i="138"/>
  <c r="FG27" i="138"/>
  <c r="FH27" i="138"/>
  <c r="FF28" i="138"/>
  <c r="FG28" i="138"/>
  <c r="FH28" i="138"/>
  <c r="FF29" i="138"/>
  <c r="FG29" i="138"/>
  <c r="FH29" i="138"/>
  <c r="FF30" i="138"/>
  <c r="FG30" i="138"/>
  <c r="FH30" i="138"/>
  <c r="FF31" i="138"/>
  <c r="FG31" i="138"/>
  <c r="FH31" i="138"/>
  <c r="FF32" i="138"/>
  <c r="FG32" i="138"/>
  <c r="FH32" i="138"/>
  <c r="FF33" i="138"/>
  <c r="FG33" i="138"/>
  <c r="FH33" i="138"/>
  <c r="FF34" i="138"/>
  <c r="FG34" i="138"/>
  <c r="FH34" i="138"/>
  <c r="FF35" i="138"/>
  <c r="FG35" i="138"/>
  <c r="FH35" i="138"/>
  <c r="FF36" i="138"/>
  <c r="FG36" i="138"/>
  <c r="FH36" i="138"/>
  <c r="FF37" i="138"/>
  <c r="FG37" i="138"/>
  <c r="FH37" i="138"/>
  <c r="FF38" i="138"/>
  <c r="FG38" i="138"/>
  <c r="FH38" i="138"/>
  <c r="FF39" i="138"/>
  <c r="FG39" i="138"/>
  <c r="FH39" i="138"/>
  <c r="FF40" i="138"/>
  <c r="FG40" i="138"/>
  <c r="FH40" i="138"/>
  <c r="FF41" i="138"/>
  <c r="FG41" i="138"/>
  <c r="FH41" i="138"/>
  <c r="FF42" i="138"/>
  <c r="FG42" i="138"/>
  <c r="FH42" i="138"/>
  <c r="FF43" i="138"/>
  <c r="FG43" i="138"/>
  <c r="FH43" i="138"/>
  <c r="FF44" i="138"/>
  <c r="FG44" i="138"/>
  <c r="FH44" i="138"/>
  <c r="FF45" i="138"/>
  <c r="FG45" i="138"/>
  <c r="FH45" i="138"/>
  <c r="FF46" i="138"/>
  <c r="FG46" i="138"/>
  <c r="FH46" i="138"/>
  <c r="FF47" i="138"/>
  <c r="FG47" i="138"/>
  <c r="FH47" i="138"/>
  <c r="FF48" i="138"/>
  <c r="FG48" i="138"/>
  <c r="FH48" i="138"/>
  <c r="FF49" i="138"/>
  <c r="FG49" i="138"/>
  <c r="FH49" i="138"/>
  <c r="FF50" i="138"/>
  <c r="FG50" i="138"/>
  <c r="FH50" i="138"/>
  <c r="FF51" i="138"/>
  <c r="FG51" i="138"/>
  <c r="FH51" i="138"/>
  <c r="FF52" i="138"/>
  <c r="FG52" i="138"/>
  <c r="FH52" i="138"/>
  <c r="FF53" i="138"/>
  <c r="FG53" i="138"/>
  <c r="FH53" i="138"/>
  <c r="FF54" i="138"/>
  <c r="FG54" i="138"/>
  <c r="FH54" i="138"/>
  <c r="FF55" i="138"/>
  <c r="FG55" i="138"/>
  <c r="FH55" i="138"/>
  <c r="FG3" i="138"/>
  <c r="FH3" i="138"/>
  <c r="FF3" i="138"/>
  <c r="EV4" i="138"/>
  <c r="AI17" i="37" s="1"/>
  <c r="EV5" i="138"/>
  <c r="AI46" i="37" s="1"/>
  <c r="EV6" i="138"/>
  <c r="AI47" i="37" s="1"/>
  <c r="EV7" i="138"/>
  <c r="AI49" i="37" s="1"/>
  <c r="EV8" i="138"/>
  <c r="AI51" i="37" s="1"/>
  <c r="EV9" i="138"/>
  <c r="AI52" i="37" s="1"/>
  <c r="EV10" i="138"/>
  <c r="AI53" i="37" s="1"/>
  <c r="EV11" i="138"/>
  <c r="AI55" i="37" s="1"/>
  <c r="EV12" i="138"/>
  <c r="AI56" i="37" s="1"/>
  <c r="EV13" i="138"/>
  <c r="AI59" i="37" s="1"/>
  <c r="EV52" i="138"/>
  <c r="EV53" i="138"/>
  <c r="EV54" i="138"/>
  <c r="EV55" i="138"/>
  <c r="EV3" i="138"/>
  <c r="AI18" i="37" s="1"/>
  <c r="N208" i="39"/>
  <c r="O208" i="39" s="1"/>
  <c r="H214" i="39"/>
  <c r="DY4" i="136"/>
  <c r="DZ4" i="136"/>
  <c r="EA4" i="136"/>
  <c r="EB4" i="136"/>
  <c r="DY5" i="136"/>
  <c r="DZ5" i="136"/>
  <c r="EA5" i="136"/>
  <c r="EB5" i="136"/>
  <c r="DY6" i="136"/>
  <c r="DZ6" i="136"/>
  <c r="EA6" i="136"/>
  <c r="EB6" i="136"/>
  <c r="DY7" i="136"/>
  <c r="DZ7" i="136"/>
  <c r="EA7" i="136"/>
  <c r="EB7" i="136"/>
  <c r="DY8" i="136"/>
  <c r="DZ8" i="136"/>
  <c r="EA8" i="136"/>
  <c r="EB8" i="136"/>
  <c r="DY9" i="136"/>
  <c r="DZ9" i="136"/>
  <c r="EA9" i="136"/>
  <c r="EB9" i="136"/>
  <c r="DY10" i="136"/>
  <c r="DZ10" i="136"/>
  <c r="EA10" i="136"/>
  <c r="EB10" i="136"/>
  <c r="DY11" i="136"/>
  <c r="DZ11" i="136"/>
  <c r="EA11" i="136"/>
  <c r="EB11" i="136"/>
  <c r="DY12" i="136"/>
  <c r="DZ12" i="136"/>
  <c r="EA12" i="136"/>
  <c r="EB12" i="136"/>
  <c r="DY13" i="136"/>
  <c r="DZ13" i="136"/>
  <c r="EA13" i="136"/>
  <c r="EB13" i="136"/>
  <c r="DY14" i="136"/>
  <c r="DZ14" i="136"/>
  <c r="EA14" i="136"/>
  <c r="EB14" i="136"/>
  <c r="DY15" i="136"/>
  <c r="DZ15" i="136"/>
  <c r="EA15" i="136"/>
  <c r="EB15" i="136"/>
  <c r="DY16" i="136"/>
  <c r="DZ16" i="136"/>
  <c r="EA16" i="136"/>
  <c r="EB16" i="136"/>
  <c r="DY17" i="136"/>
  <c r="DZ17" i="136"/>
  <c r="EA17" i="136"/>
  <c r="EB17" i="136"/>
  <c r="DY18" i="136"/>
  <c r="DZ18" i="136"/>
  <c r="EA18" i="136"/>
  <c r="EB18" i="136"/>
  <c r="DY19" i="136"/>
  <c r="DZ19" i="136"/>
  <c r="EA19" i="136"/>
  <c r="EB19" i="136"/>
  <c r="DY20" i="136"/>
  <c r="DZ20" i="136"/>
  <c r="EA20" i="136"/>
  <c r="EB20" i="136"/>
  <c r="DY21" i="136"/>
  <c r="DZ21" i="136"/>
  <c r="EA21" i="136"/>
  <c r="EB21" i="136"/>
  <c r="DY22" i="136"/>
  <c r="DZ22" i="136"/>
  <c r="EA22" i="136"/>
  <c r="EB22" i="136"/>
  <c r="DY23" i="136"/>
  <c r="DZ23" i="136"/>
  <c r="EA23" i="136"/>
  <c r="EB23" i="136"/>
  <c r="DY24" i="136"/>
  <c r="DZ24" i="136"/>
  <c r="EA24" i="136"/>
  <c r="EB24" i="136"/>
  <c r="DY25" i="136"/>
  <c r="DZ25" i="136"/>
  <c r="EA25" i="136"/>
  <c r="EB25" i="136"/>
  <c r="DY26" i="136"/>
  <c r="DZ26" i="136"/>
  <c r="EA26" i="136"/>
  <c r="EB26" i="136"/>
  <c r="DY27" i="136"/>
  <c r="DZ27" i="136"/>
  <c r="EA27" i="136"/>
  <c r="EB27" i="136"/>
  <c r="DY28" i="136"/>
  <c r="DZ28" i="136"/>
  <c r="EA28" i="136"/>
  <c r="EB28" i="136"/>
  <c r="DY29" i="136"/>
  <c r="DZ29" i="136"/>
  <c r="EA29" i="136"/>
  <c r="EB29" i="136"/>
  <c r="DY30" i="136"/>
  <c r="DZ30" i="136"/>
  <c r="EA30" i="136"/>
  <c r="EB30" i="136"/>
  <c r="DY31" i="136"/>
  <c r="DZ31" i="136"/>
  <c r="EA31" i="136"/>
  <c r="EB31" i="136"/>
  <c r="DY32" i="136"/>
  <c r="DZ32" i="136"/>
  <c r="EA32" i="136"/>
  <c r="EB32" i="136"/>
  <c r="DY33" i="136"/>
  <c r="DZ33" i="136"/>
  <c r="EA33" i="136"/>
  <c r="EB33" i="136"/>
  <c r="DY34" i="136"/>
  <c r="DZ34" i="136"/>
  <c r="EA34" i="136"/>
  <c r="EB34" i="136"/>
  <c r="DY35" i="136"/>
  <c r="DZ35" i="136"/>
  <c r="EA35" i="136"/>
  <c r="EB35" i="136"/>
  <c r="DY36" i="136"/>
  <c r="DZ36" i="136"/>
  <c r="EA36" i="136"/>
  <c r="EB36" i="136"/>
  <c r="DY37" i="136"/>
  <c r="DZ37" i="136"/>
  <c r="EA37" i="136"/>
  <c r="EB37" i="136"/>
  <c r="DY38" i="136"/>
  <c r="DZ38" i="136"/>
  <c r="EA38" i="136"/>
  <c r="EB38" i="136"/>
  <c r="DY39" i="136"/>
  <c r="DZ39" i="136"/>
  <c r="EA39" i="136"/>
  <c r="EB39" i="136"/>
  <c r="DY40" i="136"/>
  <c r="DZ40" i="136"/>
  <c r="EA40" i="136"/>
  <c r="EB40" i="136"/>
  <c r="DY41" i="136"/>
  <c r="DZ41" i="136"/>
  <c r="EA41" i="136"/>
  <c r="EB41" i="136"/>
  <c r="DY42" i="136"/>
  <c r="DZ42" i="136"/>
  <c r="EA42" i="136"/>
  <c r="EB42" i="136"/>
  <c r="DY43" i="136"/>
  <c r="DZ43" i="136"/>
  <c r="EA43" i="136"/>
  <c r="EB43" i="136"/>
  <c r="DY44" i="136"/>
  <c r="DZ44" i="136"/>
  <c r="EA44" i="136"/>
  <c r="EB44" i="136"/>
  <c r="DY45" i="136"/>
  <c r="DZ45" i="136"/>
  <c r="EA45" i="136"/>
  <c r="EB45" i="136"/>
  <c r="DY46" i="136"/>
  <c r="DZ46" i="136"/>
  <c r="EA46" i="136"/>
  <c r="EB46" i="136"/>
  <c r="DY47" i="136"/>
  <c r="DZ47" i="136"/>
  <c r="EA47" i="136"/>
  <c r="EB47" i="136"/>
  <c r="DY48" i="136"/>
  <c r="DZ48" i="136"/>
  <c r="EA48" i="136"/>
  <c r="EB48" i="136"/>
  <c r="DY49" i="136"/>
  <c r="DZ49" i="136"/>
  <c r="EA49" i="136"/>
  <c r="EB49" i="136"/>
  <c r="DY50" i="136"/>
  <c r="DZ50" i="136"/>
  <c r="EA50" i="136"/>
  <c r="EB50" i="136"/>
  <c r="DY51" i="136"/>
  <c r="DZ51" i="136"/>
  <c r="EA51" i="136"/>
  <c r="EB51" i="136"/>
  <c r="DY52" i="136"/>
  <c r="DZ52" i="136"/>
  <c r="EA52" i="136"/>
  <c r="EB52" i="136"/>
  <c r="DY53" i="136"/>
  <c r="DZ53" i="136"/>
  <c r="EA53" i="136"/>
  <c r="EB53" i="136"/>
  <c r="DY54" i="136"/>
  <c r="DZ54" i="136"/>
  <c r="EA54" i="136"/>
  <c r="EB54" i="136"/>
  <c r="DY55" i="136"/>
  <c r="DZ55" i="136"/>
  <c r="EA55" i="136"/>
  <c r="EB55" i="136"/>
  <c r="DY56" i="136"/>
  <c r="DZ56" i="136"/>
  <c r="EA56" i="136"/>
  <c r="EB56" i="136"/>
  <c r="DY57" i="136"/>
  <c r="DZ57" i="136"/>
  <c r="EA57" i="136"/>
  <c r="EB57" i="136"/>
  <c r="DY58" i="136"/>
  <c r="DZ58" i="136"/>
  <c r="EA58" i="136"/>
  <c r="EB58" i="136"/>
  <c r="DY59" i="136"/>
  <c r="DZ59" i="136"/>
  <c r="EA59" i="136"/>
  <c r="EB59" i="136"/>
  <c r="DY60" i="136"/>
  <c r="DZ60" i="136"/>
  <c r="EA60" i="136"/>
  <c r="EB60" i="136"/>
  <c r="DY61" i="136"/>
  <c r="DZ61" i="136"/>
  <c r="EA61" i="136"/>
  <c r="EB61" i="136"/>
  <c r="DY62" i="136"/>
  <c r="DZ62" i="136"/>
  <c r="EA62" i="136"/>
  <c r="EB62" i="136"/>
  <c r="DY63" i="136"/>
  <c r="DZ63" i="136"/>
  <c r="EA63" i="136"/>
  <c r="EB63" i="136"/>
  <c r="DY64" i="136"/>
  <c r="DZ64" i="136"/>
  <c r="EA64" i="136"/>
  <c r="EB64" i="136"/>
  <c r="DY65" i="136"/>
  <c r="DZ65" i="136"/>
  <c r="EA65" i="136"/>
  <c r="EB65" i="136"/>
  <c r="DY66" i="136"/>
  <c r="DZ66" i="136"/>
  <c r="EA66" i="136"/>
  <c r="EB66" i="136"/>
  <c r="DY67" i="136"/>
  <c r="DZ67" i="136"/>
  <c r="EA67" i="136"/>
  <c r="EB67" i="136"/>
  <c r="DY68" i="136"/>
  <c r="DZ68" i="136"/>
  <c r="EA68" i="136"/>
  <c r="EB68" i="136"/>
  <c r="DY69" i="136"/>
  <c r="DZ69" i="136"/>
  <c r="EA69" i="136"/>
  <c r="EB69" i="136"/>
  <c r="DY70" i="136"/>
  <c r="DZ70" i="136"/>
  <c r="EA70" i="136"/>
  <c r="EB70" i="136"/>
  <c r="DY71" i="136"/>
  <c r="DZ71" i="136"/>
  <c r="EA71" i="136"/>
  <c r="EB71" i="136"/>
  <c r="DY72" i="136"/>
  <c r="DZ72" i="136"/>
  <c r="EA72" i="136"/>
  <c r="EB72" i="136"/>
  <c r="DY73" i="136"/>
  <c r="DZ73" i="136"/>
  <c r="EA73" i="136"/>
  <c r="EB73" i="136"/>
  <c r="DY74" i="136"/>
  <c r="DZ74" i="136"/>
  <c r="EA74" i="136"/>
  <c r="EB74" i="136"/>
  <c r="DY75" i="136"/>
  <c r="DZ75" i="136"/>
  <c r="EA75" i="136"/>
  <c r="EB75" i="136"/>
  <c r="DY76" i="136"/>
  <c r="DZ76" i="136"/>
  <c r="EA76" i="136"/>
  <c r="EB76" i="136"/>
  <c r="DY77" i="136"/>
  <c r="DZ77" i="136"/>
  <c r="EA77" i="136"/>
  <c r="EB77" i="136"/>
  <c r="DY78" i="136"/>
  <c r="DZ78" i="136"/>
  <c r="EA78" i="136"/>
  <c r="EB78" i="136"/>
  <c r="DY79" i="136"/>
  <c r="DZ79" i="136"/>
  <c r="EA79" i="136"/>
  <c r="EB79" i="136"/>
  <c r="DY80" i="136"/>
  <c r="DZ80" i="136"/>
  <c r="EA80" i="136"/>
  <c r="EB80" i="136"/>
  <c r="DY81" i="136"/>
  <c r="DZ81" i="136"/>
  <c r="EA81" i="136"/>
  <c r="EB81" i="136"/>
  <c r="DY82" i="136"/>
  <c r="DZ82" i="136"/>
  <c r="EA82" i="136"/>
  <c r="EB82" i="136"/>
  <c r="DY83" i="136"/>
  <c r="DZ83" i="136"/>
  <c r="EA83" i="136"/>
  <c r="EB83" i="136"/>
  <c r="DY84" i="136"/>
  <c r="DZ84" i="136"/>
  <c r="EA84" i="136"/>
  <c r="EB84" i="136"/>
  <c r="DY85" i="136"/>
  <c r="DZ85" i="136"/>
  <c r="EA85" i="136"/>
  <c r="EB85" i="136"/>
  <c r="DY86" i="136"/>
  <c r="DZ86" i="136"/>
  <c r="EA86" i="136"/>
  <c r="EB86" i="136"/>
  <c r="DY87" i="136"/>
  <c r="DZ87" i="136"/>
  <c r="EA87" i="136"/>
  <c r="EB87" i="136"/>
  <c r="DY88" i="136"/>
  <c r="DZ88" i="136"/>
  <c r="EA88" i="136"/>
  <c r="EB88" i="136"/>
  <c r="DY89" i="136"/>
  <c r="DZ89" i="136"/>
  <c r="EA89" i="136"/>
  <c r="EB89" i="136"/>
  <c r="DY90" i="136"/>
  <c r="DZ90" i="136"/>
  <c r="EA90" i="136"/>
  <c r="EB90" i="136"/>
  <c r="DY91" i="136"/>
  <c r="DZ91" i="136"/>
  <c r="EA91" i="136"/>
  <c r="EB91" i="136"/>
  <c r="DY92" i="136"/>
  <c r="DZ92" i="136"/>
  <c r="EA92" i="136"/>
  <c r="EB92" i="136"/>
  <c r="DY93" i="136"/>
  <c r="DZ93" i="136"/>
  <c r="EA93" i="136"/>
  <c r="EB93" i="136"/>
  <c r="DY94" i="136"/>
  <c r="DZ94" i="136"/>
  <c r="EA94" i="136"/>
  <c r="EB94" i="136"/>
  <c r="DY95" i="136"/>
  <c r="DZ95" i="136"/>
  <c r="EA95" i="136"/>
  <c r="EB95" i="136"/>
  <c r="DY96" i="136"/>
  <c r="DZ96" i="136"/>
  <c r="EA96" i="136"/>
  <c r="EB96" i="136"/>
  <c r="DY97" i="136"/>
  <c r="DZ97" i="136"/>
  <c r="EA97" i="136"/>
  <c r="EB97" i="136"/>
  <c r="DY98" i="136"/>
  <c r="DZ98" i="136"/>
  <c r="EA98" i="136"/>
  <c r="EB98" i="136"/>
  <c r="DY99" i="136"/>
  <c r="DZ99" i="136"/>
  <c r="EA99" i="136"/>
  <c r="EB99" i="136"/>
  <c r="DY100" i="136"/>
  <c r="DZ100" i="136"/>
  <c r="EA100" i="136"/>
  <c r="EB100" i="136"/>
  <c r="DY101" i="136"/>
  <c r="DZ101" i="136"/>
  <c r="EA101" i="136"/>
  <c r="EB101" i="136"/>
  <c r="DY102" i="136"/>
  <c r="DZ102" i="136"/>
  <c r="EA102" i="136"/>
  <c r="EB102" i="136"/>
  <c r="DY103" i="136"/>
  <c r="DZ103" i="136"/>
  <c r="EA103" i="136"/>
  <c r="EB103" i="136"/>
  <c r="DY104" i="136"/>
  <c r="DZ104" i="136"/>
  <c r="EA104" i="136"/>
  <c r="EB104" i="136"/>
  <c r="DY105" i="136"/>
  <c r="DZ105" i="136"/>
  <c r="EA105" i="136"/>
  <c r="EB105" i="136"/>
  <c r="DY106" i="136"/>
  <c r="DZ106" i="136"/>
  <c r="EA106" i="136"/>
  <c r="EB106" i="136"/>
  <c r="DY107" i="136"/>
  <c r="DZ107" i="136"/>
  <c r="EA107" i="136"/>
  <c r="EB107" i="136"/>
  <c r="DY108" i="136"/>
  <c r="DZ108" i="136"/>
  <c r="EA108" i="136"/>
  <c r="EB108" i="136"/>
  <c r="DY109" i="136"/>
  <c r="DZ109" i="136"/>
  <c r="EA109" i="136"/>
  <c r="EB109" i="136"/>
  <c r="DY110" i="136"/>
  <c r="DZ110" i="136"/>
  <c r="EA110" i="136"/>
  <c r="EB110" i="136"/>
  <c r="DY111" i="136"/>
  <c r="DZ111" i="136"/>
  <c r="EA111" i="136"/>
  <c r="EB111" i="136"/>
  <c r="DY112" i="136"/>
  <c r="DZ112" i="136"/>
  <c r="EA112" i="136"/>
  <c r="EB112" i="136"/>
  <c r="DY113" i="136"/>
  <c r="DZ113" i="136"/>
  <c r="EA113" i="136"/>
  <c r="EB113" i="136"/>
  <c r="DY114" i="136"/>
  <c r="DZ114" i="136"/>
  <c r="EA114" i="136"/>
  <c r="EB114" i="136"/>
  <c r="DY115" i="136"/>
  <c r="DZ115" i="136"/>
  <c r="EA115" i="136"/>
  <c r="EB115" i="136"/>
  <c r="DY116" i="136"/>
  <c r="DZ116" i="136"/>
  <c r="EA116" i="136"/>
  <c r="EB116" i="136"/>
  <c r="DY117" i="136"/>
  <c r="DZ117" i="136"/>
  <c r="EA117" i="136"/>
  <c r="EB117" i="136"/>
  <c r="DY118" i="136"/>
  <c r="DZ118" i="136"/>
  <c r="EA118" i="136"/>
  <c r="EB118" i="136"/>
  <c r="DY119" i="136"/>
  <c r="DZ119" i="136"/>
  <c r="EA119" i="136"/>
  <c r="EB119" i="136"/>
  <c r="DY120" i="136"/>
  <c r="DZ120" i="136"/>
  <c r="EA120" i="136"/>
  <c r="EB120" i="136"/>
  <c r="DY121" i="136"/>
  <c r="DZ121" i="136"/>
  <c r="EA121" i="136"/>
  <c r="EB121" i="136"/>
  <c r="DY122" i="136"/>
  <c r="DZ122" i="136"/>
  <c r="EA122" i="136"/>
  <c r="EB122" i="136"/>
  <c r="DY123" i="136"/>
  <c r="DZ123" i="136"/>
  <c r="EA123" i="136"/>
  <c r="EB123" i="136"/>
  <c r="DY124" i="136"/>
  <c r="DZ124" i="136"/>
  <c r="EA124" i="136"/>
  <c r="EB124" i="136"/>
  <c r="DY125" i="136"/>
  <c r="DZ125" i="136"/>
  <c r="EA125" i="136"/>
  <c r="EB125" i="136"/>
  <c r="DY126" i="136"/>
  <c r="DZ126" i="136"/>
  <c r="EA126" i="136"/>
  <c r="EB126" i="136"/>
  <c r="DY127" i="136"/>
  <c r="DZ127" i="136"/>
  <c r="EA127" i="136"/>
  <c r="EB127" i="136"/>
  <c r="DY128" i="136"/>
  <c r="DZ128" i="136"/>
  <c r="EA128" i="136"/>
  <c r="EB128" i="136"/>
  <c r="DY129" i="136"/>
  <c r="DZ129" i="136"/>
  <c r="EA129" i="136"/>
  <c r="EB129" i="136"/>
  <c r="DY130" i="136"/>
  <c r="DZ130" i="136"/>
  <c r="EA130" i="136"/>
  <c r="EB130" i="136"/>
  <c r="DY131" i="136"/>
  <c r="DZ131" i="136"/>
  <c r="EA131" i="136"/>
  <c r="EB131" i="136"/>
  <c r="DY132" i="136"/>
  <c r="DZ132" i="136"/>
  <c r="EA132" i="136"/>
  <c r="EB132" i="136"/>
  <c r="DY133" i="136"/>
  <c r="DZ133" i="136"/>
  <c r="EA133" i="136"/>
  <c r="EB133" i="136"/>
  <c r="DY134" i="136"/>
  <c r="DZ134" i="136"/>
  <c r="EA134" i="136"/>
  <c r="EB134" i="136"/>
  <c r="DY135" i="136"/>
  <c r="DZ135" i="136"/>
  <c r="EA135" i="136"/>
  <c r="EB135" i="136"/>
  <c r="DY136" i="136"/>
  <c r="DZ136" i="136"/>
  <c r="EA136" i="136"/>
  <c r="EB136" i="136"/>
  <c r="DY137" i="136"/>
  <c r="DZ137" i="136"/>
  <c r="EA137" i="136"/>
  <c r="EB137" i="136"/>
  <c r="DY138" i="136"/>
  <c r="DZ138" i="136"/>
  <c r="EA138" i="136"/>
  <c r="EB138" i="136"/>
  <c r="DY139" i="136"/>
  <c r="DZ139" i="136"/>
  <c r="EA139" i="136"/>
  <c r="EB139" i="136"/>
  <c r="DY140" i="136"/>
  <c r="DZ140" i="136"/>
  <c r="EA140" i="136"/>
  <c r="EB140" i="136"/>
  <c r="DY141" i="136"/>
  <c r="DZ141" i="136"/>
  <c r="EA141" i="136"/>
  <c r="EB141" i="136"/>
  <c r="DY142" i="136"/>
  <c r="DZ142" i="136"/>
  <c r="EA142" i="136"/>
  <c r="EB142" i="136"/>
  <c r="DY143" i="136"/>
  <c r="DZ143" i="136"/>
  <c r="EA143" i="136"/>
  <c r="EB143" i="136"/>
  <c r="DY144" i="136"/>
  <c r="DZ144" i="136"/>
  <c r="EA144" i="136"/>
  <c r="EB144" i="136"/>
  <c r="DY145" i="136"/>
  <c r="DZ145" i="136"/>
  <c r="EA145" i="136"/>
  <c r="EB145" i="136"/>
  <c r="DY146" i="136"/>
  <c r="DZ146" i="136"/>
  <c r="EA146" i="136"/>
  <c r="EB146" i="136"/>
  <c r="DY147" i="136"/>
  <c r="DZ147" i="136"/>
  <c r="EA147" i="136"/>
  <c r="EB147" i="136"/>
  <c r="DY148" i="136"/>
  <c r="DZ148" i="136"/>
  <c r="EA148" i="136"/>
  <c r="EB148" i="136"/>
  <c r="DY149" i="136"/>
  <c r="DZ149" i="136"/>
  <c r="EA149" i="136"/>
  <c r="EB149" i="136"/>
  <c r="DY150" i="136"/>
  <c r="DZ150" i="136"/>
  <c r="EA150" i="136"/>
  <c r="EB150" i="136"/>
  <c r="DY151" i="136"/>
  <c r="DZ151" i="136"/>
  <c r="EA151" i="136"/>
  <c r="EB151" i="136"/>
  <c r="DY152" i="136"/>
  <c r="DZ152" i="136"/>
  <c r="EA152" i="136"/>
  <c r="EB152" i="136"/>
  <c r="DY153" i="136"/>
  <c r="DZ153" i="136"/>
  <c r="EA153" i="136"/>
  <c r="EB153" i="136"/>
  <c r="DY154" i="136"/>
  <c r="DZ154" i="136"/>
  <c r="EA154" i="136"/>
  <c r="EB154" i="136"/>
  <c r="DY155" i="136"/>
  <c r="DZ155" i="136"/>
  <c r="EA155" i="136"/>
  <c r="EB155" i="136"/>
  <c r="DY156" i="136"/>
  <c r="DZ156" i="136"/>
  <c r="EA156" i="136"/>
  <c r="EB156" i="136"/>
  <c r="DY157" i="136"/>
  <c r="DZ157" i="136"/>
  <c r="EA157" i="136"/>
  <c r="EB157" i="136"/>
  <c r="DY158" i="136"/>
  <c r="DZ158" i="136"/>
  <c r="EA158" i="136"/>
  <c r="EB158" i="136"/>
  <c r="DY159" i="136"/>
  <c r="DZ159" i="136"/>
  <c r="EA159" i="136"/>
  <c r="EB159" i="136"/>
  <c r="DY160" i="136"/>
  <c r="DZ160" i="136"/>
  <c r="EA160" i="136"/>
  <c r="EB160" i="136"/>
  <c r="DY161" i="136"/>
  <c r="DZ161" i="136"/>
  <c r="EA161" i="136"/>
  <c r="EB161" i="136"/>
  <c r="DY162" i="136"/>
  <c r="DZ162" i="136"/>
  <c r="EA162" i="136"/>
  <c r="EB162" i="136"/>
  <c r="DY163" i="136"/>
  <c r="DZ163" i="136"/>
  <c r="EA163" i="136"/>
  <c r="EB163" i="136"/>
  <c r="DY164" i="136"/>
  <c r="DZ164" i="136"/>
  <c r="EA164" i="136"/>
  <c r="EB164" i="136"/>
  <c r="DZ3" i="136"/>
  <c r="EA3" i="136"/>
  <c r="EB3" i="136"/>
  <c r="DY3" i="136"/>
  <c r="DR4" i="136"/>
  <c r="AJ11" i="4" s="1"/>
  <c r="DR5" i="136"/>
  <c r="AJ12" i="4" s="1"/>
  <c r="DR6" i="136"/>
  <c r="AJ13" i="4" s="1"/>
  <c r="DR7" i="136"/>
  <c r="AJ14" i="4" s="1"/>
  <c r="DR8" i="136"/>
  <c r="AJ15" i="4" s="1"/>
  <c r="DR9" i="136"/>
  <c r="AJ17" i="4" s="1"/>
  <c r="DR10" i="136"/>
  <c r="AJ18" i="4" s="1"/>
  <c r="DR11" i="136"/>
  <c r="AJ19" i="4" s="1"/>
  <c r="DR12" i="136"/>
  <c r="AJ20" i="4" s="1"/>
  <c r="DR13" i="136"/>
  <c r="AJ21" i="4" s="1"/>
  <c r="DR14" i="136"/>
  <c r="AJ22" i="4" s="1"/>
  <c r="DR15" i="136"/>
  <c r="AJ23" i="4" s="1"/>
  <c r="DR16" i="136"/>
  <c r="AJ26" i="4" s="1"/>
  <c r="DR17" i="136"/>
  <c r="AJ27" i="4" s="1"/>
  <c r="DR18" i="136"/>
  <c r="AJ28" i="4" s="1"/>
  <c r="DR19" i="136"/>
  <c r="AJ29" i="4" s="1"/>
  <c r="DR20" i="136"/>
  <c r="AJ30" i="4" s="1"/>
  <c r="DR21" i="136"/>
  <c r="AJ31" i="4" s="1"/>
  <c r="DR22" i="136"/>
  <c r="AJ33" i="4" s="1"/>
  <c r="DR23" i="136"/>
  <c r="AJ34" i="4" s="1"/>
  <c r="DR24" i="136"/>
  <c r="AJ36" i="4" s="1"/>
  <c r="DR25" i="136"/>
  <c r="AJ38" i="4" s="1"/>
  <c r="DR26" i="136"/>
  <c r="AJ39" i="4" s="1"/>
  <c r="DR27" i="136"/>
  <c r="AJ42" i="4" s="1"/>
  <c r="DR28" i="136"/>
  <c r="AJ43" i="4" s="1"/>
  <c r="DR29" i="136"/>
  <c r="AJ44" i="4" s="1"/>
  <c r="DR30" i="136"/>
  <c r="AJ45" i="4" s="1"/>
  <c r="DR31" i="136"/>
  <c r="AJ46" i="4" s="1"/>
  <c r="DR32" i="136"/>
  <c r="AJ47" i="4" s="1"/>
  <c r="DR33" i="136"/>
  <c r="AJ49" i="4" s="1"/>
  <c r="DR34" i="136"/>
  <c r="AJ50" i="4" s="1"/>
  <c r="DR35" i="136"/>
  <c r="AJ51" i="4" s="1"/>
  <c r="DR36" i="136"/>
  <c r="AJ52" i="4" s="1"/>
  <c r="DR37" i="136"/>
  <c r="AJ53" i="4" s="1"/>
  <c r="DR38" i="136"/>
  <c r="AJ54" i="4" s="1"/>
  <c r="DR39" i="136"/>
  <c r="AJ57" i="4" s="1"/>
  <c r="DR40" i="136"/>
  <c r="AJ58" i="4" s="1"/>
  <c r="DR41" i="136"/>
  <c r="AJ59" i="4" s="1"/>
  <c r="DR42" i="136"/>
  <c r="AJ60" i="4" s="1"/>
  <c r="DR43" i="136"/>
  <c r="AJ61" i="4" s="1"/>
  <c r="DR44" i="136"/>
  <c r="AJ62" i="4" s="1"/>
  <c r="DR45" i="136"/>
  <c r="AJ64" i="4" s="1"/>
  <c r="DR46" i="136"/>
  <c r="AJ65" i="4" s="1"/>
  <c r="DR47" i="136"/>
  <c r="AJ66" i="4" s="1"/>
  <c r="DR48" i="136"/>
  <c r="AJ67" i="4" s="1"/>
  <c r="DR49" i="136"/>
  <c r="AJ69" i="4" s="1"/>
  <c r="DR50" i="136"/>
  <c r="AJ70" i="4" s="1"/>
  <c r="DR51" i="136"/>
  <c r="AJ73" i="4" s="1"/>
  <c r="DR52" i="136"/>
  <c r="AJ74" i="4" s="1"/>
  <c r="DR53" i="136"/>
  <c r="AJ75" i="4" s="1"/>
  <c r="DR54" i="136"/>
  <c r="AJ76" i="4" s="1"/>
  <c r="DR55" i="136"/>
  <c r="AJ77" i="4" s="1"/>
  <c r="DR56" i="136"/>
  <c r="AJ80" i="4" s="1"/>
  <c r="DR57" i="136"/>
  <c r="AJ89" i="4" s="1"/>
  <c r="DR58" i="136"/>
  <c r="AJ90" i="4" s="1"/>
  <c r="DR59" i="136"/>
  <c r="AJ97" i="4" s="1"/>
  <c r="DR60" i="136"/>
  <c r="AJ101" i="4" s="1"/>
  <c r="DR61" i="136"/>
  <c r="AJ103" i="4" s="1"/>
  <c r="DR62" i="136"/>
  <c r="AJ104" i="4" s="1"/>
  <c r="DR63" i="136"/>
  <c r="AJ105" i="4" s="1"/>
  <c r="DR64" i="136"/>
  <c r="AJ107" i="4" s="1"/>
  <c r="DR65" i="136"/>
  <c r="AJ108" i="4" s="1"/>
  <c r="DR66" i="136"/>
  <c r="AJ109" i="4" s="1"/>
  <c r="DR67" i="136"/>
  <c r="AJ110" i="4" s="1"/>
  <c r="DR68" i="136"/>
  <c r="AJ111" i="4" s="1"/>
  <c r="DR69" i="136"/>
  <c r="AJ112" i="4" s="1"/>
  <c r="DR70" i="136"/>
  <c r="AJ113" i="4" s="1"/>
  <c r="DR71" i="136"/>
  <c r="AJ114" i="4" s="1"/>
  <c r="DR72" i="136"/>
  <c r="AJ120" i="4" s="1"/>
  <c r="DR73" i="136"/>
  <c r="AJ121" i="4" s="1"/>
  <c r="DR74" i="136"/>
  <c r="AJ122" i="4" s="1"/>
  <c r="DR75" i="136"/>
  <c r="AJ124" i="4" s="1"/>
  <c r="DR76" i="136"/>
  <c r="AJ125" i="4" s="1"/>
  <c r="DR77" i="136"/>
  <c r="AJ126" i="4" s="1"/>
  <c r="DR78" i="136"/>
  <c r="AJ128" i="4" s="1"/>
  <c r="DR79" i="136"/>
  <c r="AJ129" i="4" s="1"/>
  <c r="DR80" i="136"/>
  <c r="AJ130" i="4" s="1"/>
  <c r="DR81" i="136"/>
  <c r="AJ131" i="4" s="1"/>
  <c r="DR82" i="136"/>
  <c r="AJ132" i="4" s="1"/>
  <c r="DR83" i="136"/>
  <c r="AJ133" i="4" s="1"/>
  <c r="DR84" i="136"/>
  <c r="AJ134" i="4" s="1"/>
  <c r="DR85" i="136"/>
  <c r="AJ135" i="4" s="1"/>
  <c r="DR86" i="136"/>
  <c r="AJ136" i="4" s="1"/>
  <c r="DR87" i="136"/>
  <c r="AJ140" i="4" s="1"/>
  <c r="DR88" i="136"/>
  <c r="AJ141" i="4" s="1"/>
  <c r="DR89" i="136"/>
  <c r="AJ142" i="4" s="1"/>
  <c r="DR90" i="136"/>
  <c r="AJ144" i="4" s="1"/>
  <c r="DR91" i="136"/>
  <c r="AJ145" i="4" s="1"/>
  <c r="DR92" i="136"/>
  <c r="AJ146" i="4" s="1"/>
  <c r="DR93" i="136"/>
  <c r="AJ156" i="4" s="1"/>
  <c r="DR94" i="136"/>
  <c r="AJ165" i="4" s="1"/>
  <c r="DR95" i="136"/>
  <c r="AJ172" i="4" s="1"/>
  <c r="DR96" i="136"/>
  <c r="AJ187" i="4" s="1"/>
  <c r="DR97" i="136"/>
  <c r="AJ188" i="4" s="1"/>
  <c r="DR98" i="136"/>
  <c r="AJ189" i="4" s="1"/>
  <c r="DR99" i="136"/>
  <c r="AJ205" i="4" s="1"/>
  <c r="DR100" i="136"/>
  <c r="AJ206" i="4" s="1"/>
  <c r="DR101" i="136"/>
  <c r="AJ207" i="4" s="1"/>
  <c r="DR102" i="136"/>
  <c r="AJ208" i="4" s="1"/>
  <c r="DR103" i="136"/>
  <c r="AJ209" i="4" s="1"/>
  <c r="DR3" i="136"/>
  <c r="AJ10" i="4" s="1"/>
  <c r="L32" i="54" l="1"/>
  <c r="L226" i="39"/>
  <c r="DL9" i="139"/>
  <c r="DN9" i="139"/>
  <c r="DM9" i="139"/>
  <c r="EV14" i="138"/>
  <c r="AI16" i="37"/>
  <c r="AI14" i="37" s="1"/>
  <c r="AI12" i="37" s="1"/>
  <c r="N214" i="39"/>
  <c r="O214" i="39" s="1"/>
  <c r="AI55" i="35"/>
  <c r="AI54" i="35" s="1"/>
  <c r="AI53" i="35" s="1"/>
  <c r="AI27" i="35"/>
  <c r="AI21" i="35"/>
  <c r="AI37" i="35"/>
  <c r="AI50" i="37"/>
  <c r="AI45" i="37"/>
  <c r="AJ9" i="4"/>
  <c r="CY4" i="139"/>
  <c r="CZ4" i="139"/>
  <c r="DA4" i="139"/>
  <c r="CY5" i="139"/>
  <c r="CZ5" i="139"/>
  <c r="DA5" i="139"/>
  <c r="CY6" i="139"/>
  <c r="CZ6" i="139"/>
  <c r="DA6" i="139"/>
  <c r="CY7" i="139"/>
  <c r="CZ7" i="139"/>
  <c r="DA7" i="139"/>
  <c r="CY8" i="139"/>
  <c r="CZ8" i="139"/>
  <c r="DA8" i="139"/>
  <c r="CZ3" i="139"/>
  <c r="DA3" i="139"/>
  <c r="CY3" i="139"/>
  <c r="AH37" i="37"/>
  <c r="EL4" i="138"/>
  <c r="EM4" i="138"/>
  <c r="EN4" i="138"/>
  <c r="EL5" i="138"/>
  <c r="EM5" i="138"/>
  <c r="EN5" i="138"/>
  <c r="EL6" i="138"/>
  <c r="EM6" i="138"/>
  <c r="EN6" i="138"/>
  <c r="EL7" i="138"/>
  <c r="EM7" i="138"/>
  <c r="EN7" i="138"/>
  <c r="EL8" i="138"/>
  <c r="EM8" i="138"/>
  <c r="EN8" i="138"/>
  <c r="EL9" i="138"/>
  <c r="EM9" i="138"/>
  <c r="EN9" i="138"/>
  <c r="EL10" i="138"/>
  <c r="EM10" i="138"/>
  <c r="EN10" i="138"/>
  <c r="EL11" i="138"/>
  <c r="EM11" i="138"/>
  <c r="EN11" i="138"/>
  <c r="EL12" i="138"/>
  <c r="EM12" i="138"/>
  <c r="EN12" i="138"/>
  <c r="EL13" i="138"/>
  <c r="EM13" i="138"/>
  <c r="EN13" i="138"/>
  <c r="EL14" i="138"/>
  <c r="EM14" i="138"/>
  <c r="EN14" i="138"/>
  <c r="EL15" i="138"/>
  <c r="EM15" i="138"/>
  <c r="EN15" i="138"/>
  <c r="EL16" i="138"/>
  <c r="EM16" i="138"/>
  <c r="EN16" i="138"/>
  <c r="EL17" i="138"/>
  <c r="EM17" i="138"/>
  <c r="EN17" i="138"/>
  <c r="EL18" i="138"/>
  <c r="EM18" i="138"/>
  <c r="EN18" i="138"/>
  <c r="EL19" i="138"/>
  <c r="EM19" i="138"/>
  <c r="EN19" i="138"/>
  <c r="EL20" i="138"/>
  <c r="EM20" i="138"/>
  <c r="EN20" i="138"/>
  <c r="EL21" i="138"/>
  <c r="EM21" i="138"/>
  <c r="EN21" i="138"/>
  <c r="EL22" i="138"/>
  <c r="EM22" i="138"/>
  <c r="EN22" i="138"/>
  <c r="EL23" i="138"/>
  <c r="EM23" i="138"/>
  <c r="EN23" i="138"/>
  <c r="EL24" i="138"/>
  <c r="EM24" i="138"/>
  <c r="EN24" i="138"/>
  <c r="EL25" i="138"/>
  <c r="EM25" i="138"/>
  <c r="EN25" i="138"/>
  <c r="EL26" i="138"/>
  <c r="EM26" i="138"/>
  <c r="EN26" i="138"/>
  <c r="EL27" i="138"/>
  <c r="EM27" i="138"/>
  <c r="EN27" i="138"/>
  <c r="EL28" i="138"/>
  <c r="EM28" i="138"/>
  <c r="EN28" i="138"/>
  <c r="EL29" i="138"/>
  <c r="EM29" i="138"/>
  <c r="EN29" i="138"/>
  <c r="EL30" i="138"/>
  <c r="EM30" i="138"/>
  <c r="EN30" i="138"/>
  <c r="EL31" i="138"/>
  <c r="EM31" i="138"/>
  <c r="EN31" i="138"/>
  <c r="EL32" i="138"/>
  <c r="EM32" i="138"/>
  <c r="EN32" i="138"/>
  <c r="EL33" i="138"/>
  <c r="EM33" i="138"/>
  <c r="EN33" i="138"/>
  <c r="EL34" i="138"/>
  <c r="EM34" i="138"/>
  <c r="EN34" i="138"/>
  <c r="EL35" i="138"/>
  <c r="EM35" i="138"/>
  <c r="EN35" i="138"/>
  <c r="EL36" i="138"/>
  <c r="EM36" i="138"/>
  <c r="EN36" i="138"/>
  <c r="EL37" i="138"/>
  <c r="EM37" i="138"/>
  <c r="EN37" i="138"/>
  <c r="EL38" i="138"/>
  <c r="EM38" i="138"/>
  <c r="EN38" i="138"/>
  <c r="EL39" i="138"/>
  <c r="EM39" i="138"/>
  <c r="EN39" i="138"/>
  <c r="EL40" i="138"/>
  <c r="EM40" i="138"/>
  <c r="EN40" i="138"/>
  <c r="EL41" i="138"/>
  <c r="EM41" i="138"/>
  <c r="EN41" i="138"/>
  <c r="EL42" i="138"/>
  <c r="EM42" i="138"/>
  <c r="EN42" i="138"/>
  <c r="EL43" i="138"/>
  <c r="EM43" i="138"/>
  <c r="EN43" i="138"/>
  <c r="EL44" i="138"/>
  <c r="EM44" i="138"/>
  <c r="EN44" i="138"/>
  <c r="EL45" i="138"/>
  <c r="EM45" i="138"/>
  <c r="EN45" i="138"/>
  <c r="EL46" i="138"/>
  <c r="EM46" i="138"/>
  <c r="EN46" i="138"/>
  <c r="EL47" i="138"/>
  <c r="EM47" i="138"/>
  <c r="EN47" i="138"/>
  <c r="EL48" i="138"/>
  <c r="EM48" i="138"/>
  <c r="EN48" i="138"/>
  <c r="EL49" i="138"/>
  <c r="EM49" i="138"/>
  <c r="EN49" i="138"/>
  <c r="EL50" i="138"/>
  <c r="EM50" i="138"/>
  <c r="EN50" i="138"/>
  <c r="EL51" i="138"/>
  <c r="EM51" i="138"/>
  <c r="EN51" i="138"/>
  <c r="EL52" i="138"/>
  <c r="EM52" i="138"/>
  <c r="EN52" i="138"/>
  <c r="EL53" i="138"/>
  <c r="EM53" i="138"/>
  <c r="EN53" i="138"/>
  <c r="EL54" i="138"/>
  <c r="EM54" i="138"/>
  <c r="EN54" i="138"/>
  <c r="EL55" i="138"/>
  <c r="EM55" i="138"/>
  <c r="EN55" i="138"/>
  <c r="EM3" i="138"/>
  <c r="EN3" i="138"/>
  <c r="EL3" i="138"/>
  <c r="EB4" i="138"/>
  <c r="AH17" i="37" s="1"/>
  <c r="EB5" i="138"/>
  <c r="AH18" i="37" s="1"/>
  <c r="EB6" i="138"/>
  <c r="AH23" i="37" s="1"/>
  <c r="EB7" i="138"/>
  <c r="AH46" i="37" s="1"/>
  <c r="EB8" i="138"/>
  <c r="AH47" i="37" s="1"/>
  <c r="EB9" i="138"/>
  <c r="AH48" i="37" s="1"/>
  <c r="EB10" i="138"/>
  <c r="AH51" i="37" s="1"/>
  <c r="EB11" i="138"/>
  <c r="AH53" i="37" s="1"/>
  <c r="EB12" i="138"/>
  <c r="AH54" i="37" s="1"/>
  <c r="EB13" i="138"/>
  <c r="AH55" i="37" s="1"/>
  <c r="EB14" i="138"/>
  <c r="AH56" i="37" s="1"/>
  <c r="EB15" i="138"/>
  <c r="AH59" i="37" s="1"/>
  <c r="EB16" i="138"/>
  <c r="AH60" i="37" s="1"/>
  <c r="Q60" i="37" s="1"/>
  <c r="R60" i="37" s="1"/>
  <c r="EB3" i="138"/>
  <c r="AH21" i="37" s="1"/>
  <c r="AH61" i="35"/>
  <c r="AH35" i="35"/>
  <c r="AH33" i="35"/>
  <c r="ED4" i="137"/>
  <c r="EE4" i="137"/>
  <c r="EF4" i="137"/>
  <c r="ED5" i="137"/>
  <c r="EE5" i="137"/>
  <c r="EF5" i="137"/>
  <c r="ED6" i="137"/>
  <c r="EE6" i="137"/>
  <c r="EF6" i="137"/>
  <c r="ED7" i="137"/>
  <c r="EE7" i="137"/>
  <c r="EF7" i="137"/>
  <c r="ED8" i="137"/>
  <c r="EE8" i="137"/>
  <c r="EF8" i="137"/>
  <c r="ED9" i="137"/>
  <c r="EE9" i="137"/>
  <c r="EF9" i="137"/>
  <c r="ED10" i="137"/>
  <c r="EE10" i="137"/>
  <c r="EF10" i="137"/>
  <c r="ED11" i="137"/>
  <c r="EE11" i="137"/>
  <c r="EF11" i="137"/>
  <c r="ED12" i="137"/>
  <c r="EE12" i="137"/>
  <c r="EF12" i="137"/>
  <c r="ED13" i="137"/>
  <c r="EE13" i="137"/>
  <c r="EF13" i="137"/>
  <c r="ED14" i="137"/>
  <c r="EE14" i="137"/>
  <c r="EF14" i="137"/>
  <c r="ED15" i="137"/>
  <c r="EE15" i="137"/>
  <c r="EF15" i="137"/>
  <c r="ED16" i="137"/>
  <c r="EE16" i="137"/>
  <c r="EF16" i="137"/>
  <c r="ED17" i="137"/>
  <c r="EE17" i="137"/>
  <c r="EF17" i="137"/>
  <c r="ED18" i="137"/>
  <c r="EE18" i="137"/>
  <c r="EF18" i="137"/>
  <c r="ED19" i="137"/>
  <c r="EE19" i="137"/>
  <c r="EF19" i="137"/>
  <c r="ED20" i="137"/>
  <c r="EE20" i="137"/>
  <c r="EF20" i="137"/>
  <c r="ED21" i="137"/>
  <c r="EE21" i="137"/>
  <c r="EF21" i="137"/>
  <c r="ED22" i="137"/>
  <c r="EE22" i="137"/>
  <c r="EF22" i="137"/>
  <c r="ED23" i="137"/>
  <c r="EE23" i="137"/>
  <c r="EF23" i="137"/>
  <c r="ED24" i="137"/>
  <c r="EE24" i="137"/>
  <c r="EF24" i="137"/>
  <c r="ED25" i="137"/>
  <c r="EE25" i="137"/>
  <c r="EF25" i="137"/>
  <c r="ED26" i="137"/>
  <c r="EE26" i="137"/>
  <c r="EF26" i="137"/>
  <c r="ED27" i="137"/>
  <c r="EE27" i="137"/>
  <c r="EF27" i="137"/>
  <c r="ED28" i="137"/>
  <c r="EE28" i="137"/>
  <c r="EF28" i="137"/>
  <c r="ED29" i="137"/>
  <c r="EE29" i="137"/>
  <c r="EF29" i="137"/>
  <c r="ED30" i="137"/>
  <c r="EE30" i="137"/>
  <c r="EF30" i="137"/>
  <c r="ED31" i="137"/>
  <c r="EE31" i="137"/>
  <c r="EF31" i="137"/>
  <c r="ED32" i="137"/>
  <c r="EE32" i="137"/>
  <c r="EF32" i="137"/>
  <c r="ED33" i="137"/>
  <c r="EE33" i="137"/>
  <c r="EF33" i="137"/>
  <c r="ED34" i="137"/>
  <c r="EE34" i="137"/>
  <c r="EF34" i="137"/>
  <c r="ED35" i="137"/>
  <c r="EE35" i="137"/>
  <c r="EF35" i="137"/>
  <c r="ED36" i="137"/>
  <c r="EE36" i="137"/>
  <c r="EF36" i="137"/>
  <c r="ED37" i="137"/>
  <c r="EE37" i="137"/>
  <c r="EF37" i="137"/>
  <c r="ED38" i="137"/>
  <c r="EE38" i="137"/>
  <c r="EF38" i="137"/>
  <c r="ED39" i="137"/>
  <c r="EE39" i="137"/>
  <c r="EF39" i="137"/>
  <c r="ED40" i="137"/>
  <c r="EE40" i="137"/>
  <c r="EF40" i="137"/>
  <c r="ED41" i="137"/>
  <c r="EE41" i="137"/>
  <c r="EF41" i="137"/>
  <c r="ED42" i="137"/>
  <c r="EE42" i="137"/>
  <c r="EF42" i="137"/>
  <c r="ED43" i="137"/>
  <c r="EE43" i="137"/>
  <c r="EF43" i="137"/>
  <c r="ED44" i="137"/>
  <c r="EE44" i="137"/>
  <c r="EF44" i="137"/>
  <c r="ED45" i="137"/>
  <c r="EE45" i="137"/>
  <c r="EF45" i="137"/>
  <c r="ED46" i="137"/>
  <c r="EE46" i="137"/>
  <c r="EF46" i="137"/>
  <c r="ED47" i="137"/>
  <c r="EE47" i="137"/>
  <c r="EF47" i="137"/>
  <c r="ED48" i="137"/>
  <c r="EE48" i="137"/>
  <c r="EF48" i="137"/>
  <c r="ED49" i="137"/>
  <c r="EE49" i="137"/>
  <c r="EF49" i="137"/>
  <c r="ED50" i="137"/>
  <c r="EE50" i="137"/>
  <c r="EF50" i="137"/>
  <c r="ED51" i="137"/>
  <c r="EE51" i="137"/>
  <c r="EF51" i="137"/>
  <c r="ED52" i="137"/>
  <c r="EE52" i="137"/>
  <c r="EF52" i="137"/>
  <c r="ED53" i="137"/>
  <c r="EE53" i="137"/>
  <c r="EF53" i="137"/>
  <c r="DU4" i="137"/>
  <c r="AH26" i="35" s="1"/>
  <c r="DU5" i="137"/>
  <c r="AH30" i="35" s="1"/>
  <c r="DU6" i="137"/>
  <c r="AH28" i="35" s="1"/>
  <c r="DU7" i="137"/>
  <c r="AH38" i="35" s="1"/>
  <c r="DU8" i="137"/>
  <c r="AH40" i="35" s="1"/>
  <c r="DU9" i="137"/>
  <c r="AH56" i="35" s="1"/>
  <c r="DU10" i="137"/>
  <c r="AH57" i="35" s="1"/>
  <c r="DU11" i="137"/>
  <c r="AH58" i="35" s="1"/>
  <c r="DU3" i="137"/>
  <c r="AH22" i="35" s="1"/>
  <c r="DJ4" i="136"/>
  <c r="DK4" i="136"/>
  <c r="DL4" i="136"/>
  <c r="DM4" i="136"/>
  <c r="DJ5" i="136"/>
  <c r="DK5" i="136"/>
  <c r="DL5" i="136"/>
  <c r="DM5" i="136"/>
  <c r="DJ6" i="136"/>
  <c r="DK6" i="136"/>
  <c r="DL6" i="136"/>
  <c r="DM6" i="136"/>
  <c r="DJ7" i="136"/>
  <c r="DK7" i="136"/>
  <c r="DL7" i="136"/>
  <c r="DM7" i="136"/>
  <c r="DJ8" i="136"/>
  <c r="DK8" i="136"/>
  <c r="DL8" i="136"/>
  <c r="DM8" i="136"/>
  <c r="DJ9" i="136"/>
  <c r="DK9" i="136"/>
  <c r="DL9" i="136"/>
  <c r="DM9" i="136"/>
  <c r="DJ10" i="136"/>
  <c r="DK10" i="136"/>
  <c r="DL10" i="136"/>
  <c r="DM10" i="136"/>
  <c r="DJ11" i="136"/>
  <c r="DK11" i="136"/>
  <c r="DL11" i="136"/>
  <c r="DM11" i="136"/>
  <c r="DJ12" i="136"/>
  <c r="DK12" i="136"/>
  <c r="DL12" i="136"/>
  <c r="DM12" i="136"/>
  <c r="DJ13" i="136"/>
  <c r="DK13" i="136"/>
  <c r="DL13" i="136"/>
  <c r="DM13" i="136"/>
  <c r="DJ14" i="136"/>
  <c r="DK14" i="136"/>
  <c r="DL14" i="136"/>
  <c r="DM14" i="136"/>
  <c r="DJ15" i="136"/>
  <c r="DK15" i="136"/>
  <c r="DL15" i="136"/>
  <c r="DM15" i="136"/>
  <c r="DJ16" i="136"/>
  <c r="DK16" i="136"/>
  <c r="DL16" i="136"/>
  <c r="DM16" i="136"/>
  <c r="DJ17" i="136"/>
  <c r="DK17" i="136"/>
  <c r="DL17" i="136"/>
  <c r="DM17" i="136"/>
  <c r="DJ18" i="136"/>
  <c r="DK18" i="136"/>
  <c r="DL18" i="136"/>
  <c r="DM18" i="136"/>
  <c r="DJ19" i="136"/>
  <c r="DK19" i="136"/>
  <c r="DL19" i="136"/>
  <c r="DM19" i="136"/>
  <c r="DJ20" i="136"/>
  <c r="DK20" i="136"/>
  <c r="DL20" i="136"/>
  <c r="DM20" i="136"/>
  <c r="DJ21" i="136"/>
  <c r="DK21" i="136"/>
  <c r="DL21" i="136"/>
  <c r="DM21" i="136"/>
  <c r="DJ22" i="136"/>
  <c r="DK22" i="136"/>
  <c r="DL22" i="136"/>
  <c r="DM22" i="136"/>
  <c r="DJ23" i="136"/>
  <c r="DK23" i="136"/>
  <c r="DL23" i="136"/>
  <c r="DM23" i="136"/>
  <c r="DJ24" i="136"/>
  <c r="DK24" i="136"/>
  <c r="DL24" i="136"/>
  <c r="DM24" i="136"/>
  <c r="DJ25" i="136"/>
  <c r="DK25" i="136"/>
  <c r="DL25" i="136"/>
  <c r="DM25" i="136"/>
  <c r="DJ26" i="136"/>
  <c r="DK26" i="136"/>
  <c r="DL26" i="136"/>
  <c r="DM26" i="136"/>
  <c r="DJ27" i="136"/>
  <c r="DK27" i="136"/>
  <c r="DL27" i="136"/>
  <c r="DM27" i="136"/>
  <c r="DJ28" i="136"/>
  <c r="DK28" i="136"/>
  <c r="DL28" i="136"/>
  <c r="DM28" i="136"/>
  <c r="DJ29" i="136"/>
  <c r="DK29" i="136"/>
  <c r="DL29" i="136"/>
  <c r="DM29" i="136"/>
  <c r="DJ30" i="136"/>
  <c r="DK30" i="136"/>
  <c r="DL30" i="136"/>
  <c r="DM30" i="136"/>
  <c r="DJ31" i="136"/>
  <c r="DK31" i="136"/>
  <c r="DL31" i="136"/>
  <c r="DM31" i="136"/>
  <c r="DJ32" i="136"/>
  <c r="DK32" i="136"/>
  <c r="DL32" i="136"/>
  <c r="DM32" i="136"/>
  <c r="DJ33" i="136"/>
  <c r="DK33" i="136"/>
  <c r="DL33" i="136"/>
  <c r="DM33" i="136"/>
  <c r="DJ34" i="136"/>
  <c r="DK34" i="136"/>
  <c r="DL34" i="136"/>
  <c r="DM34" i="136"/>
  <c r="DJ35" i="136"/>
  <c r="DK35" i="136"/>
  <c r="DL35" i="136"/>
  <c r="DM35" i="136"/>
  <c r="DJ36" i="136"/>
  <c r="DK36" i="136"/>
  <c r="DL36" i="136"/>
  <c r="DM36" i="136"/>
  <c r="DJ37" i="136"/>
  <c r="DK37" i="136"/>
  <c r="DL37" i="136"/>
  <c r="DM37" i="136"/>
  <c r="DJ38" i="136"/>
  <c r="DK38" i="136"/>
  <c r="DL38" i="136"/>
  <c r="DM38" i="136"/>
  <c r="DJ39" i="136"/>
  <c r="DK39" i="136"/>
  <c r="DL39" i="136"/>
  <c r="DM39" i="136"/>
  <c r="DJ40" i="136"/>
  <c r="DK40" i="136"/>
  <c r="DL40" i="136"/>
  <c r="DM40" i="136"/>
  <c r="DJ41" i="136"/>
  <c r="DK41" i="136"/>
  <c r="DL41" i="136"/>
  <c r="DM41" i="136"/>
  <c r="DJ42" i="136"/>
  <c r="DK42" i="136"/>
  <c r="DL42" i="136"/>
  <c r="DM42" i="136"/>
  <c r="DJ43" i="136"/>
  <c r="DK43" i="136"/>
  <c r="DL43" i="136"/>
  <c r="DM43" i="136"/>
  <c r="DJ44" i="136"/>
  <c r="DK44" i="136"/>
  <c r="DL44" i="136"/>
  <c r="DM44" i="136"/>
  <c r="DJ45" i="136"/>
  <c r="DK45" i="136"/>
  <c r="DL45" i="136"/>
  <c r="DM45" i="136"/>
  <c r="DJ46" i="136"/>
  <c r="DK46" i="136"/>
  <c r="DL46" i="136"/>
  <c r="DM46" i="136"/>
  <c r="DJ47" i="136"/>
  <c r="DK47" i="136"/>
  <c r="DL47" i="136"/>
  <c r="DM47" i="136"/>
  <c r="DJ48" i="136"/>
  <c r="DK48" i="136"/>
  <c r="DL48" i="136"/>
  <c r="DM48" i="136"/>
  <c r="DJ49" i="136"/>
  <c r="DK49" i="136"/>
  <c r="DL49" i="136"/>
  <c r="DM49" i="136"/>
  <c r="DJ50" i="136"/>
  <c r="DK50" i="136"/>
  <c r="DL50" i="136"/>
  <c r="DM50" i="136"/>
  <c r="DJ51" i="136"/>
  <c r="DK51" i="136"/>
  <c r="DL51" i="136"/>
  <c r="DM51" i="136"/>
  <c r="DJ52" i="136"/>
  <c r="DK52" i="136"/>
  <c r="DL52" i="136"/>
  <c r="DM52" i="136"/>
  <c r="DJ53" i="136"/>
  <c r="DK53" i="136"/>
  <c r="DL53" i="136"/>
  <c r="DM53" i="136"/>
  <c r="DJ54" i="136"/>
  <c r="DK54" i="136"/>
  <c r="DL54" i="136"/>
  <c r="DM54" i="136"/>
  <c r="DJ55" i="136"/>
  <c r="DK55" i="136"/>
  <c r="DL55" i="136"/>
  <c r="DM55" i="136"/>
  <c r="DJ56" i="136"/>
  <c r="DK56" i="136"/>
  <c r="DL56" i="136"/>
  <c r="DM56" i="136"/>
  <c r="DJ57" i="136"/>
  <c r="DK57" i="136"/>
  <c r="DL57" i="136"/>
  <c r="DM57" i="136"/>
  <c r="DJ58" i="136"/>
  <c r="DK58" i="136"/>
  <c r="DL58" i="136"/>
  <c r="DM58" i="136"/>
  <c r="DJ59" i="136"/>
  <c r="DK59" i="136"/>
  <c r="DL59" i="136"/>
  <c r="DM59" i="136"/>
  <c r="DJ60" i="136"/>
  <c r="DK60" i="136"/>
  <c r="DL60" i="136"/>
  <c r="DM60" i="136"/>
  <c r="DJ61" i="136"/>
  <c r="DK61" i="136"/>
  <c r="DL61" i="136"/>
  <c r="DM61" i="136"/>
  <c r="DJ62" i="136"/>
  <c r="DK62" i="136"/>
  <c r="DL62" i="136"/>
  <c r="DM62" i="136"/>
  <c r="DJ63" i="136"/>
  <c r="DK63" i="136"/>
  <c r="DL63" i="136"/>
  <c r="DM63" i="136"/>
  <c r="DJ64" i="136"/>
  <c r="DK64" i="136"/>
  <c r="DL64" i="136"/>
  <c r="DM64" i="136"/>
  <c r="DJ65" i="136"/>
  <c r="DK65" i="136"/>
  <c r="DL65" i="136"/>
  <c r="DM65" i="136"/>
  <c r="DJ66" i="136"/>
  <c r="DK66" i="136"/>
  <c r="DL66" i="136"/>
  <c r="DM66" i="136"/>
  <c r="DJ67" i="136"/>
  <c r="DK67" i="136"/>
  <c r="DL67" i="136"/>
  <c r="DM67" i="136"/>
  <c r="DJ68" i="136"/>
  <c r="DK68" i="136"/>
  <c r="DL68" i="136"/>
  <c r="DM68" i="136"/>
  <c r="DJ69" i="136"/>
  <c r="DK69" i="136"/>
  <c r="DL69" i="136"/>
  <c r="DM69" i="136"/>
  <c r="DJ70" i="136"/>
  <c r="DK70" i="136"/>
  <c r="DL70" i="136"/>
  <c r="DM70" i="136"/>
  <c r="DJ71" i="136"/>
  <c r="DK71" i="136"/>
  <c r="DL71" i="136"/>
  <c r="DM71" i="136"/>
  <c r="DJ72" i="136"/>
  <c r="DK72" i="136"/>
  <c r="DL72" i="136"/>
  <c r="DM72" i="136"/>
  <c r="DJ73" i="136"/>
  <c r="DK73" i="136"/>
  <c r="DL73" i="136"/>
  <c r="DM73" i="136"/>
  <c r="DJ74" i="136"/>
  <c r="DK74" i="136"/>
  <c r="DL74" i="136"/>
  <c r="DM74" i="136"/>
  <c r="DJ75" i="136"/>
  <c r="DK75" i="136"/>
  <c r="DL75" i="136"/>
  <c r="DM75" i="136"/>
  <c r="DJ76" i="136"/>
  <c r="DK76" i="136"/>
  <c r="DL76" i="136"/>
  <c r="DM76" i="136"/>
  <c r="DJ77" i="136"/>
  <c r="DK77" i="136"/>
  <c r="DL77" i="136"/>
  <c r="DM77" i="136"/>
  <c r="DJ78" i="136"/>
  <c r="DK78" i="136"/>
  <c r="DL78" i="136"/>
  <c r="DM78" i="136"/>
  <c r="DJ79" i="136"/>
  <c r="DK79" i="136"/>
  <c r="DL79" i="136"/>
  <c r="DM79" i="136"/>
  <c r="DJ80" i="136"/>
  <c r="DK80" i="136"/>
  <c r="DL80" i="136"/>
  <c r="DM80" i="136"/>
  <c r="DJ81" i="136"/>
  <c r="DK81" i="136"/>
  <c r="DL81" i="136"/>
  <c r="DM81" i="136"/>
  <c r="DJ82" i="136"/>
  <c r="DK82" i="136"/>
  <c r="DL82" i="136"/>
  <c r="DM82" i="136"/>
  <c r="DJ83" i="136"/>
  <c r="DK83" i="136"/>
  <c r="DL83" i="136"/>
  <c r="DM83" i="136"/>
  <c r="DJ84" i="136"/>
  <c r="DK84" i="136"/>
  <c r="DL84" i="136"/>
  <c r="DM84" i="136"/>
  <c r="DJ85" i="136"/>
  <c r="DK85" i="136"/>
  <c r="DL85" i="136"/>
  <c r="DM85" i="136"/>
  <c r="DJ86" i="136"/>
  <c r="DK86" i="136"/>
  <c r="DL86" i="136"/>
  <c r="DM86" i="136"/>
  <c r="DJ87" i="136"/>
  <c r="DK87" i="136"/>
  <c r="DL87" i="136"/>
  <c r="DM87" i="136"/>
  <c r="DJ88" i="136"/>
  <c r="DK88" i="136"/>
  <c r="DL88" i="136"/>
  <c r="DM88" i="136"/>
  <c r="DJ89" i="136"/>
  <c r="DK89" i="136"/>
  <c r="DL89" i="136"/>
  <c r="DM89" i="136"/>
  <c r="DJ90" i="136"/>
  <c r="DK90" i="136"/>
  <c r="DL90" i="136"/>
  <c r="DM90" i="136"/>
  <c r="DJ91" i="136"/>
  <c r="DK91" i="136"/>
  <c r="DL91" i="136"/>
  <c r="DM91" i="136"/>
  <c r="DJ92" i="136"/>
  <c r="DK92" i="136"/>
  <c r="DL92" i="136"/>
  <c r="DM92" i="136"/>
  <c r="DJ93" i="136"/>
  <c r="DK93" i="136"/>
  <c r="DL93" i="136"/>
  <c r="DM93" i="136"/>
  <c r="DJ94" i="136"/>
  <c r="DK94" i="136"/>
  <c r="DL94" i="136"/>
  <c r="DM94" i="136"/>
  <c r="DJ95" i="136"/>
  <c r="DK95" i="136"/>
  <c r="DL95" i="136"/>
  <c r="DM95" i="136"/>
  <c r="DJ96" i="136"/>
  <c r="DK96" i="136"/>
  <c r="DL96" i="136"/>
  <c r="DM96" i="136"/>
  <c r="DJ97" i="136"/>
  <c r="DK97" i="136"/>
  <c r="DL97" i="136"/>
  <c r="DM97" i="136"/>
  <c r="DJ98" i="136"/>
  <c r="DK98" i="136"/>
  <c r="DL98" i="136"/>
  <c r="DM98" i="136"/>
  <c r="DJ99" i="136"/>
  <c r="DK99" i="136"/>
  <c r="DL99" i="136"/>
  <c r="DM99" i="136"/>
  <c r="DJ100" i="136"/>
  <c r="DK100" i="136"/>
  <c r="DL100" i="136"/>
  <c r="DM100" i="136"/>
  <c r="DJ101" i="136"/>
  <c r="DK101" i="136"/>
  <c r="DL101" i="136"/>
  <c r="DM101" i="136"/>
  <c r="DJ102" i="136"/>
  <c r="DK102" i="136"/>
  <c r="DL102" i="136"/>
  <c r="DM102" i="136"/>
  <c r="DJ103" i="136"/>
  <c r="DK103" i="136"/>
  <c r="DL103" i="136"/>
  <c r="DM103" i="136"/>
  <c r="DJ104" i="136"/>
  <c r="DK104" i="136"/>
  <c r="DL104" i="136"/>
  <c r="DM104" i="136"/>
  <c r="DJ105" i="136"/>
  <c r="DK105" i="136"/>
  <c r="DL105" i="136"/>
  <c r="DM105" i="136"/>
  <c r="DJ106" i="136"/>
  <c r="DK106" i="136"/>
  <c r="DL106" i="136"/>
  <c r="DM106" i="136"/>
  <c r="DJ107" i="136"/>
  <c r="DK107" i="136"/>
  <c r="DL107" i="136"/>
  <c r="DM107" i="136"/>
  <c r="DJ108" i="136"/>
  <c r="DK108" i="136"/>
  <c r="DL108" i="136"/>
  <c r="DM108" i="136"/>
  <c r="DJ109" i="136"/>
  <c r="DK109" i="136"/>
  <c r="DL109" i="136"/>
  <c r="DM109" i="136"/>
  <c r="DJ110" i="136"/>
  <c r="DK110" i="136"/>
  <c r="DL110" i="136"/>
  <c r="DM110" i="136"/>
  <c r="DJ111" i="136"/>
  <c r="DK111" i="136"/>
  <c r="DL111" i="136"/>
  <c r="DM111" i="136"/>
  <c r="DJ112" i="136"/>
  <c r="DK112" i="136"/>
  <c r="DL112" i="136"/>
  <c r="DM112" i="136"/>
  <c r="DJ113" i="136"/>
  <c r="DK113" i="136"/>
  <c r="DL113" i="136"/>
  <c r="DM113" i="136"/>
  <c r="DJ114" i="136"/>
  <c r="DK114" i="136"/>
  <c r="DL114" i="136"/>
  <c r="DM114" i="136"/>
  <c r="DJ115" i="136"/>
  <c r="DK115" i="136"/>
  <c r="DL115" i="136"/>
  <c r="DM115" i="136"/>
  <c r="DJ116" i="136"/>
  <c r="DK116" i="136"/>
  <c r="DL116" i="136"/>
  <c r="DM116" i="136"/>
  <c r="DJ117" i="136"/>
  <c r="DK117" i="136"/>
  <c r="DL117" i="136"/>
  <c r="DM117" i="136"/>
  <c r="DJ118" i="136"/>
  <c r="DK118" i="136"/>
  <c r="DL118" i="136"/>
  <c r="DM118" i="136"/>
  <c r="DJ119" i="136"/>
  <c r="DK119" i="136"/>
  <c r="DL119" i="136"/>
  <c r="DM119" i="136"/>
  <c r="DJ120" i="136"/>
  <c r="DK120" i="136"/>
  <c r="DL120" i="136"/>
  <c r="DM120" i="136"/>
  <c r="DJ121" i="136"/>
  <c r="DK121" i="136"/>
  <c r="DL121" i="136"/>
  <c r="DM121" i="136"/>
  <c r="DJ122" i="136"/>
  <c r="DK122" i="136"/>
  <c r="DL122" i="136"/>
  <c r="DM122" i="136"/>
  <c r="DJ123" i="136"/>
  <c r="DK123" i="136"/>
  <c r="DL123" i="136"/>
  <c r="DM123" i="136"/>
  <c r="DJ124" i="136"/>
  <c r="DK124" i="136"/>
  <c r="DL124" i="136"/>
  <c r="DM124" i="136"/>
  <c r="DJ125" i="136"/>
  <c r="DK125" i="136"/>
  <c r="DL125" i="136"/>
  <c r="DM125" i="136"/>
  <c r="DJ126" i="136"/>
  <c r="DK126" i="136"/>
  <c r="DL126" i="136"/>
  <c r="DM126" i="136"/>
  <c r="DJ127" i="136"/>
  <c r="DK127" i="136"/>
  <c r="DL127" i="136"/>
  <c r="DM127" i="136"/>
  <c r="DJ128" i="136"/>
  <c r="DK128" i="136"/>
  <c r="DL128" i="136"/>
  <c r="DM128" i="136"/>
  <c r="DJ129" i="136"/>
  <c r="DK129" i="136"/>
  <c r="DL129" i="136"/>
  <c r="DM129" i="136"/>
  <c r="DJ130" i="136"/>
  <c r="DK130" i="136"/>
  <c r="DL130" i="136"/>
  <c r="DM130" i="136"/>
  <c r="DJ131" i="136"/>
  <c r="DK131" i="136"/>
  <c r="DL131" i="136"/>
  <c r="DM131" i="136"/>
  <c r="DJ132" i="136"/>
  <c r="DK132" i="136"/>
  <c r="DL132" i="136"/>
  <c r="DM132" i="136"/>
  <c r="DJ133" i="136"/>
  <c r="DK133" i="136"/>
  <c r="DL133" i="136"/>
  <c r="DM133" i="136"/>
  <c r="DJ134" i="136"/>
  <c r="DK134" i="136"/>
  <c r="DL134" i="136"/>
  <c r="DM134" i="136"/>
  <c r="DJ135" i="136"/>
  <c r="DK135" i="136"/>
  <c r="DL135" i="136"/>
  <c r="DM135" i="136"/>
  <c r="DJ136" i="136"/>
  <c r="DK136" i="136"/>
  <c r="DL136" i="136"/>
  <c r="DM136" i="136"/>
  <c r="DJ137" i="136"/>
  <c r="DK137" i="136"/>
  <c r="DL137" i="136"/>
  <c r="DM137" i="136"/>
  <c r="DJ138" i="136"/>
  <c r="DK138" i="136"/>
  <c r="DL138" i="136"/>
  <c r="DM138" i="136"/>
  <c r="DJ139" i="136"/>
  <c r="DK139" i="136"/>
  <c r="DL139" i="136"/>
  <c r="DM139" i="136"/>
  <c r="DJ140" i="136"/>
  <c r="DK140" i="136"/>
  <c r="DL140" i="136"/>
  <c r="DM140" i="136"/>
  <c r="DJ141" i="136"/>
  <c r="DK141" i="136"/>
  <c r="DL141" i="136"/>
  <c r="DM141" i="136"/>
  <c r="DJ142" i="136"/>
  <c r="DK142" i="136"/>
  <c r="DL142" i="136"/>
  <c r="DM142" i="136"/>
  <c r="DJ143" i="136"/>
  <c r="DK143" i="136"/>
  <c r="DL143" i="136"/>
  <c r="DM143" i="136"/>
  <c r="DJ144" i="136"/>
  <c r="DK144" i="136"/>
  <c r="DL144" i="136"/>
  <c r="DM144" i="136"/>
  <c r="DJ145" i="136"/>
  <c r="DK145" i="136"/>
  <c r="DL145" i="136"/>
  <c r="DM145" i="136"/>
  <c r="DJ146" i="136"/>
  <c r="DK146" i="136"/>
  <c r="DL146" i="136"/>
  <c r="DM146" i="136"/>
  <c r="DJ147" i="136"/>
  <c r="DK147" i="136"/>
  <c r="DL147" i="136"/>
  <c r="DM147" i="136"/>
  <c r="DJ148" i="136"/>
  <c r="DK148" i="136"/>
  <c r="DL148" i="136"/>
  <c r="DM148" i="136"/>
  <c r="DJ149" i="136"/>
  <c r="DK149" i="136"/>
  <c r="DL149" i="136"/>
  <c r="DM149" i="136"/>
  <c r="DJ150" i="136"/>
  <c r="DK150" i="136"/>
  <c r="DL150" i="136"/>
  <c r="DM150" i="136"/>
  <c r="DJ151" i="136"/>
  <c r="DK151" i="136"/>
  <c r="DL151" i="136"/>
  <c r="DM151" i="136"/>
  <c r="DJ152" i="136"/>
  <c r="DK152" i="136"/>
  <c r="DL152" i="136"/>
  <c r="DM152" i="136"/>
  <c r="DJ153" i="136"/>
  <c r="DK153" i="136"/>
  <c r="DL153" i="136"/>
  <c r="DM153" i="136"/>
  <c r="DJ154" i="136"/>
  <c r="DK154" i="136"/>
  <c r="DL154" i="136"/>
  <c r="DM154" i="136"/>
  <c r="DJ155" i="136"/>
  <c r="DK155" i="136"/>
  <c r="DL155" i="136"/>
  <c r="DM155" i="136"/>
  <c r="DJ156" i="136"/>
  <c r="DK156" i="136"/>
  <c r="DL156" i="136"/>
  <c r="DM156" i="136"/>
  <c r="DJ157" i="136"/>
  <c r="DK157" i="136"/>
  <c r="DL157" i="136"/>
  <c r="DM157" i="136"/>
  <c r="DJ159" i="136"/>
  <c r="DK159" i="136"/>
  <c r="DL159" i="136"/>
  <c r="DM159" i="136"/>
  <c r="DJ162" i="136"/>
  <c r="DK162" i="136"/>
  <c r="DL162" i="136"/>
  <c r="DM162" i="136"/>
  <c r="DK3" i="136"/>
  <c r="DL3" i="136"/>
  <c r="DM3" i="136"/>
  <c r="DJ3" i="136"/>
  <c r="DB4" i="136"/>
  <c r="AI11" i="4" s="1"/>
  <c r="DB5" i="136"/>
  <c r="AI12" i="4" s="1"/>
  <c r="DB6" i="136"/>
  <c r="AI13" i="4" s="1"/>
  <c r="DB7" i="136"/>
  <c r="AI14" i="4" s="1"/>
  <c r="DB8" i="136"/>
  <c r="AI15" i="4" s="1"/>
  <c r="DB9" i="136"/>
  <c r="AI17" i="4" s="1"/>
  <c r="DB10" i="136"/>
  <c r="AI18" i="4" s="1"/>
  <c r="DB11" i="136"/>
  <c r="AI19" i="4" s="1"/>
  <c r="DB12" i="136"/>
  <c r="AI20" i="4" s="1"/>
  <c r="DB13" i="136"/>
  <c r="AI21" i="4" s="1"/>
  <c r="DB14" i="136"/>
  <c r="AI22" i="4" s="1"/>
  <c r="DB15" i="136"/>
  <c r="AI23" i="4" s="1"/>
  <c r="DB16" i="136"/>
  <c r="AI26" i="4" s="1"/>
  <c r="DB17" i="136"/>
  <c r="AI27" i="4" s="1"/>
  <c r="DB18" i="136"/>
  <c r="AI28" i="4" s="1"/>
  <c r="DB19" i="136"/>
  <c r="AI29" i="4" s="1"/>
  <c r="DB20" i="136"/>
  <c r="AI30" i="4" s="1"/>
  <c r="DB21" i="136"/>
  <c r="AI31" i="4" s="1"/>
  <c r="DB22" i="136"/>
  <c r="AI33" i="4" s="1"/>
  <c r="DB23" i="136"/>
  <c r="AI34" i="4" s="1"/>
  <c r="DB24" i="136"/>
  <c r="AI36" i="4" s="1"/>
  <c r="DB25" i="136"/>
  <c r="AI38" i="4" s="1"/>
  <c r="DB26" i="136"/>
  <c r="AI40" i="4" s="1"/>
  <c r="DB27" i="136"/>
  <c r="AI42" i="4" s="1"/>
  <c r="DB28" i="136"/>
  <c r="AI43" i="4" s="1"/>
  <c r="DB29" i="136"/>
  <c r="AI44" i="4" s="1"/>
  <c r="DB30" i="136"/>
  <c r="AI45" i="4" s="1"/>
  <c r="DB31" i="136"/>
  <c r="AI46" i="4" s="1"/>
  <c r="DB32" i="136"/>
  <c r="AI47" i="4" s="1"/>
  <c r="DB33" i="136"/>
  <c r="AI49" i="4" s="1"/>
  <c r="DB34" i="136"/>
  <c r="AI50" i="4" s="1"/>
  <c r="DB35" i="136"/>
  <c r="AI51" i="4" s="1"/>
  <c r="DB36" i="136"/>
  <c r="AI52" i="4" s="1"/>
  <c r="DB37" i="136"/>
  <c r="AI53" i="4" s="1"/>
  <c r="DB38" i="136"/>
  <c r="AI54" i="4" s="1"/>
  <c r="DB39" i="136"/>
  <c r="AI57" i="4" s="1"/>
  <c r="DB40" i="136"/>
  <c r="AI58" i="4" s="1"/>
  <c r="DB41" i="136"/>
  <c r="AI59" i="4" s="1"/>
  <c r="DB42" i="136"/>
  <c r="AI60" i="4" s="1"/>
  <c r="DB43" i="136"/>
  <c r="AI61" i="4" s="1"/>
  <c r="DB44" i="136"/>
  <c r="AI62" i="4" s="1"/>
  <c r="DB45" i="136"/>
  <c r="AI64" i="4" s="1"/>
  <c r="DB46" i="136"/>
  <c r="AI65" i="4" s="1"/>
  <c r="DB47" i="136"/>
  <c r="AI66" i="4" s="1"/>
  <c r="DB48" i="136"/>
  <c r="AI67" i="4" s="1"/>
  <c r="DB49" i="136"/>
  <c r="AI69" i="4" s="1"/>
  <c r="DB50" i="136"/>
  <c r="AI71" i="4" s="1"/>
  <c r="DB51" i="136"/>
  <c r="AI73" i="4" s="1"/>
  <c r="DB52" i="136"/>
  <c r="AI74" i="4" s="1"/>
  <c r="DB53" i="136"/>
  <c r="AI75" i="4" s="1"/>
  <c r="DB54" i="136"/>
  <c r="AI76" i="4" s="1"/>
  <c r="DB55" i="136"/>
  <c r="AI77" i="4" s="1"/>
  <c r="DB56" i="136"/>
  <c r="AI80" i="4" s="1"/>
  <c r="DB57" i="136"/>
  <c r="AI83" i="4" s="1"/>
  <c r="DB58" i="136"/>
  <c r="AI85" i="4" s="1"/>
  <c r="DB59" i="136"/>
  <c r="AI89" i="4" s="1"/>
  <c r="DB60" i="136"/>
  <c r="AI90" i="4" s="1"/>
  <c r="DB61" i="136"/>
  <c r="AI95" i="4" s="1"/>
  <c r="DB62" i="136"/>
  <c r="AI97" i="4" s="1"/>
  <c r="DB63" i="136"/>
  <c r="AI98" i="4" s="1"/>
  <c r="DB64" i="136"/>
  <c r="AI99" i="4" s="1"/>
  <c r="DB65" i="136"/>
  <c r="AI101" i="4" s="1"/>
  <c r="DB66" i="136"/>
  <c r="AI102" i="4" s="1"/>
  <c r="DB67" i="136"/>
  <c r="AI103" i="4" s="1"/>
  <c r="DB68" i="136"/>
  <c r="AI104" i="4" s="1"/>
  <c r="DB69" i="136"/>
  <c r="AI105" i="4" s="1"/>
  <c r="DB70" i="136"/>
  <c r="AI106" i="4" s="1"/>
  <c r="DB71" i="136"/>
  <c r="AI107" i="4" s="1"/>
  <c r="DB72" i="136"/>
  <c r="AI110" i="4" s="1"/>
  <c r="DB73" i="136"/>
  <c r="AI112" i="4" s="1"/>
  <c r="DB74" i="136"/>
  <c r="AI113" i="4" s="1"/>
  <c r="DB75" i="136"/>
  <c r="AI114" i="4" s="1"/>
  <c r="DB76" i="136"/>
  <c r="AI116" i="4" s="1"/>
  <c r="DB77" i="136"/>
  <c r="AI118" i="4" s="1"/>
  <c r="DB78" i="136"/>
  <c r="AI120" i="4" s="1"/>
  <c r="DB79" i="136"/>
  <c r="AI121" i="4" s="1"/>
  <c r="DB80" i="136"/>
  <c r="AI124" i="4" s="1"/>
  <c r="DB81" i="136"/>
  <c r="AI125" i="4" s="1"/>
  <c r="DB82" i="136"/>
  <c r="AI126" i="4" s="1"/>
  <c r="DB83" i="136"/>
  <c r="AI128" i="4" s="1"/>
  <c r="DB84" i="136"/>
  <c r="AI129" i="4" s="1"/>
  <c r="DB85" i="136"/>
  <c r="AI131" i="4" s="1"/>
  <c r="DB86" i="136"/>
  <c r="AI132" i="4" s="1"/>
  <c r="DB87" i="136"/>
  <c r="AI133" i="4" s="1"/>
  <c r="DB88" i="136"/>
  <c r="AI134" i="4" s="1"/>
  <c r="DB89" i="136"/>
  <c r="AI135" i="4" s="1"/>
  <c r="DB90" i="136"/>
  <c r="AI136" i="4" s="1"/>
  <c r="DB91" i="136"/>
  <c r="AI140" i="4" s="1"/>
  <c r="DB92" i="136"/>
  <c r="AI141" i="4" s="1"/>
  <c r="DB93" i="136"/>
  <c r="AI142" i="4" s="1"/>
  <c r="DB94" i="136"/>
  <c r="AI143" i="4" s="1"/>
  <c r="DB95" i="136"/>
  <c r="AI144" i="4" s="1"/>
  <c r="DB96" i="136"/>
  <c r="AI145" i="4" s="1"/>
  <c r="DB97" i="136"/>
  <c r="AI146" i="4" s="1"/>
  <c r="DB98" i="136"/>
  <c r="AI156" i="4" s="1"/>
  <c r="DB99" i="136"/>
  <c r="AI165" i="4" s="1"/>
  <c r="DB100" i="136"/>
  <c r="AI170" i="4" s="1"/>
  <c r="DB101" i="136"/>
  <c r="AI172" i="4" s="1"/>
  <c r="DB102" i="136"/>
  <c r="AI187" i="4" s="1"/>
  <c r="DB103" i="136"/>
  <c r="AI188" i="4" s="1"/>
  <c r="DB104" i="136"/>
  <c r="AI189" i="4" s="1"/>
  <c r="DB105" i="136"/>
  <c r="AI194" i="4" s="1"/>
  <c r="DB106" i="136"/>
  <c r="AI196" i="4" s="1"/>
  <c r="DB107" i="136"/>
  <c r="AI199" i="4" s="1"/>
  <c r="DB108" i="136"/>
  <c r="AI201" i="4" s="1"/>
  <c r="DB109" i="136"/>
  <c r="AI202" i="4" s="1"/>
  <c r="DB110" i="136"/>
  <c r="AI203" i="4" s="1"/>
  <c r="DB3" i="136"/>
  <c r="AI10" i="4" s="1"/>
  <c r="CL4" i="139"/>
  <c r="CM4" i="139"/>
  <c r="CN4" i="139"/>
  <c r="CL5" i="139"/>
  <c r="CM5" i="139"/>
  <c r="CN5" i="139"/>
  <c r="CL6" i="139"/>
  <c r="CM6" i="139"/>
  <c r="CN6" i="139"/>
  <c r="CL7" i="139"/>
  <c r="CM7" i="139"/>
  <c r="CN7" i="139"/>
  <c r="CL8" i="139"/>
  <c r="CM8" i="139"/>
  <c r="CN8" i="139"/>
  <c r="CM3" i="139"/>
  <c r="CN3" i="139"/>
  <c r="CL3" i="139"/>
  <c r="AF46" i="35"/>
  <c r="DL4" i="137"/>
  <c r="DM4" i="137"/>
  <c r="DN4" i="137"/>
  <c r="DL5" i="137"/>
  <c r="DM5" i="137"/>
  <c r="DN5" i="137"/>
  <c r="DL6" i="137"/>
  <c r="DM6" i="137"/>
  <c r="DN6" i="137"/>
  <c r="DL7" i="137"/>
  <c r="DM7" i="137"/>
  <c r="DN7" i="137"/>
  <c r="DL8" i="137"/>
  <c r="DM8" i="137"/>
  <c r="DN8" i="137"/>
  <c r="DL9" i="137"/>
  <c r="DM9" i="137"/>
  <c r="DN9" i="137"/>
  <c r="DL10" i="137"/>
  <c r="DM10" i="137"/>
  <c r="DN10" i="137"/>
  <c r="DL11" i="137"/>
  <c r="DM11" i="137"/>
  <c r="DN11" i="137"/>
  <c r="DL12" i="137"/>
  <c r="DM12" i="137"/>
  <c r="DN12" i="137"/>
  <c r="DL13" i="137"/>
  <c r="DM13" i="137"/>
  <c r="DN13" i="137"/>
  <c r="DL14" i="137"/>
  <c r="DM14" i="137"/>
  <c r="DN14" i="137"/>
  <c r="DL15" i="137"/>
  <c r="DM15" i="137"/>
  <c r="DN15" i="137"/>
  <c r="DL16" i="137"/>
  <c r="DM16" i="137"/>
  <c r="DN16" i="137"/>
  <c r="DL17" i="137"/>
  <c r="DM17" i="137"/>
  <c r="DN17" i="137"/>
  <c r="DL18" i="137"/>
  <c r="DM18" i="137"/>
  <c r="DN18" i="137"/>
  <c r="DL19" i="137"/>
  <c r="DM19" i="137"/>
  <c r="DN19" i="137"/>
  <c r="DL20" i="137"/>
  <c r="DM20" i="137"/>
  <c r="DN20" i="137"/>
  <c r="DL21" i="137"/>
  <c r="DM21" i="137"/>
  <c r="DN21" i="137"/>
  <c r="DL22" i="137"/>
  <c r="DM22" i="137"/>
  <c r="DN22" i="137"/>
  <c r="DL23" i="137"/>
  <c r="DM23" i="137"/>
  <c r="DN23" i="137"/>
  <c r="DL24" i="137"/>
  <c r="DM24" i="137"/>
  <c r="DN24" i="137"/>
  <c r="DL25" i="137"/>
  <c r="DM25" i="137"/>
  <c r="DN25" i="137"/>
  <c r="DL26" i="137"/>
  <c r="DM26" i="137"/>
  <c r="DN26" i="137"/>
  <c r="DL27" i="137"/>
  <c r="DM27" i="137"/>
  <c r="DN27" i="137"/>
  <c r="DL28" i="137"/>
  <c r="DM28" i="137"/>
  <c r="DN28" i="137"/>
  <c r="DL29" i="137"/>
  <c r="DM29" i="137"/>
  <c r="DN29" i="137"/>
  <c r="DL30" i="137"/>
  <c r="DM30" i="137"/>
  <c r="DN30" i="137"/>
  <c r="DL31" i="137"/>
  <c r="DM31" i="137"/>
  <c r="DN31" i="137"/>
  <c r="DL32" i="137"/>
  <c r="DM32" i="137"/>
  <c r="DN32" i="137"/>
  <c r="DL33" i="137"/>
  <c r="DM33" i="137"/>
  <c r="DN33" i="137"/>
  <c r="DL34" i="137"/>
  <c r="DM34" i="137"/>
  <c r="DN34" i="137"/>
  <c r="DL35" i="137"/>
  <c r="DM35" i="137"/>
  <c r="DN35" i="137"/>
  <c r="DL36" i="137"/>
  <c r="DM36" i="137"/>
  <c r="DN36" i="137"/>
  <c r="DL37" i="137"/>
  <c r="DM37" i="137"/>
  <c r="DN37" i="137"/>
  <c r="DL38" i="137"/>
  <c r="DM38" i="137"/>
  <c r="DN38" i="137"/>
  <c r="DL39" i="137"/>
  <c r="DM39" i="137"/>
  <c r="DN39" i="137"/>
  <c r="DL40" i="137"/>
  <c r="DM40" i="137"/>
  <c r="DN40" i="137"/>
  <c r="DL41" i="137"/>
  <c r="DM41" i="137"/>
  <c r="DN41" i="137"/>
  <c r="DL42" i="137"/>
  <c r="DM42" i="137"/>
  <c r="DN42" i="137"/>
  <c r="DL43" i="137"/>
  <c r="DM43" i="137"/>
  <c r="DN43" i="137"/>
  <c r="DL44" i="137"/>
  <c r="DM44" i="137"/>
  <c r="DN44" i="137"/>
  <c r="DL45" i="137"/>
  <c r="DM45" i="137"/>
  <c r="DN45" i="137"/>
  <c r="DL46" i="137"/>
  <c r="DM46" i="137"/>
  <c r="DN46" i="137"/>
  <c r="DL47" i="137"/>
  <c r="DM47" i="137"/>
  <c r="DN47" i="137"/>
  <c r="DL48" i="137"/>
  <c r="DM48" i="137"/>
  <c r="DN48" i="137"/>
  <c r="DL49" i="137"/>
  <c r="DM49" i="137"/>
  <c r="DN49" i="137"/>
  <c r="DL50" i="137"/>
  <c r="DM50" i="137"/>
  <c r="DN50" i="137"/>
  <c r="DL51" i="137"/>
  <c r="DM51" i="137"/>
  <c r="DN51" i="137"/>
  <c r="DL52" i="137"/>
  <c r="DM52" i="137"/>
  <c r="DN52" i="137"/>
  <c r="DM3" i="137"/>
  <c r="DN3" i="137"/>
  <c r="DL3" i="137"/>
  <c r="DC4" i="137"/>
  <c r="AF22" i="35" s="1"/>
  <c r="DC5" i="137"/>
  <c r="AF30" i="35" s="1"/>
  <c r="DC6" i="137"/>
  <c r="AF28" i="35" s="1"/>
  <c r="DC7" i="137"/>
  <c r="AF38" i="35" s="1"/>
  <c r="DC8" i="137"/>
  <c r="AF40" i="35" s="1"/>
  <c r="DC9" i="137"/>
  <c r="AF56" i="35" s="1"/>
  <c r="DC10" i="137"/>
  <c r="AF57" i="35" s="1"/>
  <c r="DC11" i="137"/>
  <c r="AF59" i="35" s="1"/>
  <c r="DC3" i="137"/>
  <c r="AF26" i="35" s="1"/>
  <c r="AF29" i="37"/>
  <c r="DR4" i="138"/>
  <c r="DS4" i="138"/>
  <c r="DT4" i="138"/>
  <c r="DR5" i="138"/>
  <c r="DS5" i="138"/>
  <c r="DT5" i="138"/>
  <c r="DR6" i="138"/>
  <c r="DS6" i="138"/>
  <c r="DT6" i="138"/>
  <c r="DR7" i="138"/>
  <c r="DS7" i="138"/>
  <c r="DT7" i="138"/>
  <c r="DR8" i="138"/>
  <c r="DS8" i="138"/>
  <c r="DT8" i="138"/>
  <c r="DR9" i="138"/>
  <c r="DS9" i="138"/>
  <c r="DT9" i="138"/>
  <c r="DR10" i="138"/>
  <c r="DS10" i="138"/>
  <c r="DT10" i="138"/>
  <c r="DR11" i="138"/>
  <c r="DS11" i="138"/>
  <c r="DT11" i="138"/>
  <c r="DR12" i="138"/>
  <c r="DS12" i="138"/>
  <c r="DT12" i="138"/>
  <c r="DR13" i="138"/>
  <c r="DS13" i="138"/>
  <c r="DT13" i="138"/>
  <c r="DR14" i="138"/>
  <c r="DS14" i="138"/>
  <c r="DT14" i="138"/>
  <c r="DR15" i="138"/>
  <c r="DS15" i="138"/>
  <c r="DT15" i="138"/>
  <c r="DR16" i="138"/>
  <c r="DS16" i="138"/>
  <c r="DT16" i="138"/>
  <c r="DR17" i="138"/>
  <c r="DS17" i="138"/>
  <c r="DT17" i="138"/>
  <c r="DR18" i="138"/>
  <c r="DS18" i="138"/>
  <c r="DT18" i="138"/>
  <c r="DR19" i="138"/>
  <c r="DS19" i="138"/>
  <c r="DT19" i="138"/>
  <c r="DR20" i="138"/>
  <c r="DS20" i="138"/>
  <c r="DT20" i="138"/>
  <c r="DR21" i="138"/>
  <c r="DS21" i="138"/>
  <c r="DT21" i="138"/>
  <c r="DR22" i="138"/>
  <c r="DS22" i="138"/>
  <c r="DT22" i="138"/>
  <c r="DR23" i="138"/>
  <c r="DS23" i="138"/>
  <c r="DT23" i="138"/>
  <c r="DR24" i="138"/>
  <c r="DS24" i="138"/>
  <c r="DT24" i="138"/>
  <c r="DR25" i="138"/>
  <c r="DS25" i="138"/>
  <c r="DT25" i="138"/>
  <c r="DR26" i="138"/>
  <c r="DS26" i="138"/>
  <c r="DT26" i="138"/>
  <c r="DR27" i="138"/>
  <c r="DS27" i="138"/>
  <c r="DT27" i="138"/>
  <c r="DR28" i="138"/>
  <c r="DS28" i="138"/>
  <c r="DT28" i="138"/>
  <c r="DR29" i="138"/>
  <c r="DS29" i="138"/>
  <c r="DT29" i="138"/>
  <c r="DR30" i="138"/>
  <c r="DS30" i="138"/>
  <c r="DT30" i="138"/>
  <c r="DR31" i="138"/>
  <c r="DS31" i="138"/>
  <c r="DT31" i="138"/>
  <c r="DR32" i="138"/>
  <c r="DS32" i="138"/>
  <c r="DT32" i="138"/>
  <c r="DR33" i="138"/>
  <c r="DS33" i="138"/>
  <c r="DT33" i="138"/>
  <c r="DR34" i="138"/>
  <c r="DS34" i="138"/>
  <c r="DT34" i="138"/>
  <c r="DR35" i="138"/>
  <c r="DS35" i="138"/>
  <c r="DT35" i="138"/>
  <c r="DR36" i="138"/>
  <c r="DS36" i="138"/>
  <c r="DT36" i="138"/>
  <c r="DR37" i="138"/>
  <c r="DS37" i="138"/>
  <c r="DT37" i="138"/>
  <c r="DR38" i="138"/>
  <c r="DS38" i="138"/>
  <c r="DT38" i="138"/>
  <c r="DR39" i="138"/>
  <c r="DS39" i="138"/>
  <c r="DT39" i="138"/>
  <c r="DR40" i="138"/>
  <c r="DS40" i="138"/>
  <c r="DT40" i="138"/>
  <c r="DR41" i="138"/>
  <c r="DS41" i="138"/>
  <c r="DT41" i="138"/>
  <c r="DR42" i="138"/>
  <c r="DS42" i="138"/>
  <c r="DT42" i="138"/>
  <c r="DR43" i="138"/>
  <c r="DS43" i="138"/>
  <c r="DT43" i="138"/>
  <c r="DR44" i="138"/>
  <c r="DS44" i="138"/>
  <c r="DT44" i="138"/>
  <c r="DR45" i="138"/>
  <c r="DS45" i="138"/>
  <c r="DT45" i="138"/>
  <c r="DR46" i="138"/>
  <c r="DS46" i="138"/>
  <c r="DT46" i="138"/>
  <c r="DR47" i="138"/>
  <c r="DS47" i="138"/>
  <c r="DT47" i="138"/>
  <c r="DR48" i="138"/>
  <c r="DS48" i="138"/>
  <c r="DT48" i="138"/>
  <c r="DR49" i="138"/>
  <c r="DS49" i="138"/>
  <c r="DT49" i="138"/>
  <c r="DR50" i="138"/>
  <c r="DS50" i="138"/>
  <c r="DT50" i="138"/>
  <c r="DR51" i="138"/>
  <c r="DS51" i="138"/>
  <c r="DT51" i="138"/>
  <c r="DR52" i="138"/>
  <c r="DS52" i="138"/>
  <c r="DT52" i="138"/>
  <c r="DR53" i="138"/>
  <c r="DS53" i="138"/>
  <c r="DT53" i="138"/>
  <c r="DR54" i="138"/>
  <c r="DS54" i="138"/>
  <c r="DT54" i="138"/>
  <c r="DR55" i="138"/>
  <c r="DS55" i="138"/>
  <c r="DT55" i="138"/>
  <c r="DS3" i="138"/>
  <c r="DT3" i="138"/>
  <c r="DR3" i="138"/>
  <c r="DH4" i="138"/>
  <c r="AF18" i="37" s="1"/>
  <c r="DH5" i="138"/>
  <c r="AF21" i="37" s="1"/>
  <c r="DH6" i="138"/>
  <c r="AF23" i="37" s="1"/>
  <c r="DH7" i="138"/>
  <c r="AF38" i="37" s="1"/>
  <c r="AF37" i="37" s="1"/>
  <c r="DH8" i="138"/>
  <c r="AF46" i="37" s="1"/>
  <c r="DH9" i="138"/>
  <c r="AF47" i="37" s="1"/>
  <c r="DH10" i="138"/>
  <c r="AF48" i="37" s="1"/>
  <c r="DH11" i="138"/>
  <c r="AF49" i="37" s="1"/>
  <c r="DH12" i="138"/>
  <c r="AF51" i="37" s="1"/>
  <c r="DH13" i="138"/>
  <c r="AF53" i="37" s="1"/>
  <c r="DH14" i="138"/>
  <c r="AF55" i="37" s="1"/>
  <c r="DH15" i="138"/>
  <c r="AF56" i="37" s="1"/>
  <c r="DH16" i="138"/>
  <c r="AF57" i="37" s="1"/>
  <c r="Q57" i="37" s="1"/>
  <c r="R57" i="37" s="1"/>
  <c r="DH17" i="138"/>
  <c r="AF58" i="37" s="1"/>
  <c r="Q58" i="37" s="1"/>
  <c r="DH18" i="138"/>
  <c r="AF59" i="37" s="1"/>
  <c r="DH3" i="138"/>
  <c r="AF17" i="37" s="1"/>
  <c r="CU159" i="136"/>
  <c r="CV159" i="136"/>
  <c r="CW159" i="136"/>
  <c r="CX159" i="136"/>
  <c r="CU160" i="136"/>
  <c r="CV160" i="136"/>
  <c r="CW160" i="136"/>
  <c r="CX160" i="136"/>
  <c r="CU157" i="136"/>
  <c r="CV157" i="136"/>
  <c r="CW157" i="136"/>
  <c r="CX157" i="136"/>
  <c r="CU3" i="136"/>
  <c r="CU4" i="136"/>
  <c r="CV4" i="136"/>
  <c r="CW4" i="136"/>
  <c r="CX4" i="136"/>
  <c r="CU5" i="136"/>
  <c r="CV5" i="136"/>
  <c r="CW5" i="136"/>
  <c r="CX5" i="136"/>
  <c r="CU6" i="136"/>
  <c r="CV6" i="136"/>
  <c r="CW6" i="136"/>
  <c r="CX6" i="136"/>
  <c r="CU7" i="136"/>
  <c r="CV7" i="136"/>
  <c r="CW7" i="136"/>
  <c r="CX7" i="136"/>
  <c r="CU8" i="136"/>
  <c r="CV8" i="136"/>
  <c r="CW8" i="136"/>
  <c r="CX8" i="136"/>
  <c r="CU9" i="136"/>
  <c r="CV9" i="136"/>
  <c r="CW9" i="136"/>
  <c r="CX9" i="136"/>
  <c r="CU10" i="136"/>
  <c r="CV10" i="136"/>
  <c r="CW10" i="136"/>
  <c r="CX10" i="136"/>
  <c r="CU11" i="136"/>
  <c r="CV11" i="136"/>
  <c r="CW11" i="136"/>
  <c r="CX11" i="136"/>
  <c r="CU12" i="136"/>
  <c r="CV12" i="136"/>
  <c r="CW12" i="136"/>
  <c r="CX12" i="136"/>
  <c r="CU13" i="136"/>
  <c r="CV13" i="136"/>
  <c r="CW13" i="136"/>
  <c r="CX13" i="136"/>
  <c r="CU14" i="136"/>
  <c r="CV14" i="136"/>
  <c r="CW14" i="136"/>
  <c r="CX14" i="136"/>
  <c r="CU15" i="136"/>
  <c r="CV15" i="136"/>
  <c r="CW15" i="136"/>
  <c r="CX15" i="136"/>
  <c r="CU16" i="136"/>
  <c r="CV16" i="136"/>
  <c r="CW16" i="136"/>
  <c r="CX16" i="136"/>
  <c r="CU17" i="136"/>
  <c r="CV17" i="136"/>
  <c r="CW17" i="136"/>
  <c r="CX17" i="136"/>
  <c r="CU18" i="136"/>
  <c r="CV18" i="136"/>
  <c r="CW18" i="136"/>
  <c r="CX18" i="136"/>
  <c r="CU19" i="136"/>
  <c r="CV19" i="136"/>
  <c r="CW19" i="136"/>
  <c r="CX19" i="136"/>
  <c r="CU20" i="136"/>
  <c r="CV20" i="136"/>
  <c r="CW20" i="136"/>
  <c r="CX20" i="136"/>
  <c r="CU21" i="136"/>
  <c r="CV21" i="136"/>
  <c r="CW21" i="136"/>
  <c r="CX21" i="136"/>
  <c r="CU22" i="136"/>
  <c r="CV22" i="136"/>
  <c r="CW22" i="136"/>
  <c r="CX22" i="136"/>
  <c r="CU23" i="136"/>
  <c r="CV23" i="136"/>
  <c r="CW23" i="136"/>
  <c r="CX23" i="136"/>
  <c r="CU24" i="136"/>
  <c r="CV24" i="136"/>
  <c r="CW24" i="136"/>
  <c r="CX24" i="136"/>
  <c r="CU25" i="136"/>
  <c r="CV25" i="136"/>
  <c r="CW25" i="136"/>
  <c r="CX25" i="136"/>
  <c r="CU26" i="136"/>
  <c r="CV26" i="136"/>
  <c r="CW26" i="136"/>
  <c r="CX26" i="136"/>
  <c r="CU27" i="136"/>
  <c r="CV27" i="136"/>
  <c r="CW27" i="136"/>
  <c r="CX27" i="136"/>
  <c r="CU28" i="136"/>
  <c r="CV28" i="136"/>
  <c r="CW28" i="136"/>
  <c r="CX28" i="136"/>
  <c r="CU29" i="136"/>
  <c r="CV29" i="136"/>
  <c r="CW29" i="136"/>
  <c r="CX29" i="136"/>
  <c r="CU30" i="136"/>
  <c r="CV30" i="136"/>
  <c r="CW30" i="136"/>
  <c r="CX30" i="136"/>
  <c r="CU31" i="136"/>
  <c r="CV31" i="136"/>
  <c r="CW31" i="136"/>
  <c r="CX31" i="136"/>
  <c r="CU32" i="136"/>
  <c r="CV32" i="136"/>
  <c r="CW32" i="136"/>
  <c r="CX32" i="136"/>
  <c r="CU33" i="136"/>
  <c r="CV33" i="136"/>
  <c r="CW33" i="136"/>
  <c r="CX33" i="136"/>
  <c r="CU34" i="136"/>
  <c r="CV34" i="136"/>
  <c r="CW34" i="136"/>
  <c r="CX34" i="136"/>
  <c r="CU35" i="136"/>
  <c r="CV35" i="136"/>
  <c r="CW35" i="136"/>
  <c r="CX35" i="136"/>
  <c r="CU36" i="136"/>
  <c r="CV36" i="136"/>
  <c r="CW36" i="136"/>
  <c r="CX36" i="136"/>
  <c r="CU37" i="136"/>
  <c r="CV37" i="136"/>
  <c r="CW37" i="136"/>
  <c r="CX37" i="136"/>
  <c r="CU38" i="136"/>
  <c r="CV38" i="136"/>
  <c r="CW38" i="136"/>
  <c r="CX38" i="136"/>
  <c r="CU39" i="136"/>
  <c r="CV39" i="136"/>
  <c r="CW39" i="136"/>
  <c r="CX39" i="136"/>
  <c r="CU40" i="136"/>
  <c r="CV40" i="136"/>
  <c r="CW40" i="136"/>
  <c r="CX40" i="136"/>
  <c r="CU41" i="136"/>
  <c r="CV41" i="136"/>
  <c r="CW41" i="136"/>
  <c r="CX41" i="136"/>
  <c r="CU42" i="136"/>
  <c r="CV42" i="136"/>
  <c r="CW42" i="136"/>
  <c r="CX42" i="136"/>
  <c r="CU43" i="136"/>
  <c r="CV43" i="136"/>
  <c r="CW43" i="136"/>
  <c r="CX43" i="136"/>
  <c r="CU44" i="136"/>
  <c r="CV44" i="136"/>
  <c r="CW44" i="136"/>
  <c r="CX44" i="136"/>
  <c r="CU45" i="136"/>
  <c r="CV45" i="136"/>
  <c r="CW45" i="136"/>
  <c r="CX45" i="136"/>
  <c r="CU46" i="136"/>
  <c r="CV46" i="136"/>
  <c r="CW46" i="136"/>
  <c r="CX46" i="136"/>
  <c r="CU47" i="136"/>
  <c r="CV47" i="136"/>
  <c r="CW47" i="136"/>
  <c r="CX47" i="136"/>
  <c r="CU48" i="136"/>
  <c r="CV48" i="136"/>
  <c r="CW48" i="136"/>
  <c r="CX48" i="136"/>
  <c r="CU49" i="136"/>
  <c r="CV49" i="136"/>
  <c r="CW49" i="136"/>
  <c r="CX49" i="136"/>
  <c r="CU50" i="136"/>
  <c r="CV50" i="136"/>
  <c r="CW50" i="136"/>
  <c r="CX50" i="136"/>
  <c r="CU51" i="136"/>
  <c r="CV51" i="136"/>
  <c r="CW51" i="136"/>
  <c r="CX51" i="136"/>
  <c r="CU52" i="136"/>
  <c r="CV52" i="136"/>
  <c r="CW52" i="136"/>
  <c r="CX52" i="136"/>
  <c r="CU53" i="136"/>
  <c r="CV53" i="136"/>
  <c r="CW53" i="136"/>
  <c r="CX53" i="136"/>
  <c r="CU54" i="136"/>
  <c r="CV54" i="136"/>
  <c r="CW54" i="136"/>
  <c r="CX54" i="136"/>
  <c r="CU55" i="136"/>
  <c r="CV55" i="136"/>
  <c r="CW55" i="136"/>
  <c r="CX55" i="136"/>
  <c r="CU56" i="136"/>
  <c r="CV56" i="136"/>
  <c r="CW56" i="136"/>
  <c r="CX56" i="136"/>
  <c r="CU57" i="136"/>
  <c r="CV57" i="136"/>
  <c r="CW57" i="136"/>
  <c r="CX57" i="136"/>
  <c r="CU58" i="136"/>
  <c r="CV58" i="136"/>
  <c r="CW58" i="136"/>
  <c r="CX58" i="136"/>
  <c r="CU59" i="136"/>
  <c r="CV59" i="136"/>
  <c r="CW59" i="136"/>
  <c r="CX59" i="136"/>
  <c r="CU60" i="136"/>
  <c r="CV60" i="136"/>
  <c r="CW60" i="136"/>
  <c r="CX60" i="136"/>
  <c r="CU61" i="136"/>
  <c r="CV61" i="136"/>
  <c r="CW61" i="136"/>
  <c r="CX61" i="136"/>
  <c r="CU62" i="136"/>
  <c r="CV62" i="136"/>
  <c r="CW62" i="136"/>
  <c r="CX62" i="136"/>
  <c r="CU63" i="136"/>
  <c r="CV63" i="136"/>
  <c r="CW63" i="136"/>
  <c r="CX63" i="136"/>
  <c r="CU64" i="136"/>
  <c r="CV64" i="136"/>
  <c r="CW64" i="136"/>
  <c r="CX64" i="136"/>
  <c r="CU65" i="136"/>
  <c r="CV65" i="136"/>
  <c r="CW65" i="136"/>
  <c r="CX65" i="136"/>
  <c r="CU66" i="136"/>
  <c r="CV66" i="136"/>
  <c r="CW66" i="136"/>
  <c r="CX66" i="136"/>
  <c r="CU67" i="136"/>
  <c r="CV67" i="136"/>
  <c r="CW67" i="136"/>
  <c r="CX67" i="136"/>
  <c r="CU68" i="136"/>
  <c r="CV68" i="136"/>
  <c r="CW68" i="136"/>
  <c r="CX68" i="136"/>
  <c r="CU69" i="136"/>
  <c r="CV69" i="136"/>
  <c r="CW69" i="136"/>
  <c r="CX69" i="136"/>
  <c r="CU70" i="136"/>
  <c r="CV70" i="136"/>
  <c r="CW70" i="136"/>
  <c r="CX70" i="136"/>
  <c r="CU71" i="136"/>
  <c r="CV71" i="136"/>
  <c r="CW71" i="136"/>
  <c r="CX71" i="136"/>
  <c r="CU72" i="136"/>
  <c r="CV72" i="136"/>
  <c r="CW72" i="136"/>
  <c r="CX72" i="136"/>
  <c r="CU73" i="136"/>
  <c r="CV73" i="136"/>
  <c r="CW73" i="136"/>
  <c r="CX73" i="136"/>
  <c r="CU74" i="136"/>
  <c r="CV74" i="136"/>
  <c r="CW74" i="136"/>
  <c r="CX74" i="136"/>
  <c r="CU75" i="136"/>
  <c r="CV75" i="136"/>
  <c r="CW75" i="136"/>
  <c r="CX75" i="136"/>
  <c r="CU76" i="136"/>
  <c r="CV76" i="136"/>
  <c r="CW76" i="136"/>
  <c r="CX76" i="136"/>
  <c r="CU77" i="136"/>
  <c r="CV77" i="136"/>
  <c r="CW77" i="136"/>
  <c r="CX77" i="136"/>
  <c r="CU78" i="136"/>
  <c r="CV78" i="136"/>
  <c r="CW78" i="136"/>
  <c r="CX78" i="136"/>
  <c r="CU79" i="136"/>
  <c r="CV79" i="136"/>
  <c r="CW79" i="136"/>
  <c r="CX79" i="136"/>
  <c r="CU80" i="136"/>
  <c r="CV80" i="136"/>
  <c r="CW80" i="136"/>
  <c r="CX80" i="136"/>
  <c r="CU81" i="136"/>
  <c r="CV81" i="136"/>
  <c r="CW81" i="136"/>
  <c r="CX81" i="136"/>
  <c r="CU82" i="136"/>
  <c r="CV82" i="136"/>
  <c r="CW82" i="136"/>
  <c r="CX82" i="136"/>
  <c r="CU83" i="136"/>
  <c r="CV83" i="136"/>
  <c r="CW83" i="136"/>
  <c r="CX83" i="136"/>
  <c r="CU84" i="136"/>
  <c r="CV84" i="136"/>
  <c r="CW84" i="136"/>
  <c r="CX84" i="136"/>
  <c r="CU85" i="136"/>
  <c r="CV85" i="136"/>
  <c r="CW85" i="136"/>
  <c r="CX85" i="136"/>
  <c r="CU86" i="136"/>
  <c r="CV86" i="136"/>
  <c r="CW86" i="136"/>
  <c r="CX86" i="136"/>
  <c r="CU87" i="136"/>
  <c r="CV87" i="136"/>
  <c r="CW87" i="136"/>
  <c r="CX87" i="136"/>
  <c r="CU88" i="136"/>
  <c r="CV88" i="136"/>
  <c r="CW88" i="136"/>
  <c r="CX88" i="136"/>
  <c r="CU89" i="136"/>
  <c r="CV89" i="136"/>
  <c r="CW89" i="136"/>
  <c r="CX89" i="136"/>
  <c r="CU90" i="136"/>
  <c r="CV90" i="136"/>
  <c r="CW90" i="136"/>
  <c r="CX90" i="136"/>
  <c r="CU91" i="136"/>
  <c r="CV91" i="136"/>
  <c r="CW91" i="136"/>
  <c r="CX91" i="136"/>
  <c r="CU92" i="136"/>
  <c r="CV92" i="136"/>
  <c r="CW92" i="136"/>
  <c r="CX92" i="136"/>
  <c r="CU93" i="136"/>
  <c r="CV93" i="136"/>
  <c r="CW93" i="136"/>
  <c r="CX93" i="136"/>
  <c r="CU94" i="136"/>
  <c r="CV94" i="136"/>
  <c r="CW94" i="136"/>
  <c r="CX94" i="136"/>
  <c r="CU95" i="136"/>
  <c r="CV95" i="136"/>
  <c r="CW95" i="136"/>
  <c r="CX95" i="136"/>
  <c r="CU96" i="136"/>
  <c r="CV96" i="136"/>
  <c r="CW96" i="136"/>
  <c r="CX96" i="136"/>
  <c r="CU97" i="136"/>
  <c r="CV97" i="136"/>
  <c r="CW97" i="136"/>
  <c r="CX97" i="136"/>
  <c r="CU98" i="136"/>
  <c r="CV98" i="136"/>
  <c r="CW98" i="136"/>
  <c r="CX98" i="136"/>
  <c r="CU99" i="136"/>
  <c r="CV99" i="136"/>
  <c r="CW99" i="136"/>
  <c r="CX99" i="136"/>
  <c r="CU100" i="136"/>
  <c r="CV100" i="136"/>
  <c r="CW100" i="136"/>
  <c r="CX100" i="136"/>
  <c r="CU101" i="136"/>
  <c r="CV101" i="136"/>
  <c r="CW101" i="136"/>
  <c r="CX101" i="136"/>
  <c r="CU102" i="136"/>
  <c r="CV102" i="136"/>
  <c r="CW102" i="136"/>
  <c r="CX102" i="136"/>
  <c r="CU103" i="136"/>
  <c r="CV103" i="136"/>
  <c r="CW103" i="136"/>
  <c r="CX103" i="136"/>
  <c r="CU104" i="136"/>
  <c r="CV104" i="136"/>
  <c r="CW104" i="136"/>
  <c r="CX104" i="136"/>
  <c r="CU105" i="136"/>
  <c r="CV105" i="136"/>
  <c r="CW105" i="136"/>
  <c r="CX105" i="136"/>
  <c r="CU106" i="136"/>
  <c r="CV106" i="136"/>
  <c r="CW106" i="136"/>
  <c r="CX106" i="136"/>
  <c r="CU107" i="136"/>
  <c r="CV107" i="136"/>
  <c r="CW107" i="136"/>
  <c r="CX107" i="136"/>
  <c r="CU108" i="136"/>
  <c r="CV108" i="136"/>
  <c r="CW108" i="136"/>
  <c r="CX108" i="136"/>
  <c r="CU109" i="136"/>
  <c r="CV109" i="136"/>
  <c r="CW109" i="136"/>
  <c r="CX109" i="136"/>
  <c r="CU110" i="136"/>
  <c r="CV110" i="136"/>
  <c r="CW110" i="136"/>
  <c r="CX110" i="136"/>
  <c r="CU111" i="136"/>
  <c r="CV111" i="136"/>
  <c r="CW111" i="136"/>
  <c r="CX111" i="136"/>
  <c r="CU112" i="136"/>
  <c r="CV112" i="136"/>
  <c r="CW112" i="136"/>
  <c r="CX112" i="136"/>
  <c r="CU113" i="136"/>
  <c r="CV113" i="136"/>
  <c r="CW113" i="136"/>
  <c r="CX113" i="136"/>
  <c r="CU114" i="136"/>
  <c r="CV114" i="136"/>
  <c r="CW114" i="136"/>
  <c r="CX114" i="136"/>
  <c r="CU115" i="136"/>
  <c r="CV115" i="136"/>
  <c r="CW115" i="136"/>
  <c r="CX115" i="136"/>
  <c r="CU116" i="136"/>
  <c r="CV116" i="136"/>
  <c r="CW116" i="136"/>
  <c r="CX116" i="136"/>
  <c r="CU117" i="136"/>
  <c r="CV117" i="136"/>
  <c r="CW117" i="136"/>
  <c r="CX117" i="136"/>
  <c r="CU118" i="136"/>
  <c r="CV118" i="136"/>
  <c r="CW118" i="136"/>
  <c r="CX118" i="136"/>
  <c r="CU119" i="136"/>
  <c r="CV119" i="136"/>
  <c r="CW119" i="136"/>
  <c r="CX119" i="136"/>
  <c r="CU120" i="136"/>
  <c r="CV120" i="136"/>
  <c r="CW120" i="136"/>
  <c r="CX120" i="136"/>
  <c r="CU121" i="136"/>
  <c r="CV121" i="136"/>
  <c r="CW121" i="136"/>
  <c r="CX121" i="136"/>
  <c r="CU122" i="136"/>
  <c r="CV122" i="136"/>
  <c r="CW122" i="136"/>
  <c r="CX122" i="136"/>
  <c r="CU123" i="136"/>
  <c r="CV123" i="136"/>
  <c r="CW123" i="136"/>
  <c r="CX123" i="136"/>
  <c r="CU124" i="136"/>
  <c r="CV124" i="136"/>
  <c r="CW124" i="136"/>
  <c r="CX124" i="136"/>
  <c r="CU125" i="136"/>
  <c r="CV125" i="136"/>
  <c r="CW125" i="136"/>
  <c r="CX125" i="136"/>
  <c r="CU126" i="136"/>
  <c r="CV126" i="136"/>
  <c r="CW126" i="136"/>
  <c r="CX126" i="136"/>
  <c r="CU127" i="136"/>
  <c r="CV127" i="136"/>
  <c r="CW127" i="136"/>
  <c r="CX127" i="136"/>
  <c r="CU128" i="136"/>
  <c r="CV128" i="136"/>
  <c r="CW128" i="136"/>
  <c r="CX128" i="136"/>
  <c r="CU129" i="136"/>
  <c r="CV129" i="136"/>
  <c r="CW129" i="136"/>
  <c r="CX129" i="136"/>
  <c r="CU130" i="136"/>
  <c r="CV130" i="136"/>
  <c r="CW130" i="136"/>
  <c r="CX130" i="136"/>
  <c r="CU131" i="136"/>
  <c r="CV131" i="136"/>
  <c r="CW131" i="136"/>
  <c r="CX131" i="136"/>
  <c r="CU132" i="136"/>
  <c r="CV132" i="136"/>
  <c r="CW132" i="136"/>
  <c r="CX132" i="136"/>
  <c r="CU133" i="136"/>
  <c r="CV133" i="136"/>
  <c r="CW133" i="136"/>
  <c r="CX133" i="136"/>
  <c r="CU134" i="136"/>
  <c r="CV134" i="136"/>
  <c r="CW134" i="136"/>
  <c r="CX134" i="136"/>
  <c r="CU135" i="136"/>
  <c r="CV135" i="136"/>
  <c r="CW135" i="136"/>
  <c r="CX135" i="136"/>
  <c r="CU136" i="136"/>
  <c r="CV136" i="136"/>
  <c r="CW136" i="136"/>
  <c r="CX136" i="136"/>
  <c r="CU137" i="136"/>
  <c r="CV137" i="136"/>
  <c r="CW137" i="136"/>
  <c r="CX137" i="136"/>
  <c r="CU138" i="136"/>
  <c r="CV138" i="136"/>
  <c r="CW138" i="136"/>
  <c r="CX138" i="136"/>
  <c r="CU139" i="136"/>
  <c r="CV139" i="136"/>
  <c r="CW139" i="136"/>
  <c r="CX139" i="136"/>
  <c r="CU140" i="136"/>
  <c r="CV140" i="136"/>
  <c r="CW140" i="136"/>
  <c r="CX140" i="136"/>
  <c r="CU141" i="136"/>
  <c r="CV141" i="136"/>
  <c r="CW141" i="136"/>
  <c r="CX141" i="136"/>
  <c r="CU142" i="136"/>
  <c r="CV142" i="136"/>
  <c r="CW142" i="136"/>
  <c r="CX142" i="136"/>
  <c r="CU143" i="136"/>
  <c r="CV143" i="136"/>
  <c r="CW143" i="136"/>
  <c r="CX143" i="136"/>
  <c r="CU144" i="136"/>
  <c r="CV144" i="136"/>
  <c r="CW144" i="136"/>
  <c r="CX144" i="136"/>
  <c r="CU145" i="136"/>
  <c r="CV145" i="136"/>
  <c r="CW145" i="136"/>
  <c r="CX145" i="136"/>
  <c r="CU146" i="136"/>
  <c r="CV146" i="136"/>
  <c r="CW146" i="136"/>
  <c r="CX146" i="136"/>
  <c r="CU147" i="136"/>
  <c r="CV147" i="136"/>
  <c r="CW147" i="136"/>
  <c r="CX147" i="136"/>
  <c r="CU148" i="136"/>
  <c r="CV148" i="136"/>
  <c r="CW148" i="136"/>
  <c r="CX148" i="136"/>
  <c r="CU149" i="136"/>
  <c r="CV149" i="136"/>
  <c r="CW149" i="136"/>
  <c r="CX149" i="136"/>
  <c r="CU150" i="136"/>
  <c r="CV150" i="136"/>
  <c r="CW150" i="136"/>
  <c r="CX150" i="136"/>
  <c r="CU151" i="136"/>
  <c r="CV151" i="136"/>
  <c r="CW151" i="136"/>
  <c r="CX151" i="136"/>
  <c r="CU152" i="136"/>
  <c r="CV152" i="136"/>
  <c r="CW152" i="136"/>
  <c r="CX152" i="136"/>
  <c r="CU153" i="136"/>
  <c r="CV153" i="136"/>
  <c r="CW153" i="136"/>
  <c r="CX153" i="136"/>
  <c r="CU154" i="136"/>
  <c r="CV154" i="136"/>
  <c r="CW154" i="136"/>
  <c r="CX154" i="136"/>
  <c r="CU155" i="136"/>
  <c r="CV155" i="136"/>
  <c r="CW155" i="136"/>
  <c r="CX155" i="136"/>
  <c r="CU156" i="136"/>
  <c r="CV156" i="136"/>
  <c r="CW156" i="136"/>
  <c r="CX156" i="136"/>
  <c r="CU158" i="136"/>
  <c r="CV158" i="136"/>
  <c r="CW158" i="136"/>
  <c r="CX158" i="136"/>
  <c r="CU161" i="136"/>
  <c r="CV161" i="136"/>
  <c r="CW161" i="136"/>
  <c r="CX161" i="136"/>
  <c r="CX3" i="136"/>
  <c r="CW3" i="136"/>
  <c r="CV3" i="136"/>
  <c r="CM3" i="136"/>
  <c r="AG10" i="4" s="1"/>
  <c r="CM4" i="136"/>
  <c r="AG11" i="4" s="1"/>
  <c r="CM5" i="136"/>
  <c r="AG12" i="4" s="1"/>
  <c r="CM6" i="136"/>
  <c r="AG13" i="4" s="1"/>
  <c r="CM7" i="136"/>
  <c r="AG14" i="4" s="1"/>
  <c r="CM8" i="136"/>
  <c r="AG15" i="4" s="1"/>
  <c r="CM9" i="136"/>
  <c r="AG17" i="4" s="1"/>
  <c r="CM10" i="136"/>
  <c r="AG18" i="4" s="1"/>
  <c r="CM11" i="136"/>
  <c r="AG19" i="4" s="1"/>
  <c r="CM12" i="136"/>
  <c r="AG20" i="4" s="1"/>
  <c r="CM13" i="136"/>
  <c r="AG21" i="4" s="1"/>
  <c r="CM14" i="136"/>
  <c r="AG22" i="4" s="1"/>
  <c r="CM15" i="136"/>
  <c r="AG23" i="4" s="1"/>
  <c r="CM16" i="136"/>
  <c r="AG26" i="4" s="1"/>
  <c r="CM17" i="136"/>
  <c r="AG27" i="4" s="1"/>
  <c r="CM18" i="136"/>
  <c r="AG28" i="4" s="1"/>
  <c r="CM19" i="136"/>
  <c r="AG29" i="4" s="1"/>
  <c r="CM20" i="136"/>
  <c r="AG30" i="4" s="1"/>
  <c r="CM21" i="136"/>
  <c r="AG31" i="4" s="1"/>
  <c r="CM22" i="136"/>
  <c r="AG33" i="4" s="1"/>
  <c r="CM23" i="136"/>
  <c r="AG34" i="4" s="1"/>
  <c r="CM24" i="136"/>
  <c r="AG36" i="4" s="1"/>
  <c r="CM25" i="136"/>
  <c r="AG38" i="4" s="1"/>
  <c r="CM26" i="136"/>
  <c r="AG40" i="4" s="1"/>
  <c r="CM27" i="136"/>
  <c r="AG42" i="4" s="1"/>
  <c r="CM28" i="136"/>
  <c r="AG43" i="4" s="1"/>
  <c r="CM29" i="136"/>
  <c r="AG44" i="4" s="1"/>
  <c r="CM30" i="136"/>
  <c r="AG45" i="4" s="1"/>
  <c r="CM31" i="136"/>
  <c r="AG46" i="4" s="1"/>
  <c r="CM32" i="136"/>
  <c r="AG47" i="4" s="1"/>
  <c r="CM33" i="136"/>
  <c r="AG49" i="4" s="1"/>
  <c r="CM34" i="136"/>
  <c r="AG50" i="4" s="1"/>
  <c r="CM35" i="136"/>
  <c r="AG51" i="4" s="1"/>
  <c r="CM36" i="136"/>
  <c r="AG52" i="4" s="1"/>
  <c r="CM37" i="136"/>
  <c r="AG53" i="4" s="1"/>
  <c r="CM38" i="136"/>
  <c r="AG54" i="4" s="1"/>
  <c r="CM39" i="136"/>
  <c r="AG57" i="4" s="1"/>
  <c r="CM40" i="136"/>
  <c r="AG58" i="4" s="1"/>
  <c r="CM41" i="136"/>
  <c r="AG59" i="4" s="1"/>
  <c r="CM42" i="136"/>
  <c r="AG60" i="4" s="1"/>
  <c r="CM43" i="136"/>
  <c r="AG61" i="4" s="1"/>
  <c r="CM44" i="136"/>
  <c r="AG62" i="4" s="1"/>
  <c r="CM45" i="136"/>
  <c r="AG64" i="4" s="1"/>
  <c r="CM46" i="136"/>
  <c r="AG65" i="4" s="1"/>
  <c r="CM47" i="136"/>
  <c r="AG66" i="4" s="1"/>
  <c r="CM48" i="136"/>
  <c r="AG67" i="4" s="1"/>
  <c r="CM49" i="136"/>
  <c r="AG69" i="4" s="1"/>
  <c r="CM50" i="136"/>
  <c r="AG71" i="4" s="1"/>
  <c r="CM51" i="136"/>
  <c r="AG73" i="4" s="1"/>
  <c r="CM52" i="136"/>
  <c r="AG74" i="4" s="1"/>
  <c r="CM53" i="136"/>
  <c r="AG75" i="4" s="1"/>
  <c r="CM54" i="136"/>
  <c r="AG76" i="4" s="1"/>
  <c r="CM55" i="136"/>
  <c r="AG77" i="4" s="1"/>
  <c r="CM56" i="136"/>
  <c r="AG80" i="4" s="1"/>
  <c r="CM57" i="136"/>
  <c r="AG83" i="4" s="1"/>
  <c r="CM58" i="136"/>
  <c r="AG85" i="4" s="1"/>
  <c r="CM59" i="136"/>
  <c r="AG86" i="4" s="1"/>
  <c r="CM60" i="136"/>
  <c r="AG89" i="4" s="1"/>
  <c r="CM61" i="136"/>
  <c r="AG90" i="4" s="1"/>
  <c r="CM62" i="136"/>
  <c r="AG95" i="4" s="1"/>
  <c r="CM63" i="136"/>
  <c r="AG97" i="4" s="1"/>
  <c r="CM64" i="136"/>
  <c r="AG100" i="4" s="1"/>
  <c r="CM65" i="136"/>
  <c r="AG103" i="4" s="1"/>
  <c r="CM66" i="136"/>
  <c r="AG104" i="4" s="1"/>
  <c r="CM67" i="136"/>
  <c r="AG105" i="4" s="1"/>
  <c r="CM68" i="136"/>
  <c r="AG106" i="4" s="1"/>
  <c r="CM69" i="136"/>
  <c r="AG107" i="4" s="1"/>
  <c r="CM70" i="136"/>
  <c r="AG110" i="4" s="1"/>
  <c r="CM71" i="136"/>
  <c r="AG111" i="4" s="1"/>
  <c r="CM72" i="136"/>
  <c r="AG112" i="4" s="1"/>
  <c r="CM73" i="136"/>
  <c r="AG113" i="4" s="1"/>
  <c r="CM74" i="136"/>
  <c r="AG114" i="4" s="1"/>
  <c r="CM75" i="136"/>
  <c r="AG120" i="4" s="1"/>
  <c r="CM76" i="136"/>
  <c r="AG121" i="4" s="1"/>
  <c r="CM77" i="136"/>
  <c r="AG122" i="4" s="1"/>
  <c r="CM78" i="136"/>
  <c r="AG124" i="4" s="1"/>
  <c r="CM79" i="136"/>
  <c r="AG125" i="4" s="1"/>
  <c r="CM80" i="136"/>
  <c r="AG126" i="4" s="1"/>
  <c r="CM81" i="136"/>
  <c r="AG128" i="4" s="1"/>
  <c r="CM82" i="136"/>
  <c r="AG129" i="4" s="1"/>
  <c r="CM83" i="136"/>
  <c r="AG131" i="4" s="1"/>
  <c r="CM84" i="136"/>
  <c r="AG132" i="4" s="1"/>
  <c r="CM85" i="136"/>
  <c r="AG133" i="4" s="1"/>
  <c r="CM86" i="136"/>
  <c r="AG134" i="4" s="1"/>
  <c r="CM87" i="136"/>
  <c r="AG135" i="4" s="1"/>
  <c r="CM88" i="136"/>
  <c r="AG136" i="4" s="1"/>
  <c r="CM89" i="136"/>
  <c r="AG137" i="4" s="1"/>
  <c r="CM90" i="136"/>
  <c r="AG138" i="4" s="1"/>
  <c r="CM91" i="136"/>
  <c r="AG139" i="4" s="1"/>
  <c r="CM92" i="136"/>
  <c r="AG140" i="4" s="1"/>
  <c r="CM93" i="136"/>
  <c r="AG141" i="4" s="1"/>
  <c r="CM94" i="136"/>
  <c r="AG143" i="4" s="1"/>
  <c r="CM95" i="136"/>
  <c r="AG144" i="4" s="1"/>
  <c r="CM96" i="136"/>
  <c r="AG145" i="4" s="1"/>
  <c r="CM97" i="136"/>
  <c r="AG146" i="4" s="1"/>
  <c r="CM98" i="136"/>
  <c r="AG149" i="4" s="1"/>
  <c r="CM99" i="136"/>
  <c r="AG152" i="4" s="1"/>
  <c r="CM100" i="136"/>
  <c r="AG154" i="4" s="1"/>
  <c r="CM101" i="136"/>
  <c r="AG156" i="4" s="1"/>
  <c r="CM102" i="136"/>
  <c r="AG165" i="4" s="1"/>
  <c r="CM103" i="136"/>
  <c r="AG172" i="4" s="1"/>
  <c r="CM104" i="136"/>
  <c r="AG176" i="4" s="1"/>
  <c r="CM105" i="136"/>
  <c r="AG178" i="4" s="1"/>
  <c r="CM106" i="136"/>
  <c r="AG180" i="4" s="1"/>
  <c r="CM107" i="136"/>
  <c r="AG187" i="4" s="1"/>
  <c r="CM108" i="136"/>
  <c r="AG188" i="4" s="1"/>
  <c r="CM109" i="136"/>
  <c r="AG189" i="4" s="1"/>
  <c r="CM110" i="136"/>
  <c r="AG194" i="4" s="1"/>
  <c r="CM111" i="136"/>
  <c r="AG196" i="4" s="1"/>
  <c r="CM112" i="136"/>
  <c r="AG199" i="4" s="1"/>
  <c r="CM113" i="136"/>
  <c r="AG200" i="4" s="1"/>
  <c r="CM114" i="136"/>
  <c r="AG202" i="4" s="1"/>
  <c r="CM115" i="136"/>
  <c r="AG203" i="4" s="1"/>
  <c r="CM116" i="136"/>
  <c r="AG208" i="4" s="1"/>
  <c r="CM117" i="136"/>
  <c r="AG210" i="4" s="1"/>
  <c r="CM118" i="136"/>
  <c r="CM119" i="136"/>
  <c r="BX4" i="139"/>
  <c r="BY4" i="139"/>
  <c r="BZ4" i="139"/>
  <c r="BY5" i="139"/>
  <c r="BZ5" i="139"/>
  <c r="BX6" i="139"/>
  <c r="BY6" i="139"/>
  <c r="BZ6" i="139"/>
  <c r="BX7" i="139"/>
  <c r="BY7" i="139"/>
  <c r="BZ7" i="139"/>
  <c r="BX8" i="139"/>
  <c r="BY8" i="139"/>
  <c r="BZ8" i="139"/>
  <c r="BY3" i="139"/>
  <c r="BZ3" i="139"/>
  <c r="BX3" i="139"/>
  <c r="AD35" i="35"/>
  <c r="AD33" i="35"/>
  <c r="CT4" i="137"/>
  <c r="CU4" i="137"/>
  <c r="CV4" i="137"/>
  <c r="CT5" i="137"/>
  <c r="CU5" i="137"/>
  <c r="CV5" i="137"/>
  <c r="CT6" i="137"/>
  <c r="CU6" i="137"/>
  <c r="CV6" i="137"/>
  <c r="CT7" i="137"/>
  <c r="CU7" i="137"/>
  <c r="CV7" i="137"/>
  <c r="CT8" i="137"/>
  <c r="CU8" i="137"/>
  <c r="CV8" i="137"/>
  <c r="CT9" i="137"/>
  <c r="CU9" i="137"/>
  <c r="CV9" i="137"/>
  <c r="CT10" i="137"/>
  <c r="CU10" i="137"/>
  <c r="CV10" i="137"/>
  <c r="CT11" i="137"/>
  <c r="CU11" i="137"/>
  <c r="CV11" i="137"/>
  <c r="CT12" i="137"/>
  <c r="CU12" i="137"/>
  <c r="CV12" i="137"/>
  <c r="CT13" i="137"/>
  <c r="CU13" i="137"/>
  <c r="CV13" i="137"/>
  <c r="CT14" i="137"/>
  <c r="CU14" i="137"/>
  <c r="CV14" i="137"/>
  <c r="CT15" i="137"/>
  <c r="CU15" i="137"/>
  <c r="CV15" i="137"/>
  <c r="CT16" i="137"/>
  <c r="CU16" i="137"/>
  <c r="CV16" i="137"/>
  <c r="CT17" i="137"/>
  <c r="CU17" i="137"/>
  <c r="CV17" i="137"/>
  <c r="CT18" i="137"/>
  <c r="CU18" i="137"/>
  <c r="CV18" i="137"/>
  <c r="CT19" i="137"/>
  <c r="CU19" i="137"/>
  <c r="CV19" i="137"/>
  <c r="CT20" i="137"/>
  <c r="CU20" i="137"/>
  <c r="CV20" i="137"/>
  <c r="CT21" i="137"/>
  <c r="CU21" i="137"/>
  <c r="CV21" i="137"/>
  <c r="CT22" i="137"/>
  <c r="CU22" i="137"/>
  <c r="CV22" i="137"/>
  <c r="CT23" i="137"/>
  <c r="CU23" i="137"/>
  <c r="CV23" i="137"/>
  <c r="CT24" i="137"/>
  <c r="CU24" i="137"/>
  <c r="CV24" i="137"/>
  <c r="CT25" i="137"/>
  <c r="CU25" i="137"/>
  <c r="CV25" i="137"/>
  <c r="CT26" i="137"/>
  <c r="CU26" i="137"/>
  <c r="CV26" i="137"/>
  <c r="CT27" i="137"/>
  <c r="CU27" i="137"/>
  <c r="CV27" i="137"/>
  <c r="CT28" i="137"/>
  <c r="CU28" i="137"/>
  <c r="CV28" i="137"/>
  <c r="CT29" i="137"/>
  <c r="CU29" i="137"/>
  <c r="CV29" i="137"/>
  <c r="CT30" i="137"/>
  <c r="CU30" i="137"/>
  <c r="CV30" i="137"/>
  <c r="CT31" i="137"/>
  <c r="CU31" i="137"/>
  <c r="CV31" i="137"/>
  <c r="CT32" i="137"/>
  <c r="CU32" i="137"/>
  <c r="CV32" i="137"/>
  <c r="CT33" i="137"/>
  <c r="CU33" i="137"/>
  <c r="CV33" i="137"/>
  <c r="CT34" i="137"/>
  <c r="CU34" i="137"/>
  <c r="CV34" i="137"/>
  <c r="CT35" i="137"/>
  <c r="CU35" i="137"/>
  <c r="CV35" i="137"/>
  <c r="CT36" i="137"/>
  <c r="CU36" i="137"/>
  <c r="CV36" i="137"/>
  <c r="CT37" i="137"/>
  <c r="CU37" i="137"/>
  <c r="CV37" i="137"/>
  <c r="CT38" i="137"/>
  <c r="CU38" i="137"/>
  <c r="CV38" i="137"/>
  <c r="CT39" i="137"/>
  <c r="CU39" i="137"/>
  <c r="CV39" i="137"/>
  <c r="CT40" i="137"/>
  <c r="CU40" i="137"/>
  <c r="CV40" i="137"/>
  <c r="CT41" i="137"/>
  <c r="CU41" i="137"/>
  <c r="CV41" i="137"/>
  <c r="CT42" i="137"/>
  <c r="CU42" i="137"/>
  <c r="CV42" i="137"/>
  <c r="CT43" i="137"/>
  <c r="CU43" i="137"/>
  <c r="CV43" i="137"/>
  <c r="CT44" i="137"/>
  <c r="CU44" i="137"/>
  <c r="CV44" i="137"/>
  <c r="CT45" i="137"/>
  <c r="CU45" i="137"/>
  <c r="CV45" i="137"/>
  <c r="CT46" i="137"/>
  <c r="CU46" i="137"/>
  <c r="CV46" i="137"/>
  <c r="CT47" i="137"/>
  <c r="CU47" i="137"/>
  <c r="CV47" i="137"/>
  <c r="CT48" i="137"/>
  <c r="CU48" i="137"/>
  <c r="CV48" i="137"/>
  <c r="CT49" i="137"/>
  <c r="CU49" i="137"/>
  <c r="CV49" i="137"/>
  <c r="CT50" i="137"/>
  <c r="CU50" i="137"/>
  <c r="CV50" i="137"/>
  <c r="CT51" i="137"/>
  <c r="CU51" i="137"/>
  <c r="CV51" i="137"/>
  <c r="CT52" i="137"/>
  <c r="CU52" i="137"/>
  <c r="CV52" i="137"/>
  <c r="CU3" i="137"/>
  <c r="CV3" i="137"/>
  <c r="CT3" i="137"/>
  <c r="CK4" i="137"/>
  <c r="AD26" i="35" s="1"/>
  <c r="CK5" i="137"/>
  <c r="AD30" i="35" s="1"/>
  <c r="CK6" i="137"/>
  <c r="AD28" i="35" s="1"/>
  <c r="CK7" i="137"/>
  <c r="AD43" i="35" s="1"/>
  <c r="CK8" i="137"/>
  <c r="AD38" i="35" s="1"/>
  <c r="CK9" i="137"/>
  <c r="AD40" i="35" s="1"/>
  <c r="CK10" i="137"/>
  <c r="AD57" i="35" s="1"/>
  <c r="CK11" i="137"/>
  <c r="AD58" i="35" s="1"/>
  <c r="CK12" i="137"/>
  <c r="AD59" i="35" s="1"/>
  <c r="CK3" i="137"/>
  <c r="AD22" i="35" s="1"/>
  <c r="CP4" i="138"/>
  <c r="AD18" i="37" s="1"/>
  <c r="CP5" i="138"/>
  <c r="AD19" i="37" s="1"/>
  <c r="Q19" i="37" s="1"/>
  <c r="R19" i="37" s="1"/>
  <c r="CP6" i="138"/>
  <c r="AD17" i="37" s="1"/>
  <c r="CP7" i="138"/>
  <c r="AD20" i="37" s="1"/>
  <c r="Q20" i="37" s="1"/>
  <c r="R20" i="37" s="1"/>
  <c r="CP8" i="138"/>
  <c r="AD23" i="37" s="1"/>
  <c r="CP9" i="138"/>
  <c r="AD46" i="37" s="1"/>
  <c r="CP10" i="138"/>
  <c r="AD47" i="37" s="1"/>
  <c r="CP11" i="138"/>
  <c r="AD51" i="37" s="1"/>
  <c r="CP12" i="138"/>
  <c r="AD52" i="37" s="1"/>
  <c r="CP13" i="138"/>
  <c r="AD53" i="37" s="1"/>
  <c r="CP14" i="138"/>
  <c r="AD54" i="37" s="1"/>
  <c r="CP15" i="138"/>
  <c r="AD55" i="37" s="1"/>
  <c r="CP16" i="138"/>
  <c r="AD56" i="37" s="1"/>
  <c r="CP17" i="138"/>
  <c r="AD59" i="37" s="1"/>
  <c r="CP3" i="138"/>
  <c r="AD15" i="37" s="1"/>
  <c r="CY4" i="138"/>
  <c r="CZ4" i="138"/>
  <c r="DA4" i="138"/>
  <c r="CY5" i="138"/>
  <c r="CZ5" i="138"/>
  <c r="DA5" i="138"/>
  <c r="CY6" i="138"/>
  <c r="CZ6" i="138"/>
  <c r="DA6" i="138"/>
  <c r="CY7" i="138"/>
  <c r="CZ7" i="138"/>
  <c r="DA7" i="138"/>
  <c r="CY8" i="138"/>
  <c r="CZ8" i="138"/>
  <c r="DA8" i="138"/>
  <c r="CY9" i="138"/>
  <c r="CZ9" i="138"/>
  <c r="DA9" i="138"/>
  <c r="CY10" i="138"/>
  <c r="CZ10" i="138"/>
  <c r="DA10" i="138"/>
  <c r="CY11" i="138"/>
  <c r="CZ11" i="138"/>
  <c r="DA11" i="138"/>
  <c r="CY12" i="138"/>
  <c r="CZ12" i="138"/>
  <c r="DA12" i="138"/>
  <c r="CY13" i="138"/>
  <c r="CZ13" i="138"/>
  <c r="DA13" i="138"/>
  <c r="CY14" i="138"/>
  <c r="CZ14" i="138"/>
  <c r="DA14" i="138"/>
  <c r="CY15" i="138"/>
  <c r="CZ15" i="138"/>
  <c r="DA15" i="138"/>
  <c r="CY16" i="138"/>
  <c r="CZ16" i="138"/>
  <c r="DA16" i="138"/>
  <c r="CY17" i="138"/>
  <c r="CZ17" i="138"/>
  <c r="DA17" i="138"/>
  <c r="CY18" i="138"/>
  <c r="CZ18" i="138"/>
  <c r="DA18" i="138"/>
  <c r="CY19" i="138"/>
  <c r="CZ19" i="138"/>
  <c r="DA19" i="138"/>
  <c r="CY20" i="138"/>
  <c r="CZ20" i="138"/>
  <c r="DA20" i="138"/>
  <c r="CY21" i="138"/>
  <c r="CZ21" i="138"/>
  <c r="DA21" i="138"/>
  <c r="CY22" i="138"/>
  <c r="CZ22" i="138"/>
  <c r="DA22" i="138"/>
  <c r="CY23" i="138"/>
  <c r="CZ23" i="138"/>
  <c r="DA23" i="138"/>
  <c r="CY24" i="138"/>
  <c r="CZ24" i="138"/>
  <c r="DA24" i="138"/>
  <c r="CY25" i="138"/>
  <c r="CZ25" i="138"/>
  <c r="DA25" i="138"/>
  <c r="CY26" i="138"/>
  <c r="CZ26" i="138"/>
  <c r="DA26" i="138"/>
  <c r="CY27" i="138"/>
  <c r="CZ27" i="138"/>
  <c r="DA27" i="138"/>
  <c r="CY28" i="138"/>
  <c r="CZ28" i="138"/>
  <c r="DA28" i="138"/>
  <c r="CY29" i="138"/>
  <c r="CZ29" i="138"/>
  <c r="DA29" i="138"/>
  <c r="CY30" i="138"/>
  <c r="CZ30" i="138"/>
  <c r="DA30" i="138"/>
  <c r="CY31" i="138"/>
  <c r="CZ31" i="138"/>
  <c r="DA31" i="138"/>
  <c r="CY32" i="138"/>
  <c r="CZ32" i="138"/>
  <c r="DA32" i="138"/>
  <c r="CY33" i="138"/>
  <c r="CZ33" i="138"/>
  <c r="DA33" i="138"/>
  <c r="CY34" i="138"/>
  <c r="CZ34" i="138"/>
  <c r="DA34" i="138"/>
  <c r="CY35" i="138"/>
  <c r="CZ35" i="138"/>
  <c r="DA35" i="138"/>
  <c r="CY36" i="138"/>
  <c r="CZ36" i="138"/>
  <c r="DA36" i="138"/>
  <c r="CY37" i="138"/>
  <c r="CZ37" i="138"/>
  <c r="DA37" i="138"/>
  <c r="CY38" i="138"/>
  <c r="CZ38" i="138"/>
  <c r="DA38" i="138"/>
  <c r="CY39" i="138"/>
  <c r="CZ39" i="138"/>
  <c r="DA39" i="138"/>
  <c r="CY40" i="138"/>
  <c r="CZ40" i="138"/>
  <c r="DA40" i="138"/>
  <c r="CY41" i="138"/>
  <c r="CZ41" i="138"/>
  <c r="DA41" i="138"/>
  <c r="CY42" i="138"/>
  <c r="CZ42" i="138"/>
  <c r="DA42" i="138"/>
  <c r="CY43" i="138"/>
  <c r="CZ43" i="138"/>
  <c r="DA43" i="138"/>
  <c r="CY44" i="138"/>
  <c r="CZ44" i="138"/>
  <c r="DA44" i="138"/>
  <c r="CY45" i="138"/>
  <c r="CZ45" i="138"/>
  <c r="DA45" i="138"/>
  <c r="CY46" i="138"/>
  <c r="CZ46" i="138"/>
  <c r="DA46" i="138"/>
  <c r="CY47" i="138"/>
  <c r="CZ47" i="138"/>
  <c r="DA47" i="138"/>
  <c r="CY48" i="138"/>
  <c r="CZ48" i="138"/>
  <c r="DA48" i="138"/>
  <c r="CY49" i="138"/>
  <c r="CZ49" i="138"/>
  <c r="DA49" i="138"/>
  <c r="CY50" i="138"/>
  <c r="CZ50" i="138"/>
  <c r="DA50" i="138"/>
  <c r="CY51" i="138"/>
  <c r="CZ51" i="138"/>
  <c r="DA51" i="138"/>
  <c r="CY52" i="138"/>
  <c r="CZ52" i="138"/>
  <c r="DA52" i="138"/>
  <c r="CY53" i="138"/>
  <c r="CZ53" i="138"/>
  <c r="DA53" i="138"/>
  <c r="CZ3" i="138"/>
  <c r="DA3" i="138"/>
  <c r="CY3" i="138"/>
  <c r="BW3" i="138"/>
  <c r="AB15" i="37" s="1"/>
  <c r="CE144" i="136"/>
  <c r="CE143" i="136"/>
  <c r="CE4" i="136"/>
  <c r="CF4" i="136"/>
  <c r="CG4" i="136"/>
  <c r="CH4" i="136"/>
  <c r="CE5" i="136"/>
  <c r="CF5" i="136"/>
  <c r="CG5" i="136"/>
  <c r="CH5" i="136"/>
  <c r="CE6" i="136"/>
  <c r="CF6" i="136"/>
  <c r="CG6" i="136"/>
  <c r="CH6" i="136"/>
  <c r="CE7" i="136"/>
  <c r="CF7" i="136"/>
  <c r="CG7" i="136"/>
  <c r="CH7" i="136"/>
  <c r="CE8" i="136"/>
  <c r="CF8" i="136"/>
  <c r="CG8" i="136"/>
  <c r="CH8" i="136"/>
  <c r="CE9" i="136"/>
  <c r="CF9" i="136"/>
  <c r="CG9" i="136"/>
  <c r="CH9" i="136"/>
  <c r="CE10" i="136"/>
  <c r="CF10" i="136"/>
  <c r="CG10" i="136"/>
  <c r="CH10" i="136"/>
  <c r="CE11" i="136"/>
  <c r="CF11" i="136"/>
  <c r="CG11" i="136"/>
  <c r="CH11" i="136"/>
  <c r="CE12" i="136"/>
  <c r="CF12" i="136"/>
  <c r="CG12" i="136"/>
  <c r="CH12" i="136"/>
  <c r="CE13" i="136"/>
  <c r="CF13" i="136"/>
  <c r="CG13" i="136"/>
  <c r="CH13" i="136"/>
  <c r="CE14" i="136"/>
  <c r="CF14" i="136"/>
  <c r="CG14" i="136"/>
  <c r="CH14" i="136"/>
  <c r="CE15" i="136"/>
  <c r="CF15" i="136"/>
  <c r="CG15" i="136"/>
  <c r="CH15" i="136"/>
  <c r="CE16" i="136"/>
  <c r="CF16" i="136"/>
  <c r="CG16" i="136"/>
  <c r="CH16" i="136"/>
  <c r="CE17" i="136"/>
  <c r="CF17" i="136"/>
  <c r="CG17" i="136"/>
  <c r="CH17" i="136"/>
  <c r="CE18" i="136"/>
  <c r="CF18" i="136"/>
  <c r="CG18" i="136"/>
  <c r="CH18" i="136"/>
  <c r="CE19" i="136"/>
  <c r="CF19" i="136"/>
  <c r="CG19" i="136"/>
  <c r="CH19" i="136"/>
  <c r="CE20" i="136"/>
  <c r="CF20" i="136"/>
  <c r="CG20" i="136"/>
  <c r="CH20" i="136"/>
  <c r="CE21" i="136"/>
  <c r="CF21" i="136"/>
  <c r="CG21" i="136"/>
  <c r="CH21" i="136"/>
  <c r="CE22" i="136"/>
  <c r="CF22" i="136"/>
  <c r="CG22" i="136"/>
  <c r="CH22" i="136"/>
  <c r="CE23" i="136"/>
  <c r="CF23" i="136"/>
  <c r="CG23" i="136"/>
  <c r="CH23" i="136"/>
  <c r="CE24" i="136"/>
  <c r="CF24" i="136"/>
  <c r="CG24" i="136"/>
  <c r="CH24" i="136"/>
  <c r="CE25" i="136"/>
  <c r="CF25" i="136"/>
  <c r="CG25" i="136"/>
  <c r="CH25" i="136"/>
  <c r="CE26" i="136"/>
  <c r="CF26" i="136"/>
  <c r="CG26" i="136"/>
  <c r="CH26" i="136"/>
  <c r="CE27" i="136"/>
  <c r="CF27" i="136"/>
  <c r="CG27" i="136"/>
  <c r="CH27" i="136"/>
  <c r="CE28" i="136"/>
  <c r="CF28" i="136"/>
  <c r="CG28" i="136"/>
  <c r="CH28" i="136"/>
  <c r="CE29" i="136"/>
  <c r="CF29" i="136"/>
  <c r="CG29" i="136"/>
  <c r="CH29" i="136"/>
  <c r="CE30" i="136"/>
  <c r="CF30" i="136"/>
  <c r="CG30" i="136"/>
  <c r="CH30" i="136"/>
  <c r="CE31" i="136"/>
  <c r="CF31" i="136"/>
  <c r="CG31" i="136"/>
  <c r="CH31" i="136"/>
  <c r="CE32" i="136"/>
  <c r="CF32" i="136"/>
  <c r="CG32" i="136"/>
  <c r="CH32" i="136"/>
  <c r="CE33" i="136"/>
  <c r="CF33" i="136"/>
  <c r="CG33" i="136"/>
  <c r="CH33" i="136"/>
  <c r="CE34" i="136"/>
  <c r="CF34" i="136"/>
  <c r="CG34" i="136"/>
  <c r="CH34" i="136"/>
  <c r="CE35" i="136"/>
  <c r="CF35" i="136"/>
  <c r="CG35" i="136"/>
  <c r="CH35" i="136"/>
  <c r="CE36" i="136"/>
  <c r="CF36" i="136"/>
  <c r="CG36" i="136"/>
  <c r="CH36" i="136"/>
  <c r="CE37" i="136"/>
  <c r="CF37" i="136"/>
  <c r="CG37" i="136"/>
  <c r="CH37" i="136"/>
  <c r="CE38" i="136"/>
  <c r="CF38" i="136"/>
  <c r="CG38" i="136"/>
  <c r="CH38" i="136"/>
  <c r="CE39" i="136"/>
  <c r="CF39" i="136"/>
  <c r="CG39" i="136"/>
  <c r="CH39" i="136"/>
  <c r="CE40" i="136"/>
  <c r="CF40" i="136"/>
  <c r="CG40" i="136"/>
  <c r="CH40" i="136"/>
  <c r="CE41" i="136"/>
  <c r="CF41" i="136"/>
  <c r="CG41" i="136"/>
  <c r="CH41" i="136"/>
  <c r="CE42" i="136"/>
  <c r="CF42" i="136"/>
  <c r="CG42" i="136"/>
  <c r="CH42" i="136"/>
  <c r="CE43" i="136"/>
  <c r="CF43" i="136"/>
  <c r="CG43" i="136"/>
  <c r="CH43" i="136"/>
  <c r="CE44" i="136"/>
  <c r="CF44" i="136"/>
  <c r="CG44" i="136"/>
  <c r="CH44" i="136"/>
  <c r="CE45" i="136"/>
  <c r="CF45" i="136"/>
  <c r="CG45" i="136"/>
  <c r="CH45" i="136"/>
  <c r="CE46" i="136"/>
  <c r="CF46" i="136"/>
  <c r="CG46" i="136"/>
  <c r="CH46" i="136"/>
  <c r="CE47" i="136"/>
  <c r="CF47" i="136"/>
  <c r="CG47" i="136"/>
  <c r="CH47" i="136"/>
  <c r="CE48" i="136"/>
  <c r="CF48" i="136"/>
  <c r="CG48" i="136"/>
  <c r="CH48" i="136"/>
  <c r="CE49" i="136"/>
  <c r="CF49" i="136"/>
  <c r="CG49" i="136"/>
  <c r="CH49" i="136"/>
  <c r="CE50" i="136"/>
  <c r="CF50" i="136"/>
  <c r="CG50" i="136"/>
  <c r="CH50" i="136"/>
  <c r="CE51" i="136"/>
  <c r="CF51" i="136"/>
  <c r="CG51" i="136"/>
  <c r="CH51" i="136"/>
  <c r="CE52" i="136"/>
  <c r="CF52" i="136"/>
  <c r="CG52" i="136"/>
  <c r="CH52" i="136"/>
  <c r="CE53" i="136"/>
  <c r="CF53" i="136"/>
  <c r="CG53" i="136"/>
  <c r="CH53" i="136"/>
  <c r="CE54" i="136"/>
  <c r="CF54" i="136"/>
  <c r="CG54" i="136"/>
  <c r="CH54" i="136"/>
  <c r="CE55" i="136"/>
  <c r="CF55" i="136"/>
  <c r="CG55" i="136"/>
  <c r="CH55" i="136"/>
  <c r="CE56" i="136"/>
  <c r="CF56" i="136"/>
  <c r="CG56" i="136"/>
  <c r="CH56" i="136"/>
  <c r="CE57" i="136"/>
  <c r="CF57" i="136"/>
  <c r="CG57" i="136"/>
  <c r="CH57" i="136"/>
  <c r="CE58" i="136"/>
  <c r="CF58" i="136"/>
  <c r="CG58" i="136"/>
  <c r="CH58" i="136"/>
  <c r="CE59" i="136"/>
  <c r="CF59" i="136"/>
  <c r="CG59" i="136"/>
  <c r="CH59" i="136"/>
  <c r="CE60" i="136"/>
  <c r="CF60" i="136"/>
  <c r="CG60" i="136"/>
  <c r="CH60" i="136"/>
  <c r="CE61" i="136"/>
  <c r="CF61" i="136"/>
  <c r="CG61" i="136"/>
  <c r="CH61" i="136"/>
  <c r="CE62" i="136"/>
  <c r="CF62" i="136"/>
  <c r="CG62" i="136"/>
  <c r="CH62" i="136"/>
  <c r="CE63" i="136"/>
  <c r="CF63" i="136"/>
  <c r="CG63" i="136"/>
  <c r="CH63" i="136"/>
  <c r="CE64" i="136"/>
  <c r="CF64" i="136"/>
  <c r="CG64" i="136"/>
  <c r="CH64" i="136"/>
  <c r="CE65" i="136"/>
  <c r="CF65" i="136"/>
  <c r="CG65" i="136"/>
  <c r="CH65" i="136"/>
  <c r="CE66" i="136"/>
  <c r="CF66" i="136"/>
  <c r="CG66" i="136"/>
  <c r="CH66" i="136"/>
  <c r="CE67" i="136"/>
  <c r="CF67" i="136"/>
  <c r="CG67" i="136"/>
  <c r="CH67" i="136"/>
  <c r="CE68" i="136"/>
  <c r="CF68" i="136"/>
  <c r="CG68" i="136"/>
  <c r="CH68" i="136"/>
  <c r="CE69" i="136"/>
  <c r="CF69" i="136"/>
  <c r="CG69" i="136"/>
  <c r="CH69" i="136"/>
  <c r="CE70" i="136"/>
  <c r="CF70" i="136"/>
  <c r="CG70" i="136"/>
  <c r="CH70" i="136"/>
  <c r="CE71" i="136"/>
  <c r="CF71" i="136"/>
  <c r="CG71" i="136"/>
  <c r="CH71" i="136"/>
  <c r="CE72" i="136"/>
  <c r="CF72" i="136"/>
  <c r="CG72" i="136"/>
  <c r="CH72" i="136"/>
  <c r="CE73" i="136"/>
  <c r="CF73" i="136"/>
  <c r="CG73" i="136"/>
  <c r="CH73" i="136"/>
  <c r="CE74" i="136"/>
  <c r="CF74" i="136"/>
  <c r="CG74" i="136"/>
  <c r="CH74" i="136"/>
  <c r="CE75" i="136"/>
  <c r="CF75" i="136"/>
  <c r="CG75" i="136"/>
  <c r="CH75" i="136"/>
  <c r="CE76" i="136"/>
  <c r="CF76" i="136"/>
  <c r="CG76" i="136"/>
  <c r="CH76" i="136"/>
  <c r="CE77" i="136"/>
  <c r="CF77" i="136"/>
  <c r="CG77" i="136"/>
  <c r="CH77" i="136"/>
  <c r="CE78" i="136"/>
  <c r="CF78" i="136"/>
  <c r="CG78" i="136"/>
  <c r="CH78" i="136"/>
  <c r="CE79" i="136"/>
  <c r="CF79" i="136"/>
  <c r="CG79" i="136"/>
  <c r="CH79" i="136"/>
  <c r="CE80" i="136"/>
  <c r="CF80" i="136"/>
  <c r="CG80" i="136"/>
  <c r="CH80" i="136"/>
  <c r="CE81" i="136"/>
  <c r="CF81" i="136"/>
  <c r="CG81" i="136"/>
  <c r="CH81" i="136"/>
  <c r="CE82" i="136"/>
  <c r="CF82" i="136"/>
  <c r="CG82" i="136"/>
  <c r="CH82" i="136"/>
  <c r="CE83" i="136"/>
  <c r="CF83" i="136"/>
  <c r="CG83" i="136"/>
  <c r="CH83" i="136"/>
  <c r="CE84" i="136"/>
  <c r="CF84" i="136"/>
  <c r="CG84" i="136"/>
  <c r="CH84" i="136"/>
  <c r="CE85" i="136"/>
  <c r="CF85" i="136"/>
  <c r="CG85" i="136"/>
  <c r="CH85" i="136"/>
  <c r="CE86" i="136"/>
  <c r="CF86" i="136"/>
  <c r="CG86" i="136"/>
  <c r="CH86" i="136"/>
  <c r="CE87" i="136"/>
  <c r="CF87" i="136"/>
  <c r="CG87" i="136"/>
  <c r="CH87" i="136"/>
  <c r="CE88" i="136"/>
  <c r="CF88" i="136"/>
  <c r="CG88" i="136"/>
  <c r="CH88" i="136"/>
  <c r="CE89" i="136"/>
  <c r="CF89" i="136"/>
  <c r="CG89" i="136"/>
  <c r="CH89" i="136"/>
  <c r="CE90" i="136"/>
  <c r="CF90" i="136"/>
  <c r="CG90" i="136"/>
  <c r="CH90" i="136"/>
  <c r="CE91" i="136"/>
  <c r="CF91" i="136"/>
  <c r="CG91" i="136"/>
  <c r="CH91" i="136"/>
  <c r="CE92" i="136"/>
  <c r="CF92" i="136"/>
  <c r="CG92" i="136"/>
  <c r="CH92" i="136"/>
  <c r="CE93" i="136"/>
  <c r="CF93" i="136"/>
  <c r="CG93" i="136"/>
  <c r="CH93" i="136"/>
  <c r="CE94" i="136"/>
  <c r="CF94" i="136"/>
  <c r="CG94" i="136"/>
  <c r="CH94" i="136"/>
  <c r="CE95" i="136"/>
  <c r="CF95" i="136"/>
  <c r="CG95" i="136"/>
  <c r="CH95" i="136"/>
  <c r="CE96" i="136"/>
  <c r="CF96" i="136"/>
  <c r="CG96" i="136"/>
  <c r="CH96" i="136"/>
  <c r="CE97" i="136"/>
  <c r="CF97" i="136"/>
  <c r="CG97" i="136"/>
  <c r="CH97" i="136"/>
  <c r="CE98" i="136"/>
  <c r="CF98" i="136"/>
  <c r="CG98" i="136"/>
  <c r="CH98" i="136"/>
  <c r="CE99" i="136"/>
  <c r="CF99" i="136"/>
  <c r="CG99" i="136"/>
  <c r="CH99" i="136"/>
  <c r="CE100" i="136"/>
  <c r="CF100" i="136"/>
  <c r="CG100" i="136"/>
  <c r="CH100" i="136"/>
  <c r="CE101" i="136"/>
  <c r="CF101" i="136"/>
  <c r="CG101" i="136"/>
  <c r="CH101" i="136"/>
  <c r="CE102" i="136"/>
  <c r="CF102" i="136"/>
  <c r="CG102" i="136"/>
  <c r="CH102" i="136"/>
  <c r="CE103" i="136"/>
  <c r="CF103" i="136"/>
  <c r="CG103" i="136"/>
  <c r="CH103" i="136"/>
  <c r="CE104" i="136"/>
  <c r="CF104" i="136"/>
  <c r="CG104" i="136"/>
  <c r="CH104" i="136"/>
  <c r="CE105" i="136"/>
  <c r="CF105" i="136"/>
  <c r="CG105" i="136"/>
  <c r="CH105" i="136"/>
  <c r="CE106" i="136"/>
  <c r="CF106" i="136"/>
  <c r="CG106" i="136"/>
  <c r="CH106" i="136"/>
  <c r="CE107" i="136"/>
  <c r="CF107" i="136"/>
  <c r="CG107" i="136"/>
  <c r="CH107" i="136"/>
  <c r="CE108" i="136"/>
  <c r="CF108" i="136"/>
  <c r="CG108" i="136"/>
  <c r="CH108" i="136"/>
  <c r="CE109" i="136"/>
  <c r="CF109" i="136"/>
  <c r="CG109" i="136"/>
  <c r="CH109" i="136"/>
  <c r="CE110" i="136"/>
  <c r="CF110" i="136"/>
  <c r="CG110" i="136"/>
  <c r="CH110" i="136"/>
  <c r="CE111" i="136"/>
  <c r="CF111" i="136"/>
  <c r="CG111" i="136"/>
  <c r="CH111" i="136"/>
  <c r="CE112" i="136"/>
  <c r="CF112" i="136"/>
  <c r="CG112" i="136"/>
  <c r="CH112" i="136"/>
  <c r="CE113" i="136"/>
  <c r="CF113" i="136"/>
  <c r="CG113" i="136"/>
  <c r="CH113" i="136"/>
  <c r="CE114" i="136"/>
  <c r="CF114" i="136"/>
  <c r="CG114" i="136"/>
  <c r="CH114" i="136"/>
  <c r="CE115" i="136"/>
  <c r="CF115" i="136"/>
  <c r="CG115" i="136"/>
  <c r="CH115" i="136"/>
  <c r="CE116" i="136"/>
  <c r="CF116" i="136"/>
  <c r="CG116" i="136"/>
  <c r="CH116" i="136"/>
  <c r="CE117" i="136"/>
  <c r="CF117" i="136"/>
  <c r="CG117" i="136"/>
  <c r="CH117" i="136"/>
  <c r="CE118" i="136"/>
  <c r="CF118" i="136"/>
  <c r="CG118" i="136"/>
  <c r="CH118" i="136"/>
  <c r="CE119" i="136"/>
  <c r="CF119" i="136"/>
  <c r="CG119" i="136"/>
  <c r="CH119" i="136"/>
  <c r="CE120" i="136"/>
  <c r="CF120" i="136"/>
  <c r="CG120" i="136"/>
  <c r="CH120" i="136"/>
  <c r="CE121" i="136"/>
  <c r="CF121" i="136"/>
  <c r="CG121" i="136"/>
  <c r="CH121" i="136"/>
  <c r="CE122" i="136"/>
  <c r="CF122" i="136"/>
  <c r="CG122" i="136"/>
  <c r="CH122" i="136"/>
  <c r="CE123" i="136"/>
  <c r="CF123" i="136"/>
  <c r="CG123" i="136"/>
  <c r="CH123" i="136"/>
  <c r="CE124" i="136"/>
  <c r="CF124" i="136"/>
  <c r="CG124" i="136"/>
  <c r="CH124" i="136"/>
  <c r="CE125" i="136"/>
  <c r="CF125" i="136"/>
  <c r="CG125" i="136"/>
  <c r="CH125" i="136"/>
  <c r="CE126" i="136"/>
  <c r="CF126" i="136"/>
  <c r="CG126" i="136"/>
  <c r="CH126" i="136"/>
  <c r="CE127" i="136"/>
  <c r="CF127" i="136"/>
  <c r="CG127" i="136"/>
  <c r="CH127" i="136"/>
  <c r="CE128" i="136"/>
  <c r="CF128" i="136"/>
  <c r="CG128" i="136"/>
  <c r="CH128" i="136"/>
  <c r="CE129" i="136"/>
  <c r="CF129" i="136"/>
  <c r="CG129" i="136"/>
  <c r="CH129" i="136"/>
  <c r="CE130" i="136"/>
  <c r="CF130" i="136"/>
  <c r="CG130" i="136"/>
  <c r="CH130" i="136"/>
  <c r="CE131" i="136"/>
  <c r="CF131" i="136"/>
  <c r="CG131" i="136"/>
  <c r="CH131" i="136"/>
  <c r="CE132" i="136"/>
  <c r="CF132" i="136"/>
  <c r="CG132" i="136"/>
  <c r="CH132" i="136"/>
  <c r="CE133" i="136"/>
  <c r="CF133" i="136"/>
  <c r="CG133" i="136"/>
  <c r="CH133" i="136"/>
  <c r="CE134" i="136"/>
  <c r="CF134" i="136"/>
  <c r="CG134" i="136"/>
  <c r="CH134" i="136"/>
  <c r="CE135" i="136"/>
  <c r="CF135" i="136"/>
  <c r="CG135" i="136"/>
  <c r="CH135" i="136"/>
  <c r="CE136" i="136"/>
  <c r="CF136" i="136"/>
  <c r="CG136" i="136"/>
  <c r="CH136" i="136"/>
  <c r="CE137" i="136"/>
  <c r="CF137" i="136"/>
  <c r="CG137" i="136"/>
  <c r="CH137" i="136"/>
  <c r="CE138" i="136"/>
  <c r="CF138" i="136"/>
  <c r="CG138" i="136"/>
  <c r="CH138" i="136"/>
  <c r="CE139" i="136"/>
  <c r="CF139" i="136"/>
  <c r="CG139" i="136"/>
  <c r="CH139" i="136"/>
  <c r="CE140" i="136"/>
  <c r="CF140" i="136"/>
  <c r="CG140" i="136"/>
  <c r="CH140" i="136"/>
  <c r="CE141" i="136"/>
  <c r="CF141" i="136"/>
  <c r="CG141" i="136"/>
  <c r="CH141" i="136"/>
  <c r="CE142" i="136"/>
  <c r="CF142" i="136"/>
  <c r="CG142" i="136"/>
  <c r="CH142" i="136"/>
  <c r="CF143" i="136"/>
  <c r="CG143" i="136"/>
  <c r="CH143" i="136"/>
  <c r="CF144" i="136"/>
  <c r="CG144" i="136"/>
  <c r="CH144" i="136"/>
  <c r="CE145" i="136"/>
  <c r="CF145" i="136"/>
  <c r="CG145" i="136"/>
  <c r="CH145" i="136"/>
  <c r="CE146" i="136"/>
  <c r="CF146" i="136"/>
  <c r="CG146" i="136"/>
  <c r="CH146" i="136"/>
  <c r="CE147" i="136"/>
  <c r="CF147" i="136"/>
  <c r="CG147" i="136"/>
  <c r="CH147" i="136"/>
  <c r="CE148" i="136"/>
  <c r="CF148" i="136"/>
  <c r="CG148" i="136"/>
  <c r="CH148" i="136"/>
  <c r="CE149" i="136"/>
  <c r="CF149" i="136"/>
  <c r="CG149" i="136"/>
  <c r="CH149" i="136"/>
  <c r="CE150" i="136"/>
  <c r="CF150" i="136"/>
  <c r="CG150" i="136"/>
  <c r="CH150" i="136"/>
  <c r="CE151" i="136"/>
  <c r="CF151" i="136"/>
  <c r="CG151" i="136"/>
  <c r="CH151" i="136"/>
  <c r="CE152" i="136"/>
  <c r="CF152" i="136"/>
  <c r="CG152" i="136"/>
  <c r="CH152" i="136"/>
  <c r="CE153" i="136"/>
  <c r="CF153" i="136"/>
  <c r="CG153" i="136"/>
  <c r="CH153" i="136"/>
  <c r="CE154" i="136"/>
  <c r="CF154" i="136"/>
  <c r="CG154" i="136"/>
  <c r="CH154" i="136"/>
  <c r="CE155" i="136"/>
  <c r="CF155" i="136"/>
  <c r="CG155" i="136"/>
  <c r="CH155" i="136"/>
  <c r="CE156" i="136"/>
  <c r="CF156" i="136"/>
  <c r="CG156" i="136"/>
  <c r="CH156" i="136"/>
  <c r="CE157" i="136"/>
  <c r="CF157" i="136"/>
  <c r="CG157" i="136"/>
  <c r="CH157" i="136"/>
  <c r="CE158" i="136"/>
  <c r="CF158" i="136"/>
  <c r="CG158" i="136"/>
  <c r="CH158" i="136"/>
  <c r="CE159" i="136"/>
  <c r="CF159" i="136"/>
  <c r="CG159" i="136"/>
  <c r="CH159" i="136"/>
  <c r="CF3" i="136"/>
  <c r="CG3" i="136"/>
  <c r="CH3" i="136"/>
  <c r="CE3" i="136"/>
  <c r="BX4" i="136"/>
  <c r="AE11" i="4" s="1"/>
  <c r="BX5" i="136"/>
  <c r="AE12" i="4" s="1"/>
  <c r="BX6" i="136"/>
  <c r="AE13" i="4" s="1"/>
  <c r="BX7" i="136"/>
  <c r="AE14" i="4" s="1"/>
  <c r="BX8" i="136"/>
  <c r="AE15" i="4" s="1"/>
  <c r="BX9" i="136"/>
  <c r="AE17" i="4" s="1"/>
  <c r="BX10" i="136"/>
  <c r="AE18" i="4" s="1"/>
  <c r="BX11" i="136"/>
  <c r="AE19" i="4" s="1"/>
  <c r="BX12" i="136"/>
  <c r="AE20" i="4" s="1"/>
  <c r="BX13" i="136"/>
  <c r="AE21" i="4" s="1"/>
  <c r="BX14" i="136"/>
  <c r="AE22" i="4" s="1"/>
  <c r="BX15" i="136"/>
  <c r="AE23" i="4" s="1"/>
  <c r="BX16" i="136"/>
  <c r="AE26" i="4" s="1"/>
  <c r="BX17" i="136"/>
  <c r="AE27" i="4" s="1"/>
  <c r="BX18" i="136"/>
  <c r="AE28" i="4" s="1"/>
  <c r="BX19" i="136"/>
  <c r="AE29" i="4" s="1"/>
  <c r="BX20" i="136"/>
  <c r="AE30" i="4" s="1"/>
  <c r="BX21" i="136"/>
  <c r="AE31" i="4" s="1"/>
  <c r="BX22" i="136"/>
  <c r="AE33" i="4" s="1"/>
  <c r="BX23" i="136"/>
  <c r="AE34" i="4" s="1"/>
  <c r="BX24" i="136"/>
  <c r="AE36" i="4" s="1"/>
  <c r="BX25" i="136"/>
  <c r="AE38" i="4" s="1"/>
  <c r="BX26" i="136"/>
  <c r="AE40" i="4" s="1"/>
  <c r="BX27" i="136"/>
  <c r="AE42" i="4" s="1"/>
  <c r="BX28" i="136"/>
  <c r="AE43" i="4" s="1"/>
  <c r="BX29" i="136"/>
  <c r="AE44" i="4" s="1"/>
  <c r="BX30" i="136"/>
  <c r="AE45" i="4" s="1"/>
  <c r="BX31" i="136"/>
  <c r="AE46" i="4" s="1"/>
  <c r="BX32" i="136"/>
  <c r="AE47" i="4" s="1"/>
  <c r="BX33" i="136"/>
  <c r="AE49" i="4" s="1"/>
  <c r="BX34" i="136"/>
  <c r="AE50" i="4" s="1"/>
  <c r="BX35" i="136"/>
  <c r="AE51" i="4" s="1"/>
  <c r="BX36" i="136"/>
  <c r="AE52" i="4" s="1"/>
  <c r="BX37" i="136"/>
  <c r="AE53" i="4" s="1"/>
  <c r="BX38" i="136"/>
  <c r="AE54" i="4" s="1"/>
  <c r="BX39" i="136"/>
  <c r="AE57" i="4" s="1"/>
  <c r="BX40" i="136"/>
  <c r="AE58" i="4" s="1"/>
  <c r="BX41" i="136"/>
  <c r="AE59" i="4" s="1"/>
  <c r="BX42" i="136"/>
  <c r="AE60" i="4" s="1"/>
  <c r="BX43" i="136"/>
  <c r="AE61" i="4" s="1"/>
  <c r="BX44" i="136"/>
  <c r="AE62" i="4" s="1"/>
  <c r="BX45" i="136"/>
  <c r="AE64" i="4" s="1"/>
  <c r="BX46" i="136"/>
  <c r="AE65" i="4" s="1"/>
  <c r="BX47" i="136"/>
  <c r="AE66" i="4" s="1"/>
  <c r="BX48" i="136"/>
  <c r="AE67" i="4" s="1"/>
  <c r="BX49" i="136"/>
  <c r="AE69" i="4" s="1"/>
  <c r="BX50" i="136"/>
  <c r="AE71" i="4" s="1"/>
  <c r="BX51" i="136"/>
  <c r="AE73" i="4" s="1"/>
  <c r="BX52" i="136"/>
  <c r="AE74" i="4" s="1"/>
  <c r="BX53" i="136"/>
  <c r="AE75" i="4" s="1"/>
  <c r="BX54" i="136"/>
  <c r="AE76" i="4" s="1"/>
  <c r="BX55" i="136"/>
  <c r="AE77" i="4" s="1"/>
  <c r="BX56" i="136"/>
  <c r="AE80" i="4" s="1"/>
  <c r="BX57" i="136"/>
  <c r="AE83" i="4" s="1"/>
  <c r="BX58" i="136"/>
  <c r="AE85" i="4" s="1"/>
  <c r="BX59" i="136"/>
  <c r="AE86" i="4" s="1"/>
  <c r="BX60" i="136"/>
  <c r="AE87" i="4" s="1"/>
  <c r="BX61" i="136"/>
  <c r="AE88" i="4" s="1"/>
  <c r="BX62" i="136"/>
  <c r="AE89" i="4" s="1"/>
  <c r="BX63" i="136"/>
  <c r="AE97" i="4" s="1"/>
  <c r="BX64" i="136"/>
  <c r="AE101" i="4" s="1"/>
  <c r="BX65" i="136"/>
  <c r="AE103" i="4" s="1"/>
  <c r="BX66" i="136"/>
  <c r="AE104" i="4" s="1"/>
  <c r="BX67" i="136"/>
  <c r="AE105" i="4" s="1"/>
  <c r="BX68" i="136"/>
  <c r="AE106" i="4" s="1"/>
  <c r="BX69" i="136"/>
  <c r="AE107" i="4" s="1"/>
  <c r="BX70" i="136"/>
  <c r="AE110" i="4" s="1"/>
  <c r="BX71" i="136"/>
  <c r="AE111" i="4" s="1"/>
  <c r="BX72" i="136"/>
  <c r="AE112" i="4" s="1"/>
  <c r="BX73" i="136"/>
  <c r="AE114" i="4" s="1"/>
  <c r="BX74" i="136"/>
  <c r="AE118" i="4" s="1"/>
  <c r="BX75" i="136"/>
  <c r="AE120" i="4" s="1"/>
  <c r="BX76" i="136"/>
  <c r="AE122" i="4" s="1"/>
  <c r="BX77" i="136"/>
  <c r="AE124" i="4" s="1"/>
  <c r="BX78" i="136"/>
  <c r="AE125" i="4" s="1"/>
  <c r="BX79" i="136"/>
  <c r="AE126" i="4" s="1"/>
  <c r="BX80" i="136"/>
  <c r="AE128" i="4" s="1"/>
  <c r="BX81" i="136"/>
  <c r="AE129" i="4" s="1"/>
  <c r="BX82" i="136"/>
  <c r="AE131" i="4" s="1"/>
  <c r="BX83" i="136"/>
  <c r="AE132" i="4" s="1"/>
  <c r="BX84" i="136"/>
  <c r="AE133" i="4" s="1"/>
  <c r="BX85" i="136"/>
  <c r="AE135" i="4" s="1"/>
  <c r="BX86" i="136"/>
  <c r="AE136" i="4" s="1"/>
  <c r="BX87" i="136"/>
  <c r="AE140" i="4" s="1"/>
  <c r="BX88" i="136"/>
  <c r="AE141" i="4" s="1"/>
  <c r="BX89" i="136"/>
  <c r="AE142" i="4" s="1"/>
  <c r="BX90" i="136"/>
  <c r="AE143" i="4" s="1"/>
  <c r="BX91" i="136"/>
  <c r="AE145" i="4" s="1"/>
  <c r="BX92" i="136"/>
  <c r="AE146" i="4" s="1"/>
  <c r="BX93" i="136"/>
  <c r="AE156" i="4" s="1"/>
  <c r="BX94" i="136"/>
  <c r="AE165" i="4" s="1"/>
  <c r="BX95" i="136"/>
  <c r="AE172" i="4" s="1"/>
  <c r="BX96" i="136"/>
  <c r="AE182" i="4" s="1"/>
  <c r="BX97" i="136"/>
  <c r="BX98" i="136"/>
  <c r="AE187" i="4" s="1"/>
  <c r="BX99" i="136"/>
  <c r="AE188" i="4" s="1"/>
  <c r="BX100" i="136"/>
  <c r="AE189" i="4" s="1"/>
  <c r="BX101" i="136"/>
  <c r="AE194" i="4" s="1"/>
  <c r="BX102" i="136"/>
  <c r="AE202" i="4" s="1"/>
  <c r="BX103" i="136"/>
  <c r="AE204" i="4" s="1"/>
  <c r="BX104" i="136"/>
  <c r="AE208" i="4" s="1"/>
  <c r="BX105" i="136"/>
  <c r="AE209" i="4" s="1"/>
  <c r="BX106" i="136"/>
  <c r="BX107" i="136"/>
  <c r="AE210" i="4" s="1"/>
  <c r="BX108" i="136"/>
  <c r="BX109" i="136"/>
  <c r="BX3" i="136"/>
  <c r="AE10" i="4" s="1"/>
  <c r="BP82" i="136"/>
  <c r="BK4" i="139"/>
  <c r="BL4" i="139"/>
  <c r="BM4" i="139"/>
  <c r="BK5" i="139"/>
  <c r="BL5" i="139"/>
  <c r="BM5" i="139"/>
  <c r="BK6" i="139"/>
  <c r="BL6" i="139"/>
  <c r="BM6" i="139"/>
  <c r="BK7" i="139"/>
  <c r="BL7" i="139"/>
  <c r="BM7" i="139"/>
  <c r="BK8" i="139"/>
  <c r="BL8" i="139"/>
  <c r="BM8" i="139"/>
  <c r="BL3" i="139"/>
  <c r="BM3" i="139"/>
  <c r="BK3" i="139"/>
  <c r="AB46" i="35"/>
  <c r="CB4" i="137"/>
  <c r="CC4" i="137"/>
  <c r="CD4" i="137"/>
  <c r="CB5" i="137"/>
  <c r="CC5" i="137"/>
  <c r="CD5" i="137"/>
  <c r="CB6" i="137"/>
  <c r="CC6" i="137"/>
  <c r="CD6" i="137"/>
  <c r="CB7" i="137"/>
  <c r="CC7" i="137"/>
  <c r="CD7" i="137"/>
  <c r="CB8" i="137"/>
  <c r="CC8" i="137"/>
  <c r="CD8" i="137"/>
  <c r="CB9" i="137"/>
  <c r="CC9" i="137"/>
  <c r="CD9" i="137"/>
  <c r="CB10" i="137"/>
  <c r="CC10" i="137"/>
  <c r="CD10" i="137"/>
  <c r="CB11" i="137"/>
  <c r="CC11" i="137"/>
  <c r="CD11" i="137"/>
  <c r="CB12" i="137"/>
  <c r="CC12" i="137"/>
  <c r="CD12" i="137"/>
  <c r="CB13" i="137"/>
  <c r="CC13" i="137"/>
  <c r="CD13" i="137"/>
  <c r="CB14" i="137"/>
  <c r="CC14" i="137"/>
  <c r="CD14" i="137"/>
  <c r="CB15" i="137"/>
  <c r="CC15" i="137"/>
  <c r="CD15" i="137"/>
  <c r="CB16" i="137"/>
  <c r="CC16" i="137"/>
  <c r="CD16" i="137"/>
  <c r="CB17" i="137"/>
  <c r="CC17" i="137"/>
  <c r="CD17" i="137"/>
  <c r="CB18" i="137"/>
  <c r="CC18" i="137"/>
  <c r="CD18" i="137"/>
  <c r="CB19" i="137"/>
  <c r="CC19" i="137"/>
  <c r="CD19" i="137"/>
  <c r="CB20" i="137"/>
  <c r="CC20" i="137"/>
  <c r="CD20" i="137"/>
  <c r="CB21" i="137"/>
  <c r="CC21" i="137"/>
  <c r="CD21" i="137"/>
  <c r="CB22" i="137"/>
  <c r="CC22" i="137"/>
  <c r="CD22" i="137"/>
  <c r="CB23" i="137"/>
  <c r="CC23" i="137"/>
  <c r="CD23" i="137"/>
  <c r="CB24" i="137"/>
  <c r="CC24" i="137"/>
  <c r="CD24" i="137"/>
  <c r="CB25" i="137"/>
  <c r="CC25" i="137"/>
  <c r="CD25" i="137"/>
  <c r="CB26" i="137"/>
  <c r="CC26" i="137"/>
  <c r="CD26" i="137"/>
  <c r="CB27" i="137"/>
  <c r="CC27" i="137"/>
  <c r="CD27" i="137"/>
  <c r="CB28" i="137"/>
  <c r="CC28" i="137"/>
  <c r="CD28" i="137"/>
  <c r="CB29" i="137"/>
  <c r="CC29" i="137"/>
  <c r="CD29" i="137"/>
  <c r="CB30" i="137"/>
  <c r="CC30" i="137"/>
  <c r="CD30" i="137"/>
  <c r="CB31" i="137"/>
  <c r="CC31" i="137"/>
  <c r="CD31" i="137"/>
  <c r="CB32" i="137"/>
  <c r="CC32" i="137"/>
  <c r="CD32" i="137"/>
  <c r="CB33" i="137"/>
  <c r="CC33" i="137"/>
  <c r="CD33" i="137"/>
  <c r="CB34" i="137"/>
  <c r="CC34" i="137"/>
  <c r="CD34" i="137"/>
  <c r="CB35" i="137"/>
  <c r="CC35" i="137"/>
  <c r="CD35" i="137"/>
  <c r="CB36" i="137"/>
  <c r="CC36" i="137"/>
  <c r="CD36" i="137"/>
  <c r="CB37" i="137"/>
  <c r="CC37" i="137"/>
  <c r="CD37" i="137"/>
  <c r="CB38" i="137"/>
  <c r="CC38" i="137"/>
  <c r="CD38" i="137"/>
  <c r="CB39" i="137"/>
  <c r="CC39" i="137"/>
  <c r="CD39" i="137"/>
  <c r="CB40" i="137"/>
  <c r="CC40" i="137"/>
  <c r="CD40" i="137"/>
  <c r="CB41" i="137"/>
  <c r="CC41" i="137"/>
  <c r="CD41" i="137"/>
  <c r="CB42" i="137"/>
  <c r="CC42" i="137"/>
  <c r="CD42" i="137"/>
  <c r="CB43" i="137"/>
  <c r="CC43" i="137"/>
  <c r="CD43" i="137"/>
  <c r="CB44" i="137"/>
  <c r="CC44" i="137"/>
  <c r="CD44" i="137"/>
  <c r="CB45" i="137"/>
  <c r="CC45" i="137"/>
  <c r="CD45" i="137"/>
  <c r="CB46" i="137"/>
  <c r="CC46" i="137"/>
  <c r="CD46" i="137"/>
  <c r="CB47" i="137"/>
  <c r="CC47" i="137"/>
  <c r="CD47" i="137"/>
  <c r="CB48" i="137"/>
  <c r="CC48" i="137"/>
  <c r="CD48" i="137"/>
  <c r="CB49" i="137"/>
  <c r="CC49" i="137"/>
  <c r="CD49" i="137"/>
  <c r="CB50" i="137"/>
  <c r="CC50" i="137"/>
  <c r="CD50" i="137"/>
  <c r="CB51" i="137"/>
  <c r="CC51" i="137"/>
  <c r="CD51" i="137"/>
  <c r="CC3" i="137"/>
  <c r="CB3" i="137"/>
  <c r="AB30" i="35"/>
  <c r="AB29" i="35"/>
  <c r="AB43" i="35"/>
  <c r="AB42" i="35"/>
  <c r="AB56" i="35"/>
  <c r="AB57" i="35"/>
  <c r="AB59" i="35"/>
  <c r="AB26" i="35"/>
  <c r="AB21" i="35" s="1"/>
  <c r="AC10" i="4"/>
  <c r="BP4" i="136"/>
  <c r="BQ4" i="136"/>
  <c r="BR4" i="136"/>
  <c r="BS4" i="136"/>
  <c r="BP5" i="136"/>
  <c r="BQ5" i="136"/>
  <c r="BR5" i="136"/>
  <c r="BS5" i="136"/>
  <c r="BP6" i="136"/>
  <c r="BQ6" i="136"/>
  <c r="BR6" i="136"/>
  <c r="BS6" i="136"/>
  <c r="BP7" i="136"/>
  <c r="BQ7" i="136"/>
  <c r="BR7" i="136"/>
  <c r="BS7" i="136"/>
  <c r="BP8" i="136"/>
  <c r="BQ8" i="136"/>
  <c r="BR8" i="136"/>
  <c r="BS8" i="136"/>
  <c r="BP9" i="136"/>
  <c r="BQ9" i="136"/>
  <c r="BR9" i="136"/>
  <c r="BS9" i="136"/>
  <c r="BP10" i="136"/>
  <c r="BQ10" i="136"/>
  <c r="BR10" i="136"/>
  <c r="BS10" i="136"/>
  <c r="BP11" i="136"/>
  <c r="BQ11" i="136"/>
  <c r="BR11" i="136"/>
  <c r="BS11" i="136"/>
  <c r="BP12" i="136"/>
  <c r="BQ12" i="136"/>
  <c r="BR12" i="136"/>
  <c r="BS12" i="136"/>
  <c r="BP13" i="136"/>
  <c r="BQ13" i="136"/>
  <c r="BR13" i="136"/>
  <c r="BS13" i="136"/>
  <c r="BP14" i="136"/>
  <c r="BQ14" i="136"/>
  <c r="BR14" i="136"/>
  <c r="BS14" i="136"/>
  <c r="BP15" i="136"/>
  <c r="BQ15" i="136"/>
  <c r="BR15" i="136"/>
  <c r="BS15" i="136"/>
  <c r="BP16" i="136"/>
  <c r="BQ16" i="136"/>
  <c r="BR16" i="136"/>
  <c r="BS16" i="136"/>
  <c r="BP17" i="136"/>
  <c r="BQ17" i="136"/>
  <c r="BR17" i="136"/>
  <c r="BS17" i="136"/>
  <c r="BP18" i="136"/>
  <c r="BQ18" i="136"/>
  <c r="BR18" i="136"/>
  <c r="BS18" i="136"/>
  <c r="BP19" i="136"/>
  <c r="BQ19" i="136"/>
  <c r="BR19" i="136"/>
  <c r="BS19" i="136"/>
  <c r="BP20" i="136"/>
  <c r="BQ20" i="136"/>
  <c r="BR20" i="136"/>
  <c r="BS20" i="136"/>
  <c r="BP21" i="136"/>
  <c r="BQ21" i="136"/>
  <c r="BR21" i="136"/>
  <c r="BS21" i="136"/>
  <c r="BP22" i="136"/>
  <c r="BQ22" i="136"/>
  <c r="BR22" i="136"/>
  <c r="BS22" i="136"/>
  <c r="BP23" i="136"/>
  <c r="BQ23" i="136"/>
  <c r="BR23" i="136"/>
  <c r="BS23" i="136"/>
  <c r="BP24" i="136"/>
  <c r="BQ24" i="136"/>
  <c r="BR24" i="136"/>
  <c r="BS24" i="136"/>
  <c r="BP25" i="136"/>
  <c r="BQ25" i="136"/>
  <c r="BR25" i="136"/>
  <c r="BS25" i="136"/>
  <c r="BP26" i="136"/>
  <c r="BQ26" i="136"/>
  <c r="BR26" i="136"/>
  <c r="BS26" i="136"/>
  <c r="BP27" i="136"/>
  <c r="BQ27" i="136"/>
  <c r="BR27" i="136"/>
  <c r="BS27" i="136"/>
  <c r="BP28" i="136"/>
  <c r="BQ28" i="136"/>
  <c r="BR28" i="136"/>
  <c r="BS28" i="136"/>
  <c r="BP29" i="136"/>
  <c r="BQ29" i="136"/>
  <c r="BR29" i="136"/>
  <c r="BS29" i="136"/>
  <c r="BP30" i="136"/>
  <c r="BQ30" i="136"/>
  <c r="BR30" i="136"/>
  <c r="BS30" i="136"/>
  <c r="BP31" i="136"/>
  <c r="BQ31" i="136"/>
  <c r="BR31" i="136"/>
  <c r="BS31" i="136"/>
  <c r="BP32" i="136"/>
  <c r="BQ32" i="136"/>
  <c r="BR32" i="136"/>
  <c r="BS32" i="136"/>
  <c r="BP33" i="136"/>
  <c r="BQ33" i="136"/>
  <c r="BR33" i="136"/>
  <c r="BS33" i="136"/>
  <c r="BP34" i="136"/>
  <c r="BQ34" i="136"/>
  <c r="BR34" i="136"/>
  <c r="BS34" i="136"/>
  <c r="BP35" i="136"/>
  <c r="BQ35" i="136"/>
  <c r="BR35" i="136"/>
  <c r="BS35" i="136"/>
  <c r="BP36" i="136"/>
  <c r="BQ36" i="136"/>
  <c r="BR36" i="136"/>
  <c r="BS36" i="136"/>
  <c r="BP37" i="136"/>
  <c r="BQ37" i="136"/>
  <c r="BR37" i="136"/>
  <c r="BS37" i="136"/>
  <c r="BP38" i="136"/>
  <c r="BQ38" i="136"/>
  <c r="BR38" i="136"/>
  <c r="BS38" i="136"/>
  <c r="BP39" i="136"/>
  <c r="BQ39" i="136"/>
  <c r="BR39" i="136"/>
  <c r="BS39" i="136"/>
  <c r="BP40" i="136"/>
  <c r="BQ40" i="136"/>
  <c r="BR40" i="136"/>
  <c r="BS40" i="136"/>
  <c r="BP41" i="136"/>
  <c r="BQ41" i="136"/>
  <c r="BR41" i="136"/>
  <c r="BS41" i="136"/>
  <c r="BP42" i="136"/>
  <c r="BQ42" i="136"/>
  <c r="BR42" i="136"/>
  <c r="BS42" i="136"/>
  <c r="BP43" i="136"/>
  <c r="BQ43" i="136"/>
  <c r="BR43" i="136"/>
  <c r="BS43" i="136"/>
  <c r="BP44" i="136"/>
  <c r="BQ44" i="136"/>
  <c r="BR44" i="136"/>
  <c r="BS44" i="136"/>
  <c r="BP45" i="136"/>
  <c r="BQ45" i="136"/>
  <c r="BR45" i="136"/>
  <c r="BS45" i="136"/>
  <c r="BP46" i="136"/>
  <c r="BQ46" i="136"/>
  <c r="BR46" i="136"/>
  <c r="BS46" i="136"/>
  <c r="BP47" i="136"/>
  <c r="BQ47" i="136"/>
  <c r="BR47" i="136"/>
  <c r="BS47" i="136"/>
  <c r="BP48" i="136"/>
  <c r="BQ48" i="136"/>
  <c r="BR48" i="136"/>
  <c r="BS48" i="136"/>
  <c r="BP49" i="136"/>
  <c r="BQ49" i="136"/>
  <c r="BR49" i="136"/>
  <c r="BS49" i="136"/>
  <c r="BP50" i="136"/>
  <c r="BQ50" i="136"/>
  <c r="BR50" i="136"/>
  <c r="BS50" i="136"/>
  <c r="BP51" i="136"/>
  <c r="BQ51" i="136"/>
  <c r="BR51" i="136"/>
  <c r="BS51" i="136"/>
  <c r="BP52" i="136"/>
  <c r="BQ52" i="136"/>
  <c r="BR52" i="136"/>
  <c r="BS52" i="136"/>
  <c r="BP53" i="136"/>
  <c r="BQ53" i="136"/>
  <c r="BR53" i="136"/>
  <c r="BS53" i="136"/>
  <c r="BP54" i="136"/>
  <c r="BQ54" i="136"/>
  <c r="BR54" i="136"/>
  <c r="BS54" i="136"/>
  <c r="BP55" i="136"/>
  <c r="BQ55" i="136"/>
  <c r="BR55" i="136"/>
  <c r="BS55" i="136"/>
  <c r="BP56" i="136"/>
  <c r="BQ56" i="136"/>
  <c r="BR56" i="136"/>
  <c r="BS56" i="136"/>
  <c r="BP57" i="136"/>
  <c r="BQ57" i="136"/>
  <c r="BR57" i="136"/>
  <c r="BS57" i="136"/>
  <c r="BP58" i="136"/>
  <c r="BQ58" i="136"/>
  <c r="BR58" i="136"/>
  <c r="BS58" i="136"/>
  <c r="BP59" i="136"/>
  <c r="BQ59" i="136"/>
  <c r="BR59" i="136"/>
  <c r="BS59" i="136"/>
  <c r="BP60" i="136"/>
  <c r="BQ60" i="136"/>
  <c r="BR60" i="136"/>
  <c r="BS60" i="136"/>
  <c r="BP61" i="136"/>
  <c r="BQ61" i="136"/>
  <c r="BR61" i="136"/>
  <c r="BS61" i="136"/>
  <c r="BP62" i="136"/>
  <c r="BQ62" i="136"/>
  <c r="BR62" i="136"/>
  <c r="BS62" i="136"/>
  <c r="BP63" i="136"/>
  <c r="BQ63" i="136"/>
  <c r="BR63" i="136"/>
  <c r="BS63" i="136"/>
  <c r="BP64" i="136"/>
  <c r="BQ64" i="136"/>
  <c r="BR64" i="136"/>
  <c r="BS64" i="136"/>
  <c r="BP65" i="136"/>
  <c r="BQ65" i="136"/>
  <c r="BR65" i="136"/>
  <c r="BS65" i="136"/>
  <c r="BP66" i="136"/>
  <c r="BQ66" i="136"/>
  <c r="BR66" i="136"/>
  <c r="BS66" i="136"/>
  <c r="BP67" i="136"/>
  <c r="BQ67" i="136"/>
  <c r="BR67" i="136"/>
  <c r="BS67" i="136"/>
  <c r="BP68" i="136"/>
  <c r="BQ68" i="136"/>
  <c r="BR68" i="136"/>
  <c r="BS68" i="136"/>
  <c r="BP69" i="136"/>
  <c r="BQ69" i="136"/>
  <c r="BR69" i="136"/>
  <c r="BS69" i="136"/>
  <c r="BP70" i="136"/>
  <c r="BQ70" i="136"/>
  <c r="BR70" i="136"/>
  <c r="BS70" i="136"/>
  <c r="BP71" i="136"/>
  <c r="BQ71" i="136"/>
  <c r="BR71" i="136"/>
  <c r="BS71" i="136"/>
  <c r="BP72" i="136"/>
  <c r="BQ72" i="136"/>
  <c r="BR72" i="136"/>
  <c r="BS72" i="136"/>
  <c r="BP73" i="136"/>
  <c r="BQ73" i="136"/>
  <c r="BR73" i="136"/>
  <c r="BS73" i="136"/>
  <c r="BP74" i="136"/>
  <c r="BQ74" i="136"/>
  <c r="BR74" i="136"/>
  <c r="BS74" i="136"/>
  <c r="BP75" i="136"/>
  <c r="BQ75" i="136"/>
  <c r="BR75" i="136"/>
  <c r="BS75" i="136"/>
  <c r="BP76" i="136"/>
  <c r="BQ76" i="136"/>
  <c r="BR76" i="136"/>
  <c r="BS76" i="136"/>
  <c r="BP77" i="136"/>
  <c r="BQ77" i="136"/>
  <c r="BR77" i="136"/>
  <c r="BS77" i="136"/>
  <c r="BP78" i="136"/>
  <c r="BQ78" i="136"/>
  <c r="BR78" i="136"/>
  <c r="BS78" i="136"/>
  <c r="BP79" i="136"/>
  <c r="BQ79" i="136"/>
  <c r="BR79" i="136"/>
  <c r="BS79" i="136"/>
  <c r="BP80" i="136"/>
  <c r="BQ80" i="136"/>
  <c r="BR80" i="136"/>
  <c r="BS80" i="136"/>
  <c r="BP81" i="136"/>
  <c r="BQ81" i="136"/>
  <c r="BR81" i="136"/>
  <c r="BS81" i="136"/>
  <c r="BQ82" i="136"/>
  <c r="BR82" i="136"/>
  <c r="BS82" i="136"/>
  <c r="BP83" i="136"/>
  <c r="BQ83" i="136"/>
  <c r="BR83" i="136"/>
  <c r="BS83" i="136"/>
  <c r="BP84" i="136"/>
  <c r="BQ84" i="136"/>
  <c r="BR84" i="136"/>
  <c r="BS84" i="136"/>
  <c r="BP85" i="136"/>
  <c r="BQ85" i="136"/>
  <c r="BR85" i="136"/>
  <c r="BS85" i="136"/>
  <c r="BP86" i="136"/>
  <c r="BQ86" i="136"/>
  <c r="BR86" i="136"/>
  <c r="BS86" i="136"/>
  <c r="BP87" i="136"/>
  <c r="BQ87" i="136"/>
  <c r="BR87" i="136"/>
  <c r="BS87" i="136"/>
  <c r="BP88" i="136"/>
  <c r="BQ88" i="136"/>
  <c r="BR88" i="136"/>
  <c r="BS88" i="136"/>
  <c r="BP89" i="136"/>
  <c r="BQ89" i="136"/>
  <c r="BR89" i="136"/>
  <c r="BS89" i="136"/>
  <c r="BP90" i="136"/>
  <c r="BQ90" i="136"/>
  <c r="BR90" i="136"/>
  <c r="BS90" i="136"/>
  <c r="BP91" i="136"/>
  <c r="BQ91" i="136"/>
  <c r="BR91" i="136"/>
  <c r="BS91" i="136"/>
  <c r="BP92" i="136"/>
  <c r="BQ92" i="136"/>
  <c r="BR92" i="136"/>
  <c r="BS92" i="136"/>
  <c r="BP93" i="136"/>
  <c r="BQ93" i="136"/>
  <c r="BR93" i="136"/>
  <c r="BS93" i="136"/>
  <c r="BP94" i="136"/>
  <c r="BQ94" i="136"/>
  <c r="BR94" i="136"/>
  <c r="BS94" i="136"/>
  <c r="BP95" i="136"/>
  <c r="BQ95" i="136"/>
  <c r="BR95" i="136"/>
  <c r="BS95" i="136"/>
  <c r="BP96" i="136"/>
  <c r="BQ96" i="136"/>
  <c r="BR96" i="136"/>
  <c r="BS96" i="136"/>
  <c r="BP97" i="136"/>
  <c r="BQ97" i="136"/>
  <c r="BR97" i="136"/>
  <c r="BS97" i="136"/>
  <c r="BP98" i="136"/>
  <c r="BQ98" i="136"/>
  <c r="BR98" i="136"/>
  <c r="BS98" i="136"/>
  <c r="BP99" i="136"/>
  <c r="BQ99" i="136"/>
  <c r="BR99" i="136"/>
  <c r="BS99" i="136"/>
  <c r="BP100" i="136"/>
  <c r="BQ100" i="136"/>
  <c r="BR100" i="136"/>
  <c r="BS100" i="136"/>
  <c r="BP101" i="136"/>
  <c r="BQ101" i="136"/>
  <c r="BR101" i="136"/>
  <c r="BS101" i="136"/>
  <c r="BP102" i="136"/>
  <c r="BQ102" i="136"/>
  <c r="BR102" i="136"/>
  <c r="BS102" i="136"/>
  <c r="BP103" i="136"/>
  <c r="BQ103" i="136"/>
  <c r="BR103" i="136"/>
  <c r="BS103" i="136"/>
  <c r="BP104" i="136"/>
  <c r="BQ104" i="136"/>
  <c r="BR104" i="136"/>
  <c r="BS104" i="136"/>
  <c r="BP105" i="136"/>
  <c r="BQ105" i="136"/>
  <c r="BR105" i="136"/>
  <c r="BS105" i="136"/>
  <c r="BP106" i="136"/>
  <c r="BQ106" i="136"/>
  <c r="BR106" i="136"/>
  <c r="BS106" i="136"/>
  <c r="BP107" i="136"/>
  <c r="BQ107" i="136"/>
  <c r="BR107" i="136"/>
  <c r="BS107" i="136"/>
  <c r="BP108" i="136"/>
  <c r="BQ108" i="136"/>
  <c r="BR108" i="136"/>
  <c r="BS108" i="136"/>
  <c r="BP109" i="136"/>
  <c r="BQ109" i="136"/>
  <c r="BR109" i="136"/>
  <c r="BS109" i="136"/>
  <c r="BP110" i="136"/>
  <c r="BQ110" i="136"/>
  <c r="BR110" i="136"/>
  <c r="BS110" i="136"/>
  <c r="BP111" i="136"/>
  <c r="BQ111" i="136"/>
  <c r="BR111" i="136"/>
  <c r="BS111" i="136"/>
  <c r="BP112" i="136"/>
  <c r="BQ112" i="136"/>
  <c r="BR112" i="136"/>
  <c r="BS112" i="136"/>
  <c r="BP113" i="136"/>
  <c r="BQ113" i="136"/>
  <c r="BR113" i="136"/>
  <c r="BS113" i="136"/>
  <c r="BP114" i="136"/>
  <c r="BQ114" i="136"/>
  <c r="BR114" i="136"/>
  <c r="BS114" i="136"/>
  <c r="BP115" i="136"/>
  <c r="BQ115" i="136"/>
  <c r="BR115" i="136"/>
  <c r="BS115" i="136"/>
  <c r="BP116" i="136"/>
  <c r="BQ116" i="136"/>
  <c r="BR116" i="136"/>
  <c r="BS116" i="136"/>
  <c r="BP117" i="136"/>
  <c r="BQ117" i="136"/>
  <c r="BR117" i="136"/>
  <c r="BS117" i="136"/>
  <c r="BP118" i="136"/>
  <c r="BQ118" i="136"/>
  <c r="BR118" i="136"/>
  <c r="BS118" i="136"/>
  <c r="BP119" i="136"/>
  <c r="BQ119" i="136"/>
  <c r="BR119" i="136"/>
  <c r="BS119" i="136"/>
  <c r="BP120" i="136"/>
  <c r="BQ120" i="136"/>
  <c r="BR120" i="136"/>
  <c r="BS120" i="136"/>
  <c r="BP121" i="136"/>
  <c r="BQ121" i="136"/>
  <c r="BR121" i="136"/>
  <c r="BS121" i="136"/>
  <c r="BP122" i="136"/>
  <c r="BQ122" i="136"/>
  <c r="BR122" i="136"/>
  <c r="BS122" i="136"/>
  <c r="BP123" i="136"/>
  <c r="BQ123" i="136"/>
  <c r="BR123" i="136"/>
  <c r="BS123" i="136"/>
  <c r="BP124" i="136"/>
  <c r="BQ124" i="136"/>
  <c r="BR124" i="136"/>
  <c r="BS124" i="136"/>
  <c r="BP125" i="136"/>
  <c r="BQ125" i="136"/>
  <c r="BR125" i="136"/>
  <c r="BS125" i="136"/>
  <c r="BP126" i="136"/>
  <c r="BQ126" i="136"/>
  <c r="BR126" i="136"/>
  <c r="BS126" i="136"/>
  <c r="BP127" i="136"/>
  <c r="BQ127" i="136"/>
  <c r="BR127" i="136"/>
  <c r="BS127" i="136"/>
  <c r="BP128" i="136"/>
  <c r="BQ128" i="136"/>
  <c r="BR128" i="136"/>
  <c r="BS128" i="136"/>
  <c r="BP129" i="136"/>
  <c r="BQ129" i="136"/>
  <c r="BR129" i="136"/>
  <c r="BS129" i="136"/>
  <c r="BP130" i="136"/>
  <c r="BQ130" i="136"/>
  <c r="BR130" i="136"/>
  <c r="BS130" i="136"/>
  <c r="BP131" i="136"/>
  <c r="BQ131" i="136"/>
  <c r="BR131" i="136"/>
  <c r="BS131" i="136"/>
  <c r="BP132" i="136"/>
  <c r="BQ132" i="136"/>
  <c r="BR132" i="136"/>
  <c r="BS132" i="136"/>
  <c r="BP133" i="136"/>
  <c r="BQ133" i="136"/>
  <c r="BR133" i="136"/>
  <c r="BS133" i="136"/>
  <c r="BP134" i="136"/>
  <c r="BQ134" i="136"/>
  <c r="BR134" i="136"/>
  <c r="BS134" i="136"/>
  <c r="BP135" i="136"/>
  <c r="BQ135" i="136"/>
  <c r="BR135" i="136"/>
  <c r="BS135" i="136"/>
  <c r="BP136" i="136"/>
  <c r="BQ136" i="136"/>
  <c r="BR136" i="136"/>
  <c r="BS136" i="136"/>
  <c r="BP137" i="136"/>
  <c r="BQ137" i="136"/>
  <c r="BR137" i="136"/>
  <c r="BS137" i="136"/>
  <c r="BP138" i="136"/>
  <c r="BQ138" i="136"/>
  <c r="BR138" i="136"/>
  <c r="BS138" i="136"/>
  <c r="BP139" i="136"/>
  <c r="BQ139" i="136"/>
  <c r="BR139" i="136"/>
  <c r="BS139" i="136"/>
  <c r="BP140" i="136"/>
  <c r="BQ140" i="136"/>
  <c r="BR140" i="136"/>
  <c r="BS140" i="136"/>
  <c r="BP141" i="136"/>
  <c r="BQ141" i="136"/>
  <c r="BR141" i="136"/>
  <c r="BS141" i="136"/>
  <c r="BP142" i="136"/>
  <c r="BQ142" i="136"/>
  <c r="BR142" i="136"/>
  <c r="BS142" i="136"/>
  <c r="BP143" i="136"/>
  <c r="BQ143" i="136"/>
  <c r="BR143" i="136"/>
  <c r="BS143" i="136"/>
  <c r="BP144" i="136"/>
  <c r="BQ144" i="136"/>
  <c r="BR144" i="136"/>
  <c r="BS144" i="136"/>
  <c r="BP145" i="136"/>
  <c r="BQ145" i="136"/>
  <c r="BR145" i="136"/>
  <c r="BS145" i="136"/>
  <c r="BP146" i="136"/>
  <c r="BQ146" i="136"/>
  <c r="BR146" i="136"/>
  <c r="BS146" i="136"/>
  <c r="BP147" i="136"/>
  <c r="BQ147" i="136"/>
  <c r="BR147" i="136"/>
  <c r="BS147" i="136"/>
  <c r="BP148" i="136"/>
  <c r="BQ148" i="136"/>
  <c r="BR148" i="136"/>
  <c r="BS148" i="136"/>
  <c r="BP149" i="136"/>
  <c r="BQ149" i="136"/>
  <c r="BR149" i="136"/>
  <c r="BS149" i="136"/>
  <c r="BP150" i="136"/>
  <c r="BQ150" i="136"/>
  <c r="BR150" i="136"/>
  <c r="BS150" i="136"/>
  <c r="BP151" i="136"/>
  <c r="BQ151" i="136"/>
  <c r="BR151" i="136"/>
  <c r="BS151" i="136"/>
  <c r="BP152" i="136"/>
  <c r="BQ152" i="136"/>
  <c r="BR152" i="136"/>
  <c r="BS152" i="136"/>
  <c r="BP153" i="136"/>
  <c r="BQ153" i="136"/>
  <c r="BR153" i="136"/>
  <c r="BS153" i="136"/>
  <c r="BP154" i="136"/>
  <c r="BQ154" i="136"/>
  <c r="BR154" i="136"/>
  <c r="BS154" i="136"/>
  <c r="BP155" i="136"/>
  <c r="BQ155" i="136"/>
  <c r="BR155" i="136"/>
  <c r="BS155" i="136"/>
  <c r="BP156" i="136"/>
  <c r="BQ156" i="136"/>
  <c r="BR156" i="136"/>
  <c r="BS156" i="136"/>
  <c r="BP157" i="136"/>
  <c r="BQ157" i="136"/>
  <c r="BR157" i="136"/>
  <c r="BS157" i="136"/>
  <c r="BP158" i="136"/>
  <c r="BQ158" i="136"/>
  <c r="BR158" i="136"/>
  <c r="BS158" i="136"/>
  <c r="BP159" i="136"/>
  <c r="BQ159" i="136"/>
  <c r="BR159" i="136"/>
  <c r="BS159" i="136"/>
  <c r="BP160" i="136"/>
  <c r="BQ160" i="136"/>
  <c r="BR160" i="136"/>
  <c r="BS160" i="136"/>
  <c r="BP161" i="136"/>
  <c r="BQ161" i="136"/>
  <c r="BR161" i="136"/>
  <c r="BS161" i="136"/>
  <c r="BP162" i="136"/>
  <c r="BQ162" i="136"/>
  <c r="BR162" i="136"/>
  <c r="BS162" i="136"/>
  <c r="BQ3" i="136"/>
  <c r="BR3" i="136"/>
  <c r="BP3" i="136"/>
  <c r="BI4" i="136"/>
  <c r="BI5" i="136"/>
  <c r="AC12" i="4" s="1"/>
  <c r="BI6" i="136"/>
  <c r="AC13" i="4" s="1"/>
  <c r="BI7" i="136"/>
  <c r="AC14" i="4" s="1"/>
  <c r="BI8" i="136"/>
  <c r="AC15" i="4" s="1"/>
  <c r="BI9" i="136"/>
  <c r="AC17" i="4" s="1"/>
  <c r="BI10" i="136"/>
  <c r="AC18" i="4" s="1"/>
  <c r="BI11" i="136"/>
  <c r="AC19" i="4" s="1"/>
  <c r="BI12" i="136"/>
  <c r="AC20" i="4" s="1"/>
  <c r="BI13" i="136"/>
  <c r="AC21" i="4" s="1"/>
  <c r="BI14" i="136"/>
  <c r="AC23" i="4" s="1"/>
  <c r="BI15" i="136"/>
  <c r="AC26" i="4" s="1"/>
  <c r="BI16" i="136"/>
  <c r="AC27" i="4" s="1"/>
  <c r="BI17" i="136"/>
  <c r="AC28" i="4" s="1"/>
  <c r="BI18" i="136"/>
  <c r="AC33" i="4" s="1"/>
  <c r="BI19" i="136"/>
  <c r="AC34" i="4" s="1"/>
  <c r="BI20" i="136"/>
  <c r="AC36" i="4" s="1"/>
  <c r="BI21" i="136"/>
  <c r="AC42" i="4" s="1"/>
  <c r="BI22" i="136"/>
  <c r="AC43" i="4" s="1"/>
  <c r="BI23" i="136"/>
  <c r="AC44" i="4" s="1"/>
  <c r="BI24" i="136"/>
  <c r="AC45" i="4" s="1"/>
  <c r="BI25" i="136"/>
  <c r="AC46" i="4" s="1"/>
  <c r="BI26" i="136"/>
  <c r="AC47" i="4" s="1"/>
  <c r="BI27" i="136"/>
  <c r="AC49" i="4" s="1"/>
  <c r="BI28" i="136"/>
  <c r="AC50" i="4" s="1"/>
  <c r="BI29" i="136"/>
  <c r="AC51" i="4" s="1"/>
  <c r="BI30" i="136"/>
  <c r="AC54" i="4" s="1"/>
  <c r="BI31" i="136"/>
  <c r="AC57" i="4" s="1"/>
  <c r="BI32" i="136"/>
  <c r="AC58" i="4" s="1"/>
  <c r="BI33" i="136"/>
  <c r="AC59" i="4" s="1"/>
  <c r="BI34" i="136"/>
  <c r="AC64" i="4" s="1"/>
  <c r="BI35" i="136"/>
  <c r="AC65" i="4" s="1"/>
  <c r="BI36" i="136"/>
  <c r="AC66" i="4" s="1"/>
  <c r="BI37" i="136"/>
  <c r="AC67" i="4" s="1"/>
  <c r="BI38" i="136"/>
  <c r="AC73" i="4" s="1"/>
  <c r="BI39" i="136"/>
  <c r="AC74" i="4" s="1"/>
  <c r="BI40" i="136"/>
  <c r="AC75" i="4" s="1"/>
  <c r="BI41" i="136"/>
  <c r="AC76" i="4" s="1"/>
  <c r="BI42" i="136"/>
  <c r="AC77" i="4" s="1"/>
  <c r="BI43" i="136"/>
  <c r="AC80" i="4" s="1"/>
  <c r="BI44" i="136"/>
  <c r="AC89" i="4" s="1"/>
  <c r="BI45" i="136"/>
  <c r="AC90" i="4" s="1"/>
  <c r="BI46" i="136"/>
  <c r="AC92" i="4" s="1"/>
  <c r="BI47" i="136"/>
  <c r="AC97" i="4" s="1"/>
  <c r="BI48" i="136"/>
  <c r="AC99" i="4" s="1"/>
  <c r="BI49" i="136"/>
  <c r="AC100" i="4" s="1"/>
  <c r="BI50" i="136"/>
  <c r="AC103" i="4" s="1"/>
  <c r="BI51" i="136"/>
  <c r="AC104" i="4" s="1"/>
  <c r="BI52" i="136"/>
  <c r="AC105" i="4" s="1"/>
  <c r="BI53" i="136"/>
  <c r="AC107" i="4" s="1"/>
  <c r="BI54" i="136"/>
  <c r="AC110" i="4" s="1"/>
  <c r="BI55" i="136"/>
  <c r="AC111" i="4" s="1"/>
  <c r="BI56" i="136"/>
  <c r="AC112" i="4" s="1"/>
  <c r="BI57" i="136"/>
  <c r="AC114" i="4" s="1"/>
  <c r="BI58" i="136"/>
  <c r="AC120" i="4" s="1"/>
  <c r="BI59" i="136"/>
  <c r="AC121" i="4" s="1"/>
  <c r="BI60" i="136"/>
  <c r="AC122" i="4" s="1"/>
  <c r="BI61" i="136"/>
  <c r="AC124" i="4" s="1"/>
  <c r="BI62" i="136"/>
  <c r="AC125" i="4" s="1"/>
  <c r="BI63" i="136"/>
  <c r="AC126" i="4" s="1"/>
  <c r="BI64" i="136"/>
  <c r="AC128" i="4" s="1"/>
  <c r="BI65" i="136"/>
  <c r="AC129" i="4" s="1"/>
  <c r="BI66" i="136"/>
  <c r="AC130" i="4" s="1"/>
  <c r="BI67" i="136"/>
  <c r="AC131" i="4" s="1"/>
  <c r="BI68" i="136"/>
  <c r="AC132" i="4" s="1"/>
  <c r="BI69" i="136"/>
  <c r="AC133" i="4" s="1"/>
  <c r="BI70" i="136"/>
  <c r="AC134" i="4" s="1"/>
  <c r="BI71" i="136"/>
  <c r="AC135" i="4" s="1"/>
  <c r="BI72" i="136"/>
  <c r="AC140" i="4" s="1"/>
  <c r="BI73" i="136"/>
  <c r="AC141" i="4" s="1"/>
  <c r="BI74" i="136"/>
  <c r="AC143" i="4" s="1"/>
  <c r="BI75" i="136"/>
  <c r="AC145" i="4" s="1"/>
  <c r="BI76" i="136"/>
  <c r="AC146" i="4" s="1"/>
  <c r="BI77" i="136"/>
  <c r="AC148" i="4" s="1"/>
  <c r="BI78" i="136"/>
  <c r="AC156" i="4" s="1"/>
  <c r="BI79" i="136"/>
  <c r="AC165" i="4" s="1"/>
  <c r="BI80" i="136"/>
  <c r="AC172" i="4" s="1"/>
  <c r="BI81" i="136"/>
  <c r="AC187" i="4" s="1"/>
  <c r="BI82" i="136"/>
  <c r="AC188" i="4" s="1"/>
  <c r="BI83" i="136"/>
  <c r="AC189" i="4" s="1"/>
  <c r="AB61" i="37"/>
  <c r="CG4" i="138"/>
  <c r="CH4" i="138"/>
  <c r="CI4" i="138"/>
  <c r="CG5" i="138"/>
  <c r="CH5" i="138"/>
  <c r="CI5" i="138"/>
  <c r="CG6" i="138"/>
  <c r="CH6" i="138"/>
  <c r="CI6" i="138"/>
  <c r="CG7" i="138"/>
  <c r="CH7" i="138"/>
  <c r="CI7" i="138"/>
  <c r="CG8" i="138"/>
  <c r="CH8" i="138"/>
  <c r="CI8" i="138"/>
  <c r="CG9" i="138"/>
  <c r="CH9" i="138"/>
  <c r="CI9" i="138"/>
  <c r="CG10" i="138"/>
  <c r="CH10" i="138"/>
  <c r="CI10" i="138"/>
  <c r="CG11" i="138"/>
  <c r="CH11" i="138"/>
  <c r="CI11" i="138"/>
  <c r="CG12" i="138"/>
  <c r="CH12" i="138"/>
  <c r="CI12" i="138"/>
  <c r="CG13" i="138"/>
  <c r="CH13" i="138"/>
  <c r="CI13" i="138"/>
  <c r="CG14" i="138"/>
  <c r="CH14" i="138"/>
  <c r="CI14" i="138"/>
  <c r="CG15" i="138"/>
  <c r="CH15" i="138"/>
  <c r="CI15" i="138"/>
  <c r="CG16" i="138"/>
  <c r="CH16" i="138"/>
  <c r="CI16" i="138"/>
  <c r="CG17" i="138"/>
  <c r="CH17" i="138"/>
  <c r="CI17" i="138"/>
  <c r="CG18" i="138"/>
  <c r="CH18" i="138"/>
  <c r="CI18" i="138"/>
  <c r="CG19" i="138"/>
  <c r="CH19" i="138"/>
  <c r="CI19" i="138"/>
  <c r="CG20" i="138"/>
  <c r="CH20" i="138"/>
  <c r="CI20" i="138"/>
  <c r="CG21" i="138"/>
  <c r="CH21" i="138"/>
  <c r="CI21" i="138"/>
  <c r="CG22" i="138"/>
  <c r="CH22" i="138"/>
  <c r="CI22" i="138"/>
  <c r="CG23" i="138"/>
  <c r="CH23" i="138"/>
  <c r="CI23" i="138"/>
  <c r="CG24" i="138"/>
  <c r="CH24" i="138"/>
  <c r="CI24" i="138"/>
  <c r="CG25" i="138"/>
  <c r="CH25" i="138"/>
  <c r="CI25" i="138"/>
  <c r="CG26" i="138"/>
  <c r="CH26" i="138"/>
  <c r="CI26" i="138"/>
  <c r="CG27" i="138"/>
  <c r="CH27" i="138"/>
  <c r="CI27" i="138"/>
  <c r="CG28" i="138"/>
  <c r="CH28" i="138"/>
  <c r="CI28" i="138"/>
  <c r="CG29" i="138"/>
  <c r="CH29" i="138"/>
  <c r="CI29" i="138"/>
  <c r="CG30" i="138"/>
  <c r="CH30" i="138"/>
  <c r="CI30" i="138"/>
  <c r="CG31" i="138"/>
  <c r="CH31" i="138"/>
  <c r="CI31" i="138"/>
  <c r="CG32" i="138"/>
  <c r="CH32" i="138"/>
  <c r="CI32" i="138"/>
  <c r="CG33" i="138"/>
  <c r="CH33" i="138"/>
  <c r="CI33" i="138"/>
  <c r="CG34" i="138"/>
  <c r="CH34" i="138"/>
  <c r="CI34" i="138"/>
  <c r="CG35" i="138"/>
  <c r="CH35" i="138"/>
  <c r="CI35" i="138"/>
  <c r="CG36" i="138"/>
  <c r="CH36" i="138"/>
  <c r="CI36" i="138"/>
  <c r="CG37" i="138"/>
  <c r="CH37" i="138"/>
  <c r="CI37" i="138"/>
  <c r="CG38" i="138"/>
  <c r="CH38" i="138"/>
  <c r="CI38" i="138"/>
  <c r="CG39" i="138"/>
  <c r="CH39" i="138"/>
  <c r="CI39" i="138"/>
  <c r="CG40" i="138"/>
  <c r="CH40" i="138"/>
  <c r="CI40" i="138"/>
  <c r="CG41" i="138"/>
  <c r="CH41" i="138"/>
  <c r="CI41" i="138"/>
  <c r="CG42" i="138"/>
  <c r="CH42" i="138"/>
  <c r="CI42" i="138"/>
  <c r="CG43" i="138"/>
  <c r="CH43" i="138"/>
  <c r="CI43" i="138"/>
  <c r="CG44" i="138"/>
  <c r="CH44" i="138"/>
  <c r="CI44" i="138"/>
  <c r="CG45" i="138"/>
  <c r="CH45" i="138"/>
  <c r="CI45" i="138"/>
  <c r="CG46" i="138"/>
  <c r="CH46" i="138"/>
  <c r="CI46" i="138"/>
  <c r="CG47" i="138"/>
  <c r="CH47" i="138"/>
  <c r="CI47" i="138"/>
  <c r="CG48" i="138"/>
  <c r="CH48" i="138"/>
  <c r="CI48" i="138"/>
  <c r="CG49" i="138"/>
  <c r="CH49" i="138"/>
  <c r="CI49" i="138"/>
  <c r="CG50" i="138"/>
  <c r="CH50" i="138"/>
  <c r="CI50" i="138"/>
  <c r="CG51" i="138"/>
  <c r="CH51" i="138"/>
  <c r="CI51" i="138"/>
  <c r="CH3" i="138"/>
  <c r="CI3" i="138"/>
  <c r="CG3" i="138"/>
  <c r="BW4" i="138"/>
  <c r="AB17" i="37" s="1"/>
  <c r="BW5" i="138"/>
  <c r="BW6" i="138"/>
  <c r="BW7" i="138"/>
  <c r="AB38" i="37" s="1"/>
  <c r="BW8" i="138"/>
  <c r="AB46" i="37" s="1"/>
  <c r="BW9" i="138"/>
  <c r="AB47" i="37" s="1"/>
  <c r="BW10" i="138"/>
  <c r="AB48" i="37" s="1"/>
  <c r="BW11" i="138"/>
  <c r="AB49" i="37" s="1"/>
  <c r="BW12" i="138"/>
  <c r="AB51" i="37" s="1"/>
  <c r="BW13" i="138"/>
  <c r="AB53" i="37" s="1"/>
  <c r="BW14" i="138"/>
  <c r="AB54" i="37" s="1"/>
  <c r="BW15" i="138"/>
  <c r="AB55" i="37" s="1"/>
  <c r="BW16" i="138"/>
  <c r="AB56" i="37" s="1"/>
  <c r="BW17" i="138"/>
  <c r="AB59" i="37" s="1"/>
  <c r="H10" i="54"/>
  <c r="I10" i="54"/>
  <c r="J10" i="54"/>
  <c r="L10" i="54"/>
  <c r="K11" i="54"/>
  <c r="M11" i="54"/>
  <c r="O11" i="54"/>
  <c r="P11" i="54"/>
  <c r="P10" i="54" s="1"/>
  <c r="K12" i="54"/>
  <c r="M12" i="54"/>
  <c r="O12" i="54"/>
  <c r="Q12" i="54"/>
  <c r="R12" i="54" s="1"/>
  <c r="K13" i="54"/>
  <c r="M13" i="54"/>
  <c r="O13" i="54"/>
  <c r="Q13" i="54"/>
  <c r="R13" i="54" s="1"/>
  <c r="K14" i="54"/>
  <c r="M14" i="54"/>
  <c r="O14" i="54"/>
  <c r="Q14" i="54"/>
  <c r="R14" i="54" s="1"/>
  <c r="K15" i="54"/>
  <c r="M15" i="54"/>
  <c r="O15" i="54"/>
  <c r="Q15" i="54"/>
  <c r="R15" i="54" s="1"/>
  <c r="K16" i="54"/>
  <c r="M16" i="54"/>
  <c r="O16" i="54"/>
  <c r="Q16" i="54"/>
  <c r="R16" i="54" s="1"/>
  <c r="K17" i="54"/>
  <c r="M17" i="54"/>
  <c r="O17" i="54"/>
  <c r="Q17" i="54"/>
  <c r="R17" i="54" s="1"/>
  <c r="K18" i="54"/>
  <c r="M18" i="54"/>
  <c r="O18" i="54"/>
  <c r="Q18" i="54"/>
  <c r="R18" i="54" s="1"/>
  <c r="K19" i="54"/>
  <c r="M19" i="54"/>
  <c r="O19" i="54"/>
  <c r="Q19" i="54"/>
  <c r="R19" i="54" s="1"/>
  <c r="K20" i="54"/>
  <c r="M20" i="54"/>
  <c r="O20" i="54"/>
  <c r="Q20" i="54"/>
  <c r="R20" i="54" s="1"/>
  <c r="K21" i="54"/>
  <c r="M21" i="54"/>
  <c r="O21" i="54"/>
  <c r="Q21" i="54"/>
  <c r="R21" i="54" s="1"/>
  <c r="K22" i="54"/>
  <c r="M22" i="54"/>
  <c r="O22" i="54"/>
  <c r="Q22" i="54"/>
  <c r="R22" i="54" s="1"/>
  <c r="K23" i="54"/>
  <c r="M23" i="54"/>
  <c r="O23" i="54"/>
  <c r="Q23" i="54"/>
  <c r="R23" i="54" s="1"/>
  <c r="K24" i="54"/>
  <c r="M24" i="54"/>
  <c r="O24" i="54"/>
  <c r="Q24" i="54"/>
  <c r="R24" i="54" s="1"/>
  <c r="K25" i="54"/>
  <c r="M25" i="54"/>
  <c r="O25" i="54"/>
  <c r="Q25" i="54"/>
  <c r="R25" i="54" s="1"/>
  <c r="K26" i="54"/>
  <c r="M26" i="54"/>
  <c r="O26" i="54"/>
  <c r="Q26" i="54"/>
  <c r="R26" i="54" s="1"/>
  <c r="K27" i="54"/>
  <c r="M27" i="54"/>
  <c r="O27" i="54"/>
  <c r="Q27" i="54"/>
  <c r="R27" i="54" s="1"/>
  <c r="K28" i="54"/>
  <c r="M28" i="54"/>
  <c r="O28" i="54"/>
  <c r="Q28" i="54"/>
  <c r="R28" i="54" s="1"/>
  <c r="K29" i="54"/>
  <c r="M29" i="54"/>
  <c r="O29" i="54"/>
  <c r="Q29" i="54"/>
  <c r="R29" i="54" s="1"/>
  <c r="K30" i="54"/>
  <c r="M30" i="54"/>
  <c r="O30" i="54"/>
  <c r="Q30" i="54"/>
  <c r="R30" i="54" s="1"/>
  <c r="K31" i="54"/>
  <c r="M31" i="54"/>
  <c r="O31" i="54"/>
  <c r="Q31" i="54"/>
  <c r="R31" i="54" s="1"/>
  <c r="BJ48" i="138"/>
  <c r="R58" i="37" l="1"/>
  <c r="Q10" i="4"/>
  <c r="Q168" i="4"/>
  <c r="Q166" i="4"/>
  <c r="Q156" i="4"/>
  <c r="Q152" i="4"/>
  <c r="Q148" i="4"/>
  <c r="Q145" i="4"/>
  <c r="Q143" i="4"/>
  <c r="Q141" i="4"/>
  <c r="Q139" i="4"/>
  <c r="Q137" i="4"/>
  <c r="Q135" i="4"/>
  <c r="Q133" i="4"/>
  <c r="Q131" i="4"/>
  <c r="Q129" i="4"/>
  <c r="Q126" i="4"/>
  <c r="Q124" i="4"/>
  <c r="Q121" i="4"/>
  <c r="Q119" i="4"/>
  <c r="Q116" i="4"/>
  <c r="Q113" i="4"/>
  <c r="Q111" i="4"/>
  <c r="Q109" i="4"/>
  <c r="Q107" i="4"/>
  <c r="Q105" i="4"/>
  <c r="Q103" i="4"/>
  <c r="Q101" i="4"/>
  <c r="Q99" i="4"/>
  <c r="Q97" i="4"/>
  <c r="Q94" i="4"/>
  <c r="Q92" i="4"/>
  <c r="Q89" i="4"/>
  <c r="Q87" i="4"/>
  <c r="Q85" i="4"/>
  <c r="Q80" i="4"/>
  <c r="Q76" i="4"/>
  <c r="Q74" i="4"/>
  <c r="Q72" i="4"/>
  <c r="Q70" i="4"/>
  <c r="Q68" i="4"/>
  <c r="Q66" i="4"/>
  <c r="Q64" i="4"/>
  <c r="Q61" i="4"/>
  <c r="Q59" i="4"/>
  <c r="Q57" i="4"/>
  <c r="Q54" i="4"/>
  <c r="Q52" i="4"/>
  <c r="Q50" i="4"/>
  <c r="Q47" i="4"/>
  <c r="Q45" i="4"/>
  <c r="Q43" i="4"/>
  <c r="Q41" i="4"/>
  <c r="Q39" i="4"/>
  <c r="Q37" i="4"/>
  <c r="Q35" i="4"/>
  <c r="Q33" i="4"/>
  <c r="Q30" i="4"/>
  <c r="Q28" i="4"/>
  <c r="Q26" i="4"/>
  <c r="Q23" i="4"/>
  <c r="Q21" i="4"/>
  <c r="Q19" i="4"/>
  <c r="Q17" i="4"/>
  <c r="Q14" i="4"/>
  <c r="Q12" i="4"/>
  <c r="Q167" i="4"/>
  <c r="Q165" i="4"/>
  <c r="Q154" i="4"/>
  <c r="Q149" i="4"/>
  <c r="Q146" i="4"/>
  <c r="Q144" i="4"/>
  <c r="Q142" i="4"/>
  <c r="Q140" i="4"/>
  <c r="Q138" i="4"/>
  <c r="Q136" i="4"/>
  <c r="Q134" i="4"/>
  <c r="Q132" i="4"/>
  <c r="Q130" i="4"/>
  <c r="Q128" i="4"/>
  <c r="Q125" i="4"/>
  <c r="Q122" i="4"/>
  <c r="Q120" i="4"/>
  <c r="Q118" i="4"/>
  <c r="Q114" i="4"/>
  <c r="Q112" i="4"/>
  <c r="Q110" i="4"/>
  <c r="Q108" i="4"/>
  <c r="Q106" i="4"/>
  <c r="Q104" i="4"/>
  <c r="Q102" i="4"/>
  <c r="Q100" i="4"/>
  <c r="Q98" i="4"/>
  <c r="Q95" i="4"/>
  <c r="Q93" i="4"/>
  <c r="Q90" i="4"/>
  <c r="Q88" i="4"/>
  <c r="Q86" i="4"/>
  <c r="Q83" i="4"/>
  <c r="Q77" i="4"/>
  <c r="Q75" i="4"/>
  <c r="Q73" i="4"/>
  <c r="Q71" i="4"/>
  <c r="Q69" i="4"/>
  <c r="Q67" i="4"/>
  <c r="Q65" i="4"/>
  <c r="Q62" i="4"/>
  <c r="Q60" i="4"/>
  <c r="Q58" i="4"/>
  <c r="Q55" i="4"/>
  <c r="Q53" i="4"/>
  <c r="Q51" i="4"/>
  <c r="Q49" i="4"/>
  <c r="Q46" i="4"/>
  <c r="Q44" i="4"/>
  <c r="Q42" i="4"/>
  <c r="Q40" i="4"/>
  <c r="Q38" i="4"/>
  <c r="Q36" i="4"/>
  <c r="Q34" i="4"/>
  <c r="Q31" i="4"/>
  <c r="Q29" i="4"/>
  <c r="Q27" i="4"/>
  <c r="Q24" i="4"/>
  <c r="S24" i="4" s="1"/>
  <c r="Q22" i="4"/>
  <c r="Q20" i="4"/>
  <c r="Q18" i="4"/>
  <c r="Q15" i="4"/>
  <c r="Q13" i="4"/>
  <c r="Q11" i="4"/>
  <c r="Q199" i="4"/>
  <c r="Q195" i="4"/>
  <c r="Q193" i="4"/>
  <c r="Q191" i="4"/>
  <c r="Q188" i="4"/>
  <c r="Q182" i="4"/>
  <c r="Q178" i="4"/>
  <c r="Q172" i="4"/>
  <c r="Q196" i="4"/>
  <c r="Q194" i="4"/>
  <c r="Q192" i="4"/>
  <c r="Q189" i="4"/>
  <c r="Q187" i="4"/>
  <c r="Q180" i="4"/>
  <c r="Q176" i="4"/>
  <c r="Q170" i="4"/>
  <c r="N10" i="54"/>
  <c r="O10" i="54" s="1"/>
  <c r="Q58" i="35"/>
  <c r="R58" i="35" s="1"/>
  <c r="Q40" i="35"/>
  <c r="R40" i="35" s="1"/>
  <c r="AD27" i="35"/>
  <c r="Q43" i="35"/>
  <c r="R43" i="35" s="1"/>
  <c r="AC11" i="4"/>
  <c r="BI84" i="136"/>
  <c r="BR163" i="136"/>
  <c r="BQ163" i="136"/>
  <c r="BS163" i="136"/>
  <c r="Q55" i="37"/>
  <c r="R55" i="37" s="1"/>
  <c r="Q23" i="37"/>
  <c r="R23" i="37" s="1"/>
  <c r="I157" i="39"/>
  <c r="AB45" i="37"/>
  <c r="AB37" i="37"/>
  <c r="Q38" i="37"/>
  <c r="R38" i="37" s="1"/>
  <c r="AB37" i="35"/>
  <c r="N33" i="54"/>
  <c r="O33" i="54" s="1"/>
  <c r="I226" i="39"/>
  <c r="M226" i="39" s="1"/>
  <c r="AI44" i="37"/>
  <c r="AI40" i="37" s="1"/>
  <c r="AI11" i="37" s="1"/>
  <c r="AI20" i="35"/>
  <c r="AI10" i="35" s="1"/>
  <c r="AI9" i="35" s="1"/>
  <c r="AH27" i="35"/>
  <c r="AH55" i="35"/>
  <c r="AH54" i="35" s="1"/>
  <c r="AH53" i="35" s="1"/>
  <c r="DU12" i="137"/>
  <c r="DB111" i="136"/>
  <c r="AH45" i="37"/>
  <c r="AB16" i="37"/>
  <c r="AB14" i="37" s="1"/>
  <c r="AB12" i="37" s="1"/>
  <c r="AD16" i="37"/>
  <c r="AF16" i="37"/>
  <c r="AF14" i="37" s="1"/>
  <c r="AF12" i="37" s="1"/>
  <c r="AH16" i="37"/>
  <c r="AH14" i="37" s="1"/>
  <c r="AH12" i="37" s="1"/>
  <c r="AH50" i="37"/>
  <c r="AH37" i="35"/>
  <c r="AH21" i="35"/>
  <c r="AI9" i="4"/>
  <c r="AF21" i="35"/>
  <c r="AF55" i="35"/>
  <c r="AF54" i="35" s="1"/>
  <c r="AF53" i="35" s="1"/>
  <c r="AF27" i="35"/>
  <c r="AF37" i="35"/>
  <c r="AF50" i="37"/>
  <c r="AF45" i="37"/>
  <c r="AD45" i="37"/>
  <c r="O9" i="4"/>
  <c r="CU162" i="136"/>
  <c r="CV162" i="136"/>
  <c r="CW162" i="136"/>
  <c r="CX162" i="136"/>
  <c r="N231" i="39"/>
  <c r="O231" i="39" s="1"/>
  <c r="AG9" i="4"/>
  <c r="N233" i="39"/>
  <c r="O233" i="39" s="1"/>
  <c r="AE176" i="4"/>
  <c r="AB32" i="35"/>
  <c r="AB27" i="35" s="1"/>
  <c r="AD50" i="37"/>
  <c r="M10" i="54"/>
  <c r="AD55" i="35"/>
  <c r="AD54" i="35" s="1"/>
  <c r="AD53" i="35" s="1"/>
  <c r="AD21" i="35"/>
  <c r="AD37" i="35"/>
  <c r="AE9" i="4"/>
  <c r="K10" i="54"/>
  <c r="AB55" i="35"/>
  <c r="AB54" i="35" s="1"/>
  <c r="AB53" i="35" s="1"/>
  <c r="AC9" i="4"/>
  <c r="AB50" i="37"/>
  <c r="Q11" i="54"/>
  <c r="AU7" i="139"/>
  <c r="BJ49" i="138"/>
  <c r="BG43" i="137"/>
  <c r="AZ154" i="136"/>
  <c r="AF20" i="35" l="1"/>
  <c r="AD20" i="35"/>
  <c r="AD10" i="35" s="1"/>
  <c r="AD9" i="35" s="1"/>
  <c r="AD14" i="37"/>
  <c r="AD12" i="37" s="1"/>
  <c r="P9" i="4"/>
  <c r="AM154" i="140"/>
  <c r="N319" i="39"/>
  <c r="AH44" i="37"/>
  <c r="AH40" i="37" s="1"/>
  <c r="AH11" i="37" s="1"/>
  <c r="AH20" i="35"/>
  <c r="AH10" i="35" s="1"/>
  <c r="AH9" i="35" s="1"/>
  <c r="AF10" i="35"/>
  <c r="AF9" i="35" s="1"/>
  <c r="AF44" i="37"/>
  <c r="AD44" i="37"/>
  <c r="AD40" i="37" s="1"/>
  <c r="AB20" i="35"/>
  <c r="AB10" i="35" s="1"/>
  <c r="AB9" i="35" s="1"/>
  <c r="AZ151" i="136"/>
  <c r="BD151" i="136" s="1"/>
  <c r="AB44" i="37"/>
  <c r="AB40" i="37" s="1"/>
  <c r="Q10" i="54"/>
  <c r="R10" i="54" s="1"/>
  <c r="R11" i="54"/>
  <c r="AX4" i="139"/>
  <c r="AY4" i="139"/>
  <c r="AZ4" i="139"/>
  <c r="AX5" i="139"/>
  <c r="AY5" i="139"/>
  <c r="AZ5" i="139"/>
  <c r="AX6" i="139"/>
  <c r="AY6" i="139"/>
  <c r="AZ6" i="139"/>
  <c r="AX7" i="139"/>
  <c r="AY7" i="139"/>
  <c r="AZ7" i="139"/>
  <c r="AX8" i="139"/>
  <c r="AY8" i="139"/>
  <c r="AZ8" i="139"/>
  <c r="AY3" i="139"/>
  <c r="AZ3" i="139"/>
  <c r="AX3" i="139"/>
  <c r="BA3" i="136"/>
  <c r="BA4" i="136"/>
  <c r="BB4" i="136"/>
  <c r="BC4" i="136"/>
  <c r="BD4" i="136"/>
  <c r="BA5" i="136"/>
  <c r="BB5" i="136"/>
  <c r="BC5" i="136"/>
  <c r="BD5" i="136"/>
  <c r="BA6" i="136"/>
  <c r="BB6" i="136"/>
  <c r="BC6" i="136"/>
  <c r="BD6" i="136"/>
  <c r="BA7" i="136"/>
  <c r="BB7" i="136"/>
  <c r="BC7" i="136"/>
  <c r="BD7" i="136"/>
  <c r="BA8" i="136"/>
  <c r="BB8" i="136"/>
  <c r="BC8" i="136"/>
  <c r="BD8" i="136"/>
  <c r="BA9" i="136"/>
  <c r="BB9" i="136"/>
  <c r="BC9" i="136"/>
  <c r="BD9" i="136"/>
  <c r="BA10" i="136"/>
  <c r="BB10" i="136"/>
  <c r="BC10" i="136"/>
  <c r="BD10" i="136"/>
  <c r="BA11" i="136"/>
  <c r="BB11" i="136"/>
  <c r="BC11" i="136"/>
  <c r="BD11" i="136"/>
  <c r="BA12" i="136"/>
  <c r="BB12" i="136"/>
  <c r="BC12" i="136"/>
  <c r="BD12" i="136"/>
  <c r="BA13" i="136"/>
  <c r="BB13" i="136"/>
  <c r="BC13" i="136"/>
  <c r="BD13" i="136"/>
  <c r="BA14" i="136"/>
  <c r="BB14" i="136"/>
  <c r="BC14" i="136"/>
  <c r="BD14" i="136"/>
  <c r="BA15" i="136"/>
  <c r="BB15" i="136"/>
  <c r="BC15" i="136"/>
  <c r="BD15" i="136"/>
  <c r="BA16" i="136"/>
  <c r="BB16" i="136"/>
  <c r="BC16" i="136"/>
  <c r="BD16" i="136"/>
  <c r="BA17" i="136"/>
  <c r="BB17" i="136"/>
  <c r="BC17" i="136"/>
  <c r="BD17" i="136"/>
  <c r="BA18" i="136"/>
  <c r="BB18" i="136"/>
  <c r="BC18" i="136"/>
  <c r="BD18" i="136"/>
  <c r="BA19" i="136"/>
  <c r="BB19" i="136"/>
  <c r="BC19" i="136"/>
  <c r="BD19" i="136"/>
  <c r="BA20" i="136"/>
  <c r="BB20" i="136"/>
  <c r="BC20" i="136"/>
  <c r="BD20" i="136"/>
  <c r="BA21" i="136"/>
  <c r="BB21" i="136"/>
  <c r="BC21" i="136"/>
  <c r="BD21" i="136"/>
  <c r="BA22" i="136"/>
  <c r="BB22" i="136"/>
  <c r="BC22" i="136"/>
  <c r="BD22" i="136"/>
  <c r="BA23" i="136"/>
  <c r="BB23" i="136"/>
  <c r="BC23" i="136"/>
  <c r="BD23" i="136"/>
  <c r="BA24" i="136"/>
  <c r="BB24" i="136"/>
  <c r="BC24" i="136"/>
  <c r="BD24" i="136"/>
  <c r="BA25" i="136"/>
  <c r="BB25" i="136"/>
  <c r="BC25" i="136"/>
  <c r="BD25" i="136"/>
  <c r="BA26" i="136"/>
  <c r="BB26" i="136"/>
  <c r="BC26" i="136"/>
  <c r="BD26" i="136"/>
  <c r="BA27" i="136"/>
  <c r="BB27" i="136"/>
  <c r="BC27" i="136"/>
  <c r="BD27" i="136"/>
  <c r="BA28" i="136"/>
  <c r="BB28" i="136"/>
  <c r="BC28" i="136"/>
  <c r="BD28" i="136"/>
  <c r="BA29" i="136"/>
  <c r="BB29" i="136"/>
  <c r="BC29" i="136"/>
  <c r="BD29" i="136"/>
  <c r="BA30" i="136"/>
  <c r="BB30" i="136"/>
  <c r="BC30" i="136"/>
  <c r="BD30" i="136"/>
  <c r="BA31" i="136"/>
  <c r="BB31" i="136"/>
  <c r="BC31" i="136"/>
  <c r="BD31" i="136"/>
  <c r="BA32" i="136"/>
  <c r="BB32" i="136"/>
  <c r="BC32" i="136"/>
  <c r="BD32" i="136"/>
  <c r="BA33" i="136"/>
  <c r="BB33" i="136"/>
  <c r="BC33" i="136"/>
  <c r="BD33" i="136"/>
  <c r="BA34" i="136"/>
  <c r="BB34" i="136"/>
  <c r="BC34" i="136"/>
  <c r="BD34" i="136"/>
  <c r="BA35" i="136"/>
  <c r="BB35" i="136"/>
  <c r="BC35" i="136"/>
  <c r="BD35" i="136"/>
  <c r="BA36" i="136"/>
  <c r="BB36" i="136"/>
  <c r="BC36" i="136"/>
  <c r="BD36" i="136"/>
  <c r="BA37" i="136"/>
  <c r="BB37" i="136"/>
  <c r="BC37" i="136"/>
  <c r="BD37" i="136"/>
  <c r="BA38" i="136"/>
  <c r="BB38" i="136"/>
  <c r="BC38" i="136"/>
  <c r="BD38" i="136"/>
  <c r="BA39" i="136"/>
  <c r="BB39" i="136"/>
  <c r="BC39" i="136"/>
  <c r="BD39" i="136"/>
  <c r="BA40" i="136"/>
  <c r="BB40" i="136"/>
  <c r="BC40" i="136"/>
  <c r="BD40" i="136"/>
  <c r="BA41" i="136"/>
  <c r="BB41" i="136"/>
  <c r="BC41" i="136"/>
  <c r="BD41" i="136"/>
  <c r="BA42" i="136"/>
  <c r="BB42" i="136"/>
  <c r="BC42" i="136"/>
  <c r="BD42" i="136"/>
  <c r="BA43" i="136"/>
  <c r="BB43" i="136"/>
  <c r="BC43" i="136"/>
  <c r="BD43" i="136"/>
  <c r="BA44" i="136"/>
  <c r="BB44" i="136"/>
  <c r="BC44" i="136"/>
  <c r="BD44" i="136"/>
  <c r="BA45" i="136"/>
  <c r="BB45" i="136"/>
  <c r="BC45" i="136"/>
  <c r="BD45" i="136"/>
  <c r="BA46" i="136"/>
  <c r="BB46" i="136"/>
  <c r="BC46" i="136"/>
  <c r="BD46" i="136"/>
  <c r="BA47" i="136"/>
  <c r="BB47" i="136"/>
  <c r="BC47" i="136"/>
  <c r="BD47" i="136"/>
  <c r="BA48" i="136"/>
  <c r="BB48" i="136"/>
  <c r="BC48" i="136"/>
  <c r="BD48" i="136"/>
  <c r="BA49" i="136"/>
  <c r="BB49" i="136"/>
  <c r="BC49" i="136"/>
  <c r="BD49" i="136"/>
  <c r="BA50" i="136"/>
  <c r="BB50" i="136"/>
  <c r="BC50" i="136"/>
  <c r="BD50" i="136"/>
  <c r="BA51" i="136"/>
  <c r="BB51" i="136"/>
  <c r="BC51" i="136"/>
  <c r="BD51" i="136"/>
  <c r="BA52" i="136"/>
  <c r="BB52" i="136"/>
  <c r="BC52" i="136"/>
  <c r="BD52" i="136"/>
  <c r="BA53" i="136"/>
  <c r="BB53" i="136"/>
  <c r="BC53" i="136"/>
  <c r="BD53" i="136"/>
  <c r="BA54" i="136"/>
  <c r="BB54" i="136"/>
  <c r="BC54" i="136"/>
  <c r="BD54" i="136"/>
  <c r="BA55" i="136"/>
  <c r="BB55" i="136"/>
  <c r="BC55" i="136"/>
  <c r="BD55" i="136"/>
  <c r="BA56" i="136"/>
  <c r="BB56" i="136"/>
  <c r="BC56" i="136"/>
  <c r="BD56" i="136"/>
  <c r="BA57" i="136"/>
  <c r="BB57" i="136"/>
  <c r="BC57" i="136"/>
  <c r="BD57" i="136"/>
  <c r="BA58" i="136"/>
  <c r="BB58" i="136"/>
  <c r="BC58" i="136"/>
  <c r="BD58" i="136"/>
  <c r="BA59" i="136"/>
  <c r="BB59" i="136"/>
  <c r="BC59" i="136"/>
  <c r="BD59" i="136"/>
  <c r="BA60" i="136"/>
  <c r="BB60" i="136"/>
  <c r="BC60" i="136"/>
  <c r="BD60" i="136"/>
  <c r="BA61" i="136"/>
  <c r="BB61" i="136"/>
  <c r="BC61" i="136"/>
  <c r="BD61" i="136"/>
  <c r="BA62" i="136"/>
  <c r="BB62" i="136"/>
  <c r="BC62" i="136"/>
  <c r="BD62" i="136"/>
  <c r="BA63" i="136"/>
  <c r="BB63" i="136"/>
  <c r="BC63" i="136"/>
  <c r="BD63" i="136"/>
  <c r="BA64" i="136"/>
  <c r="BB64" i="136"/>
  <c r="BC64" i="136"/>
  <c r="BD64" i="136"/>
  <c r="BA65" i="136"/>
  <c r="BB65" i="136"/>
  <c r="BC65" i="136"/>
  <c r="BD65" i="136"/>
  <c r="BA66" i="136"/>
  <c r="BB66" i="136"/>
  <c r="BC66" i="136"/>
  <c r="BD66" i="136"/>
  <c r="BA67" i="136"/>
  <c r="BB67" i="136"/>
  <c r="BC67" i="136"/>
  <c r="BD67" i="136"/>
  <c r="BA68" i="136"/>
  <c r="BB68" i="136"/>
  <c r="BC68" i="136"/>
  <c r="BD68" i="136"/>
  <c r="BA69" i="136"/>
  <c r="BB69" i="136"/>
  <c r="BC69" i="136"/>
  <c r="BD69" i="136"/>
  <c r="BA70" i="136"/>
  <c r="BB70" i="136"/>
  <c r="BC70" i="136"/>
  <c r="BD70" i="136"/>
  <c r="BA71" i="136"/>
  <c r="BB71" i="136"/>
  <c r="BC71" i="136"/>
  <c r="BD71" i="136"/>
  <c r="BA72" i="136"/>
  <c r="BB72" i="136"/>
  <c r="BC72" i="136"/>
  <c r="BD72" i="136"/>
  <c r="BA73" i="136"/>
  <c r="BB73" i="136"/>
  <c r="BC73" i="136"/>
  <c r="BD73" i="136"/>
  <c r="BA74" i="136"/>
  <c r="BB74" i="136"/>
  <c r="BC74" i="136"/>
  <c r="BD74" i="136"/>
  <c r="BA75" i="136"/>
  <c r="BB75" i="136"/>
  <c r="BC75" i="136"/>
  <c r="BD75" i="136"/>
  <c r="BA76" i="136"/>
  <c r="BB76" i="136"/>
  <c r="BC76" i="136"/>
  <c r="BD76" i="136"/>
  <c r="BA77" i="136"/>
  <c r="BB77" i="136"/>
  <c r="BC77" i="136"/>
  <c r="BD77" i="136"/>
  <c r="BA78" i="136"/>
  <c r="BB78" i="136"/>
  <c r="BC78" i="136"/>
  <c r="BD78" i="136"/>
  <c r="BA79" i="136"/>
  <c r="BB79" i="136"/>
  <c r="BC79" i="136"/>
  <c r="BD79" i="136"/>
  <c r="BA80" i="136"/>
  <c r="BB80" i="136"/>
  <c r="BC80" i="136"/>
  <c r="BD80" i="136"/>
  <c r="BA81" i="136"/>
  <c r="BB81" i="136"/>
  <c r="BC81" i="136"/>
  <c r="BD81" i="136"/>
  <c r="BA82" i="136"/>
  <c r="BB82" i="136"/>
  <c r="BC82" i="136"/>
  <c r="BD82" i="136"/>
  <c r="BA83" i="136"/>
  <c r="BB83" i="136"/>
  <c r="BC83" i="136"/>
  <c r="BD83" i="136"/>
  <c r="BA84" i="136"/>
  <c r="BB84" i="136"/>
  <c r="BC84" i="136"/>
  <c r="BD84" i="136"/>
  <c r="BA85" i="136"/>
  <c r="BB85" i="136"/>
  <c r="BC85" i="136"/>
  <c r="BD85" i="136"/>
  <c r="BA86" i="136"/>
  <c r="BB86" i="136"/>
  <c r="BC86" i="136"/>
  <c r="BD86" i="136"/>
  <c r="BA87" i="136"/>
  <c r="BB87" i="136"/>
  <c r="BC87" i="136"/>
  <c r="BD87" i="136"/>
  <c r="BA88" i="136"/>
  <c r="BB88" i="136"/>
  <c r="BC88" i="136"/>
  <c r="BD88" i="136"/>
  <c r="BA89" i="136"/>
  <c r="BB89" i="136"/>
  <c r="BC89" i="136"/>
  <c r="BD89" i="136"/>
  <c r="BA90" i="136"/>
  <c r="BB90" i="136"/>
  <c r="BC90" i="136"/>
  <c r="BD90" i="136"/>
  <c r="BA91" i="136"/>
  <c r="BB91" i="136"/>
  <c r="BC91" i="136"/>
  <c r="BD91" i="136"/>
  <c r="BA92" i="136"/>
  <c r="BB92" i="136"/>
  <c r="BC92" i="136"/>
  <c r="BD92" i="136"/>
  <c r="BA93" i="136"/>
  <c r="BB93" i="136"/>
  <c r="BC93" i="136"/>
  <c r="BD93" i="136"/>
  <c r="BA94" i="136"/>
  <c r="BB94" i="136"/>
  <c r="BC94" i="136"/>
  <c r="BD94" i="136"/>
  <c r="BA95" i="136"/>
  <c r="BB95" i="136"/>
  <c r="BC95" i="136"/>
  <c r="BD95" i="136"/>
  <c r="BA96" i="136"/>
  <c r="BB96" i="136"/>
  <c r="BC96" i="136"/>
  <c r="BD96" i="136"/>
  <c r="BA97" i="136"/>
  <c r="BB97" i="136"/>
  <c r="BC97" i="136"/>
  <c r="BD97" i="136"/>
  <c r="BA98" i="136"/>
  <c r="BB98" i="136"/>
  <c r="BC98" i="136"/>
  <c r="BD98" i="136"/>
  <c r="BA99" i="136"/>
  <c r="BB99" i="136"/>
  <c r="BC99" i="136"/>
  <c r="BD99" i="136"/>
  <c r="BA100" i="136"/>
  <c r="BB100" i="136"/>
  <c r="BC100" i="136"/>
  <c r="BD100" i="136"/>
  <c r="BA101" i="136"/>
  <c r="BB101" i="136"/>
  <c r="BC101" i="136"/>
  <c r="BD101" i="136"/>
  <c r="BA102" i="136"/>
  <c r="BB102" i="136"/>
  <c r="BC102" i="136"/>
  <c r="BD102" i="136"/>
  <c r="BA103" i="136"/>
  <c r="BB103" i="136"/>
  <c r="BC103" i="136"/>
  <c r="BD103" i="136"/>
  <c r="BA104" i="136"/>
  <c r="BB104" i="136"/>
  <c r="BC104" i="136"/>
  <c r="BD104" i="136"/>
  <c r="BA105" i="136"/>
  <c r="BB105" i="136"/>
  <c r="BC105" i="136"/>
  <c r="BD105" i="136"/>
  <c r="BA106" i="136"/>
  <c r="BB106" i="136"/>
  <c r="BC106" i="136"/>
  <c r="BD106" i="136"/>
  <c r="BA107" i="136"/>
  <c r="BB107" i="136"/>
  <c r="BC107" i="136"/>
  <c r="BD107" i="136"/>
  <c r="BA108" i="136"/>
  <c r="BB108" i="136"/>
  <c r="BC108" i="136"/>
  <c r="BD108" i="136"/>
  <c r="BA109" i="136"/>
  <c r="BB109" i="136"/>
  <c r="BC109" i="136"/>
  <c r="BD109" i="136"/>
  <c r="BA110" i="136"/>
  <c r="BB110" i="136"/>
  <c r="BC110" i="136"/>
  <c r="BD110" i="136"/>
  <c r="BA111" i="136"/>
  <c r="BB111" i="136"/>
  <c r="BC111" i="136"/>
  <c r="BD111" i="136"/>
  <c r="BA112" i="136"/>
  <c r="BB112" i="136"/>
  <c r="BC112" i="136"/>
  <c r="BD112" i="136"/>
  <c r="BA113" i="136"/>
  <c r="BB113" i="136"/>
  <c r="BC113" i="136"/>
  <c r="BD113" i="136"/>
  <c r="BA114" i="136"/>
  <c r="BB114" i="136"/>
  <c r="BC114" i="136"/>
  <c r="BD114" i="136"/>
  <c r="BA115" i="136"/>
  <c r="BB115" i="136"/>
  <c r="BC115" i="136"/>
  <c r="BD115" i="136"/>
  <c r="BA116" i="136"/>
  <c r="BB116" i="136"/>
  <c r="BC116" i="136"/>
  <c r="BD116" i="136"/>
  <c r="BA117" i="136"/>
  <c r="BB117" i="136"/>
  <c r="BC117" i="136"/>
  <c r="BD117" i="136"/>
  <c r="BA118" i="136"/>
  <c r="BB118" i="136"/>
  <c r="BC118" i="136"/>
  <c r="BD118" i="136"/>
  <c r="BA119" i="136"/>
  <c r="BB119" i="136"/>
  <c r="BC119" i="136"/>
  <c r="BD119" i="136"/>
  <c r="BA120" i="136"/>
  <c r="BB120" i="136"/>
  <c r="BC120" i="136"/>
  <c r="BD120" i="136"/>
  <c r="BA121" i="136"/>
  <c r="BB121" i="136"/>
  <c r="BC121" i="136"/>
  <c r="BD121" i="136"/>
  <c r="BA122" i="136"/>
  <c r="BB122" i="136"/>
  <c r="BC122" i="136"/>
  <c r="BD122" i="136"/>
  <c r="BA123" i="136"/>
  <c r="BB123" i="136"/>
  <c r="BC123" i="136"/>
  <c r="BD123" i="136"/>
  <c r="BA124" i="136"/>
  <c r="BB124" i="136"/>
  <c r="BC124" i="136"/>
  <c r="BD124" i="136"/>
  <c r="BA125" i="136"/>
  <c r="BB125" i="136"/>
  <c r="BC125" i="136"/>
  <c r="BD125" i="136"/>
  <c r="BA126" i="136"/>
  <c r="BB126" i="136"/>
  <c r="BC126" i="136"/>
  <c r="BD126" i="136"/>
  <c r="BA127" i="136"/>
  <c r="BB127" i="136"/>
  <c r="BC127" i="136"/>
  <c r="BD127" i="136"/>
  <c r="BA128" i="136"/>
  <c r="BB128" i="136"/>
  <c r="BC128" i="136"/>
  <c r="BD128" i="136"/>
  <c r="BA129" i="136"/>
  <c r="BB129" i="136"/>
  <c r="BC129" i="136"/>
  <c r="BD129" i="136"/>
  <c r="BA130" i="136"/>
  <c r="BB130" i="136"/>
  <c r="BC130" i="136"/>
  <c r="BD130" i="136"/>
  <c r="BA131" i="136"/>
  <c r="BB131" i="136"/>
  <c r="BC131" i="136"/>
  <c r="BD131" i="136"/>
  <c r="BA132" i="136"/>
  <c r="BB132" i="136"/>
  <c r="BC132" i="136"/>
  <c r="BD132" i="136"/>
  <c r="BA133" i="136"/>
  <c r="BB133" i="136"/>
  <c r="BC133" i="136"/>
  <c r="BD133" i="136"/>
  <c r="BA134" i="136"/>
  <c r="BB134" i="136"/>
  <c r="BC134" i="136"/>
  <c r="BD134" i="136"/>
  <c r="BA135" i="136"/>
  <c r="BB135" i="136"/>
  <c r="BC135" i="136"/>
  <c r="BD135" i="136"/>
  <c r="BA136" i="136"/>
  <c r="BB136" i="136"/>
  <c r="BC136" i="136"/>
  <c r="BD136" i="136"/>
  <c r="BA137" i="136"/>
  <c r="BB137" i="136"/>
  <c r="BC137" i="136"/>
  <c r="BD137" i="136"/>
  <c r="BA138" i="136"/>
  <c r="BB138" i="136"/>
  <c r="BC138" i="136"/>
  <c r="BD138" i="136"/>
  <c r="BA139" i="136"/>
  <c r="BB139" i="136"/>
  <c r="BC139" i="136"/>
  <c r="BD139" i="136"/>
  <c r="BA140" i="136"/>
  <c r="BB140" i="136"/>
  <c r="BC140" i="136"/>
  <c r="BD140" i="136"/>
  <c r="BA141" i="136"/>
  <c r="BB141" i="136"/>
  <c r="BC141" i="136"/>
  <c r="BD141" i="136"/>
  <c r="BA142" i="136"/>
  <c r="BB142" i="136"/>
  <c r="BC142" i="136"/>
  <c r="BD142" i="136"/>
  <c r="BB143" i="136"/>
  <c r="BC143" i="136"/>
  <c r="BD143" i="136"/>
  <c r="BB144" i="136"/>
  <c r="BC144" i="136"/>
  <c r="BD144" i="136"/>
  <c r="BA145" i="136"/>
  <c r="BB145" i="136"/>
  <c r="BC145" i="136"/>
  <c r="BD145" i="136"/>
  <c r="BA146" i="136"/>
  <c r="BB146" i="136"/>
  <c r="BC146" i="136"/>
  <c r="BD146" i="136"/>
  <c r="BA147" i="136"/>
  <c r="BB147" i="136"/>
  <c r="BC147" i="136"/>
  <c r="BD147" i="136"/>
  <c r="BA148" i="136"/>
  <c r="BB148" i="136"/>
  <c r="BC148" i="136"/>
  <c r="BD148" i="136"/>
  <c r="BA149" i="136"/>
  <c r="BB149" i="136"/>
  <c r="BC149" i="136"/>
  <c r="BD149" i="136"/>
  <c r="BA150" i="136"/>
  <c r="BB150" i="136"/>
  <c r="BC150" i="136"/>
  <c r="BD150" i="136"/>
  <c r="BC151" i="136"/>
  <c r="BA152" i="136"/>
  <c r="BC152" i="136"/>
  <c r="BD152" i="136"/>
  <c r="BA153" i="136"/>
  <c r="P309" i="39" s="1"/>
  <c r="BC153" i="136"/>
  <c r="BD153" i="136"/>
  <c r="BA154" i="136"/>
  <c r="BB154" i="136"/>
  <c r="BC154" i="136"/>
  <c r="BD154" i="136"/>
  <c r="BB3" i="136"/>
  <c r="BC3" i="136"/>
  <c r="BD3" i="136"/>
  <c r="AT4" i="136"/>
  <c r="AA11" i="4" s="1"/>
  <c r="AT5" i="136"/>
  <c r="AA12" i="4" s="1"/>
  <c r="AT6" i="136"/>
  <c r="AA13" i="4" s="1"/>
  <c r="AT7" i="136"/>
  <c r="AA14" i="4" s="1"/>
  <c r="AT8" i="136"/>
  <c r="AA15" i="4" s="1"/>
  <c r="AT9" i="136"/>
  <c r="AA17" i="4" s="1"/>
  <c r="AT10" i="136"/>
  <c r="AA18" i="4" s="1"/>
  <c r="AT11" i="136"/>
  <c r="AA19" i="4" s="1"/>
  <c r="AT12" i="136"/>
  <c r="AA20" i="4" s="1"/>
  <c r="AT13" i="136"/>
  <c r="AA21" i="4" s="1"/>
  <c r="AT14" i="136"/>
  <c r="AA23" i="4" s="1"/>
  <c r="AT15" i="136"/>
  <c r="AA26" i="4" s="1"/>
  <c r="AT16" i="136"/>
  <c r="AA27" i="4" s="1"/>
  <c r="AT17" i="136"/>
  <c r="AA28" i="4" s="1"/>
  <c r="AT18" i="136"/>
  <c r="AA33" i="4" s="1"/>
  <c r="AT19" i="136"/>
  <c r="AA34" i="4" s="1"/>
  <c r="AT20" i="136"/>
  <c r="AA36" i="4" s="1"/>
  <c r="AT21" i="136"/>
  <c r="AA42" i="4" s="1"/>
  <c r="AT22" i="136"/>
  <c r="AA43" i="4" s="1"/>
  <c r="AT23" i="136"/>
  <c r="AA44" i="4" s="1"/>
  <c r="AT24" i="136"/>
  <c r="AA45" i="4" s="1"/>
  <c r="AT25" i="136"/>
  <c r="AA46" i="4" s="1"/>
  <c r="AT26" i="136"/>
  <c r="AA47" i="4" s="1"/>
  <c r="AT27" i="136"/>
  <c r="AA49" i="4" s="1"/>
  <c r="AT28" i="136"/>
  <c r="AA50" i="4" s="1"/>
  <c r="AT29" i="136"/>
  <c r="AA51" i="4" s="1"/>
  <c r="AT30" i="136"/>
  <c r="AA52" i="4" s="1"/>
  <c r="AT31" i="136"/>
  <c r="AA54" i="4" s="1"/>
  <c r="AT32" i="136"/>
  <c r="AA57" i="4" s="1"/>
  <c r="AT33" i="136"/>
  <c r="AA58" i="4" s="1"/>
  <c r="AT34" i="136"/>
  <c r="AA59" i="4" s="1"/>
  <c r="AT35" i="136"/>
  <c r="AA60" i="4" s="1"/>
  <c r="AT36" i="136"/>
  <c r="AA61" i="4" s="1"/>
  <c r="AT37" i="136"/>
  <c r="AA62" i="4" s="1"/>
  <c r="AT38" i="136"/>
  <c r="AA64" i="4" s="1"/>
  <c r="AT39" i="136"/>
  <c r="AA65" i="4" s="1"/>
  <c r="AT40" i="136"/>
  <c r="AA66" i="4" s="1"/>
  <c r="AT41" i="136"/>
  <c r="AA67" i="4" s="1"/>
  <c r="AT42" i="136"/>
  <c r="AA73" i="4" s="1"/>
  <c r="AT43" i="136"/>
  <c r="AA74" i="4" s="1"/>
  <c r="AT44" i="136"/>
  <c r="AA75" i="4" s="1"/>
  <c r="AT45" i="136"/>
  <c r="AA76" i="4" s="1"/>
  <c r="AT46" i="136"/>
  <c r="AA77" i="4" s="1"/>
  <c r="AT47" i="136"/>
  <c r="AA80" i="4" s="1"/>
  <c r="AT48" i="136"/>
  <c r="AA83" i="4" s="1"/>
  <c r="AT49" i="136"/>
  <c r="AA85" i="4" s="1"/>
  <c r="AT50" i="136"/>
  <c r="AA89" i="4" s="1"/>
  <c r="AT51" i="136"/>
  <c r="AA97" i="4" s="1"/>
  <c r="AT52" i="136"/>
  <c r="AA101" i="4" s="1"/>
  <c r="AT53" i="136"/>
  <c r="AA103" i="4" s="1"/>
  <c r="AT54" i="136"/>
  <c r="AA104" i="4" s="1"/>
  <c r="AT55" i="136"/>
  <c r="AA105" i="4" s="1"/>
  <c r="AT56" i="136"/>
  <c r="AA106" i="4" s="1"/>
  <c r="AT57" i="136"/>
  <c r="AA107" i="4" s="1"/>
  <c r="AT58" i="136"/>
  <c r="AA110" i="4" s="1"/>
  <c r="AT59" i="136"/>
  <c r="AA111" i="4" s="1"/>
  <c r="AT60" i="136"/>
  <c r="AA112" i="4" s="1"/>
  <c r="AT61" i="136"/>
  <c r="AA113" i="4" s="1"/>
  <c r="AT62" i="136"/>
  <c r="AA114" i="4" s="1"/>
  <c r="AT63" i="136"/>
  <c r="AA116" i="4" s="1"/>
  <c r="AT64" i="136"/>
  <c r="AA118" i="4" s="1"/>
  <c r="AT65" i="136"/>
  <c r="AA120" i="4" s="1"/>
  <c r="AT66" i="136"/>
  <c r="AA121" i="4" s="1"/>
  <c r="AT67" i="136"/>
  <c r="AA122" i="4" s="1"/>
  <c r="AT68" i="136"/>
  <c r="AA124" i="4" s="1"/>
  <c r="AT69" i="136"/>
  <c r="AA125" i="4" s="1"/>
  <c r="AT70" i="136"/>
  <c r="AA126" i="4" s="1"/>
  <c r="AT71" i="136"/>
  <c r="AA128" i="4" s="1"/>
  <c r="AT72" i="136"/>
  <c r="AA129" i="4" s="1"/>
  <c r="AT73" i="136"/>
  <c r="AA130" i="4" s="1"/>
  <c r="AT74" i="136"/>
  <c r="AA131" i="4" s="1"/>
  <c r="AT75" i="136"/>
  <c r="AA132" i="4" s="1"/>
  <c r="AT76" i="136"/>
  <c r="AA133" i="4" s="1"/>
  <c r="AT77" i="136"/>
  <c r="AA135" i="4" s="1"/>
  <c r="AT78" i="136"/>
  <c r="AA136" i="4" s="1"/>
  <c r="AT79" i="136"/>
  <c r="AA140" i="4" s="1"/>
  <c r="AT80" i="136"/>
  <c r="AA143" i="4" s="1"/>
  <c r="AT81" i="136"/>
  <c r="AA144" i="4" s="1"/>
  <c r="AT82" i="136"/>
  <c r="AA145" i="4" s="1"/>
  <c r="AT83" i="136"/>
  <c r="AA146" i="4" s="1"/>
  <c r="AT84" i="136"/>
  <c r="AA156" i="4" s="1"/>
  <c r="AT85" i="136"/>
  <c r="AA165" i="4" s="1"/>
  <c r="AT86" i="136"/>
  <c r="AA172" i="4" s="1"/>
  <c r="AT87" i="136"/>
  <c r="AA187" i="4" s="1"/>
  <c r="AT88" i="136"/>
  <c r="AA188" i="4" s="1"/>
  <c r="AT89" i="136"/>
  <c r="AA189" i="4" s="1"/>
  <c r="AT90" i="136"/>
  <c r="AA194" i="4" s="1"/>
  <c r="AT91" i="136"/>
  <c r="AA202" i="4" s="1"/>
  <c r="AT92" i="136"/>
  <c r="AA203" i="4" s="1"/>
  <c r="AT93" i="136"/>
  <c r="AA204" i="4" s="1"/>
  <c r="AT3" i="136"/>
  <c r="AA10" i="4" s="1"/>
  <c r="Z61" i="35"/>
  <c r="Z33" i="35"/>
  <c r="Z35" i="35"/>
  <c r="Z11" i="35"/>
  <c r="BJ4" i="137"/>
  <c r="BK4" i="137"/>
  <c r="BL4" i="137"/>
  <c r="BJ5" i="137"/>
  <c r="BK5" i="137"/>
  <c r="BL5" i="137"/>
  <c r="BJ6" i="137"/>
  <c r="BK6" i="137"/>
  <c r="BL6" i="137"/>
  <c r="BJ7" i="137"/>
  <c r="BK7" i="137"/>
  <c r="BL7" i="137"/>
  <c r="BJ8" i="137"/>
  <c r="BK8" i="137"/>
  <c r="BL8" i="137"/>
  <c r="BJ9" i="137"/>
  <c r="BK9" i="137"/>
  <c r="BL9" i="137"/>
  <c r="BJ10" i="137"/>
  <c r="BK10" i="137"/>
  <c r="BL10" i="137"/>
  <c r="BJ11" i="137"/>
  <c r="BK11" i="137"/>
  <c r="BL11" i="137"/>
  <c r="BJ12" i="137"/>
  <c r="BK12" i="137"/>
  <c r="BL12" i="137"/>
  <c r="BJ13" i="137"/>
  <c r="BK13" i="137"/>
  <c r="BL13" i="137"/>
  <c r="BJ14" i="137"/>
  <c r="BK14" i="137"/>
  <c r="BL14" i="137"/>
  <c r="BJ15" i="137"/>
  <c r="BK15" i="137"/>
  <c r="BL15" i="137"/>
  <c r="BJ16" i="137"/>
  <c r="BK16" i="137"/>
  <c r="BL16" i="137"/>
  <c r="BJ17" i="137"/>
  <c r="BK17" i="137"/>
  <c r="BL17" i="137"/>
  <c r="BJ18" i="137"/>
  <c r="BK18" i="137"/>
  <c r="BL18" i="137"/>
  <c r="BJ19" i="137"/>
  <c r="BK19" i="137"/>
  <c r="BL19" i="137"/>
  <c r="BJ20" i="137"/>
  <c r="BK20" i="137"/>
  <c r="BL20" i="137"/>
  <c r="BJ21" i="137"/>
  <c r="BK21" i="137"/>
  <c r="BL21" i="137"/>
  <c r="BJ22" i="137"/>
  <c r="BK22" i="137"/>
  <c r="BL22" i="137"/>
  <c r="BJ23" i="137"/>
  <c r="BK23" i="137"/>
  <c r="BL23" i="137"/>
  <c r="BJ24" i="137"/>
  <c r="BK24" i="137"/>
  <c r="BL24" i="137"/>
  <c r="BJ25" i="137"/>
  <c r="BK25" i="137"/>
  <c r="BL25" i="137"/>
  <c r="BJ26" i="137"/>
  <c r="BK26" i="137"/>
  <c r="BL26" i="137"/>
  <c r="BJ27" i="137"/>
  <c r="BK27" i="137"/>
  <c r="BL27" i="137"/>
  <c r="BJ28" i="137"/>
  <c r="BK28" i="137"/>
  <c r="BL28" i="137"/>
  <c r="BJ29" i="137"/>
  <c r="BK29" i="137"/>
  <c r="BL29" i="137"/>
  <c r="BJ30" i="137"/>
  <c r="BK30" i="137"/>
  <c r="BL30" i="137"/>
  <c r="BJ31" i="137"/>
  <c r="BK31" i="137"/>
  <c r="BL31" i="137"/>
  <c r="BK32" i="137"/>
  <c r="BL32" i="137"/>
  <c r="BK33" i="137"/>
  <c r="BL33" i="137"/>
  <c r="BJ34" i="137"/>
  <c r="P47" i="35" s="1"/>
  <c r="BK34" i="137"/>
  <c r="BL34" i="137"/>
  <c r="BJ35" i="137"/>
  <c r="BK35" i="137"/>
  <c r="BL35" i="137"/>
  <c r="BJ36" i="137"/>
  <c r="BK36" i="137"/>
  <c r="BL36" i="137"/>
  <c r="BJ37" i="137"/>
  <c r="BK37" i="137"/>
  <c r="BL37" i="137"/>
  <c r="BJ38" i="137"/>
  <c r="BK38" i="137"/>
  <c r="BL38" i="137"/>
  <c r="BJ39" i="137"/>
  <c r="BK39" i="137"/>
  <c r="BL39" i="137"/>
  <c r="BJ40" i="137"/>
  <c r="BK40" i="137"/>
  <c r="BL40" i="137"/>
  <c r="BJ41" i="137"/>
  <c r="BK41" i="137"/>
  <c r="BL41" i="137"/>
  <c r="BJ42" i="137"/>
  <c r="BK42" i="137"/>
  <c r="BL42" i="137"/>
  <c r="BK3" i="137"/>
  <c r="BJ3" i="137"/>
  <c r="BA4" i="137"/>
  <c r="Z22" i="35" s="1"/>
  <c r="BA5" i="137"/>
  <c r="Z28" i="35" s="1"/>
  <c r="BA6" i="137"/>
  <c r="Z29" i="35" s="1"/>
  <c r="BA7" i="137"/>
  <c r="Z30" i="35" s="1"/>
  <c r="BA8" i="137"/>
  <c r="Z32" i="35" s="1"/>
  <c r="BA9" i="137"/>
  <c r="Z39" i="35" s="1"/>
  <c r="BA10" i="137"/>
  <c r="Z56" i="35" s="1"/>
  <c r="BA11" i="137"/>
  <c r="Z57" i="35" s="1"/>
  <c r="BA12" i="137"/>
  <c r="Z59" i="35" s="1"/>
  <c r="Q59" i="35" s="1"/>
  <c r="R59" i="35" s="1"/>
  <c r="Z26" i="35"/>
  <c r="BM4" i="138"/>
  <c r="BN4" i="138"/>
  <c r="BO4" i="138"/>
  <c r="BM5" i="138"/>
  <c r="BN5" i="138"/>
  <c r="BO5" i="138"/>
  <c r="BM6" i="138"/>
  <c r="BN6" i="138"/>
  <c r="BO6" i="138"/>
  <c r="BM7" i="138"/>
  <c r="BN7" i="138"/>
  <c r="BO7" i="138"/>
  <c r="BM8" i="138"/>
  <c r="BN8" i="138"/>
  <c r="BO8" i="138"/>
  <c r="BM9" i="138"/>
  <c r="BN9" i="138"/>
  <c r="BO9" i="138"/>
  <c r="BM10" i="138"/>
  <c r="BN10" i="138"/>
  <c r="BO10" i="138"/>
  <c r="BM11" i="138"/>
  <c r="BN11" i="138"/>
  <c r="BO11" i="138"/>
  <c r="BM12" i="138"/>
  <c r="BN12" i="138"/>
  <c r="BO12" i="138"/>
  <c r="BM13" i="138"/>
  <c r="BN13" i="138"/>
  <c r="BO13" i="138"/>
  <c r="BM14" i="138"/>
  <c r="BN14" i="138"/>
  <c r="BO14" i="138"/>
  <c r="BM15" i="138"/>
  <c r="BN15" i="138"/>
  <c r="BO15" i="138"/>
  <c r="BM16" i="138"/>
  <c r="BN16" i="138"/>
  <c r="BO16" i="138"/>
  <c r="BM17" i="138"/>
  <c r="BN17" i="138"/>
  <c r="BO17" i="138"/>
  <c r="BM18" i="138"/>
  <c r="BN18" i="138"/>
  <c r="BO18" i="138"/>
  <c r="BM19" i="138"/>
  <c r="BN19" i="138"/>
  <c r="BO19" i="138"/>
  <c r="BM20" i="138"/>
  <c r="BN20" i="138"/>
  <c r="BO20" i="138"/>
  <c r="BM21" i="138"/>
  <c r="BN21" i="138"/>
  <c r="BO21" i="138"/>
  <c r="BM22" i="138"/>
  <c r="BN22" i="138"/>
  <c r="BO22" i="138"/>
  <c r="BM23" i="138"/>
  <c r="BN23" i="138"/>
  <c r="BO23" i="138"/>
  <c r="BM24" i="138"/>
  <c r="BN24" i="138"/>
  <c r="BO24" i="138"/>
  <c r="BM25" i="138"/>
  <c r="BN25" i="138"/>
  <c r="BO25" i="138"/>
  <c r="BM26" i="138"/>
  <c r="BN26" i="138"/>
  <c r="BO26" i="138"/>
  <c r="BM27" i="138"/>
  <c r="BN27" i="138"/>
  <c r="BO27" i="138"/>
  <c r="BM28" i="138"/>
  <c r="BN28" i="138"/>
  <c r="BO28" i="138"/>
  <c r="BM29" i="138"/>
  <c r="BN29" i="138"/>
  <c r="BO29" i="138"/>
  <c r="BM30" i="138"/>
  <c r="BN30" i="138"/>
  <c r="BO30" i="138"/>
  <c r="BM31" i="138"/>
  <c r="BN31" i="138"/>
  <c r="BO31" i="138"/>
  <c r="BM32" i="138"/>
  <c r="BN32" i="138"/>
  <c r="BO32" i="138"/>
  <c r="BM33" i="138"/>
  <c r="BN33" i="138"/>
  <c r="BO33" i="138"/>
  <c r="BM34" i="138"/>
  <c r="BN34" i="138"/>
  <c r="BO34" i="138"/>
  <c r="BM35" i="138"/>
  <c r="BN35" i="138"/>
  <c r="BO35" i="138"/>
  <c r="BM36" i="138"/>
  <c r="BN36" i="138"/>
  <c r="BO36" i="138"/>
  <c r="BM37" i="138"/>
  <c r="BN37" i="138"/>
  <c r="BO37" i="138"/>
  <c r="BM38" i="138"/>
  <c r="BN38" i="138"/>
  <c r="BO38" i="138"/>
  <c r="BM39" i="138"/>
  <c r="BN39" i="138"/>
  <c r="BO39" i="138"/>
  <c r="BM40" i="138"/>
  <c r="BN40" i="138"/>
  <c r="BO40" i="138"/>
  <c r="BM41" i="138"/>
  <c r="BN41" i="138"/>
  <c r="BO41" i="138"/>
  <c r="BM42" i="138"/>
  <c r="BN42" i="138"/>
  <c r="BO42" i="138"/>
  <c r="BM43" i="138"/>
  <c r="BN43" i="138"/>
  <c r="BO43" i="138"/>
  <c r="BM44" i="138"/>
  <c r="BN44" i="138"/>
  <c r="BO44" i="138"/>
  <c r="BM45" i="138"/>
  <c r="BN45" i="138"/>
  <c r="BO45" i="138"/>
  <c r="BM46" i="138"/>
  <c r="BN46" i="138"/>
  <c r="BO46" i="138"/>
  <c r="BM47" i="138"/>
  <c r="BN47" i="138"/>
  <c r="BO47" i="138"/>
  <c r="BN48" i="138"/>
  <c r="BO48" i="138"/>
  <c r="BN49" i="138"/>
  <c r="BO49" i="138"/>
  <c r="BN3" i="138"/>
  <c r="BO3" i="138"/>
  <c r="BM3" i="138"/>
  <c r="BD4" i="138"/>
  <c r="Z17" i="37" s="1"/>
  <c r="BD5" i="138"/>
  <c r="Z18" i="37" s="1"/>
  <c r="BD6" i="138"/>
  <c r="Z46" i="37" s="1"/>
  <c r="BD7" i="138"/>
  <c r="Z47" i="37" s="1"/>
  <c r="BD8" i="138"/>
  <c r="Z48" i="37" s="1"/>
  <c r="BD9" i="138"/>
  <c r="Z49" i="37" s="1"/>
  <c r="BD10" i="138"/>
  <c r="Z51" i="37" s="1"/>
  <c r="BD11" i="138"/>
  <c r="Z52" i="37" s="1"/>
  <c r="Q52" i="37" s="1"/>
  <c r="R52" i="37" s="1"/>
  <c r="BD12" i="138"/>
  <c r="Z53" i="37" s="1"/>
  <c r="BD13" i="138"/>
  <c r="Z54" i="37" s="1"/>
  <c r="BD14" i="138"/>
  <c r="Z56" i="37" s="1"/>
  <c r="BD15" i="138"/>
  <c r="Z59" i="37" s="1"/>
  <c r="BD3" i="138"/>
  <c r="Z15" i="37" s="1"/>
  <c r="AK4" i="139"/>
  <c r="AL4" i="139"/>
  <c r="AM4" i="139"/>
  <c r="AK5" i="139"/>
  <c r="AL5" i="139"/>
  <c r="AM5" i="139"/>
  <c r="AK6" i="139"/>
  <c r="AL6" i="139"/>
  <c r="AM6" i="139"/>
  <c r="AK7" i="139"/>
  <c r="AL7" i="139"/>
  <c r="AM7" i="139"/>
  <c r="AK8" i="139"/>
  <c r="AL8" i="139"/>
  <c r="AM8" i="139"/>
  <c r="AL3" i="139"/>
  <c r="AM3" i="139"/>
  <c r="AK3" i="139"/>
  <c r="AD4" i="139"/>
  <c r="AD3" i="139"/>
  <c r="X33" i="54" s="1"/>
  <c r="X32" i="54" s="1"/>
  <c r="X9" i="54" s="1"/>
  <c r="AR4" i="137"/>
  <c r="AS4" i="137"/>
  <c r="AT4" i="137"/>
  <c r="AR5" i="137"/>
  <c r="AS5" i="137"/>
  <c r="AT5" i="137"/>
  <c r="AR6" i="137"/>
  <c r="AS6" i="137"/>
  <c r="AT6" i="137"/>
  <c r="AR7" i="137"/>
  <c r="AS7" i="137"/>
  <c r="AT7" i="137"/>
  <c r="AR8" i="137"/>
  <c r="AS8" i="137"/>
  <c r="AT8" i="137"/>
  <c r="AR9" i="137"/>
  <c r="AS9" i="137"/>
  <c r="AT9" i="137"/>
  <c r="AR10" i="137"/>
  <c r="AS10" i="137"/>
  <c r="AT10" i="137"/>
  <c r="AR11" i="137"/>
  <c r="AS11" i="137"/>
  <c r="AT11" i="137"/>
  <c r="AR12" i="137"/>
  <c r="AS12" i="137"/>
  <c r="AT12" i="137"/>
  <c r="AR13" i="137"/>
  <c r="AS13" i="137"/>
  <c r="AT13" i="137"/>
  <c r="AR14" i="137"/>
  <c r="AS14" i="137"/>
  <c r="AT14" i="137"/>
  <c r="AR15" i="137"/>
  <c r="AS15" i="137"/>
  <c r="AT15" i="137"/>
  <c r="AR16" i="137"/>
  <c r="AS16" i="137"/>
  <c r="AT16" i="137"/>
  <c r="AR17" i="137"/>
  <c r="AS17" i="137"/>
  <c r="AT17" i="137"/>
  <c r="AR18" i="137"/>
  <c r="AS18" i="137"/>
  <c r="AT18" i="137"/>
  <c r="AR19" i="137"/>
  <c r="AS19" i="137"/>
  <c r="AT19" i="137"/>
  <c r="AR20" i="137"/>
  <c r="AS20" i="137"/>
  <c r="AT20" i="137"/>
  <c r="AR21" i="137"/>
  <c r="AS21" i="137"/>
  <c r="AT21" i="137"/>
  <c r="AR22" i="137"/>
  <c r="AS22" i="137"/>
  <c r="AT22" i="137"/>
  <c r="AR23" i="137"/>
  <c r="AS23" i="137"/>
  <c r="AT23" i="137"/>
  <c r="AR24" i="137"/>
  <c r="AS24" i="137"/>
  <c r="AT24" i="137"/>
  <c r="AR25" i="137"/>
  <c r="AS25" i="137"/>
  <c r="AT25" i="137"/>
  <c r="AR26" i="137"/>
  <c r="AS26" i="137"/>
  <c r="AT26" i="137"/>
  <c r="AR27" i="137"/>
  <c r="AS27" i="137"/>
  <c r="AT27" i="137"/>
  <c r="AR28" i="137"/>
  <c r="AS28" i="137"/>
  <c r="AT28" i="137"/>
  <c r="AR29" i="137"/>
  <c r="AS29" i="137"/>
  <c r="AT29" i="137"/>
  <c r="AR30" i="137"/>
  <c r="AS30" i="137"/>
  <c r="AT30" i="137"/>
  <c r="AR31" i="137"/>
  <c r="AS31" i="137"/>
  <c r="AT31" i="137"/>
  <c r="AR32" i="137"/>
  <c r="AS32" i="137"/>
  <c r="AT32" i="137"/>
  <c r="AR33" i="137"/>
  <c r="AS33" i="137"/>
  <c r="AT33" i="137"/>
  <c r="AR34" i="137"/>
  <c r="AS34" i="137"/>
  <c r="AT34" i="137"/>
  <c r="AR35" i="137"/>
  <c r="AS35" i="137"/>
  <c r="AT35" i="137"/>
  <c r="AR36" i="137"/>
  <c r="AS36" i="137"/>
  <c r="AT36" i="137"/>
  <c r="AR37" i="137"/>
  <c r="AS37" i="137"/>
  <c r="AT37" i="137"/>
  <c r="AR38" i="137"/>
  <c r="AS38" i="137"/>
  <c r="AT38" i="137"/>
  <c r="AR39" i="137"/>
  <c r="AS39" i="137"/>
  <c r="AT39" i="137"/>
  <c r="AR40" i="137"/>
  <c r="AS40" i="137"/>
  <c r="AT40" i="137"/>
  <c r="AR41" i="137"/>
  <c r="AS41" i="137"/>
  <c r="AT41" i="137"/>
  <c r="AR42" i="137"/>
  <c r="AS42" i="137"/>
  <c r="AT42" i="137"/>
  <c r="AR43" i="137"/>
  <c r="AS43" i="137"/>
  <c r="AT43" i="137"/>
  <c r="AR44" i="137"/>
  <c r="AS44" i="137"/>
  <c r="AT44" i="137"/>
  <c r="AR45" i="137"/>
  <c r="AS45" i="137"/>
  <c r="AT45" i="137"/>
  <c r="AR46" i="137"/>
  <c r="AS46" i="137"/>
  <c r="AT46" i="137"/>
  <c r="AR47" i="137"/>
  <c r="AS47" i="137"/>
  <c r="AT47" i="137"/>
  <c r="AR48" i="137"/>
  <c r="AS48" i="137"/>
  <c r="AT48" i="137"/>
  <c r="AS3" i="137"/>
  <c r="AT3" i="137"/>
  <c r="AR3" i="137"/>
  <c r="AI4" i="137"/>
  <c r="X22" i="35" s="1"/>
  <c r="AI5" i="137"/>
  <c r="X30" i="35" s="1"/>
  <c r="AI6" i="137"/>
  <c r="X28" i="35" s="1"/>
  <c r="AI7" i="137"/>
  <c r="X29" i="35" s="1"/>
  <c r="AI8" i="137"/>
  <c r="X32" i="35" s="1"/>
  <c r="AI9" i="137"/>
  <c r="X42" i="35" s="1"/>
  <c r="X37" i="35" s="1"/>
  <c r="AI10" i="137"/>
  <c r="X57" i="35" s="1"/>
  <c r="X55" i="35" s="1"/>
  <c r="X54" i="35" s="1"/>
  <c r="X53" i="35" s="1"/>
  <c r="AI3" i="137"/>
  <c r="X26" i="35" s="1"/>
  <c r="P228" i="39"/>
  <c r="P227" i="39" s="1"/>
  <c r="P235" i="39"/>
  <c r="P239" i="39"/>
  <c r="P243" i="39"/>
  <c r="P244" i="39"/>
  <c r="P245" i="39"/>
  <c r="P246" i="39"/>
  <c r="P247" i="39"/>
  <c r="P248" i="39"/>
  <c r="P249" i="39"/>
  <c r="P250" i="39"/>
  <c r="P251" i="39"/>
  <c r="P252" i="39"/>
  <c r="P253" i="39"/>
  <c r="P254" i="39"/>
  <c r="P255" i="39"/>
  <c r="P256" i="39"/>
  <c r="P257" i="39"/>
  <c r="P258" i="39"/>
  <c r="P259" i="39"/>
  <c r="P261" i="39"/>
  <c r="P263" i="39"/>
  <c r="P264" i="39"/>
  <c r="P265" i="39"/>
  <c r="P266" i="39"/>
  <c r="P282" i="39"/>
  <c r="P284" i="39"/>
  <c r="P285" i="39"/>
  <c r="P290" i="39"/>
  <c r="P291" i="39"/>
  <c r="P292" i="39"/>
  <c r="P293" i="39"/>
  <c r="P294" i="39"/>
  <c r="P310" i="39"/>
  <c r="H213" i="39"/>
  <c r="H207" i="39" s="1"/>
  <c r="H196" i="39"/>
  <c r="G196" i="39"/>
  <c r="AL4" i="136"/>
  <c r="AM4" i="136"/>
  <c r="AN4" i="136"/>
  <c r="AO4" i="136"/>
  <c r="AL5" i="136"/>
  <c r="AM5" i="136"/>
  <c r="AN5" i="136"/>
  <c r="AO5" i="136"/>
  <c r="AL6" i="136"/>
  <c r="AM6" i="136"/>
  <c r="AN6" i="136"/>
  <c r="AO6" i="136"/>
  <c r="AL7" i="136"/>
  <c r="AM7" i="136"/>
  <c r="AN7" i="136"/>
  <c r="AO7" i="136"/>
  <c r="AL8" i="136"/>
  <c r="AM8" i="136"/>
  <c r="AN8" i="136"/>
  <c r="AO8" i="136"/>
  <c r="AL9" i="136"/>
  <c r="AM9" i="136"/>
  <c r="AN9" i="136"/>
  <c r="AO9" i="136"/>
  <c r="AL10" i="136"/>
  <c r="AM10" i="136"/>
  <c r="AN10" i="136"/>
  <c r="AO10" i="136"/>
  <c r="AL11" i="136"/>
  <c r="AM11" i="136"/>
  <c r="AN11" i="136"/>
  <c r="AO11" i="136"/>
  <c r="AL12" i="136"/>
  <c r="AM12" i="136"/>
  <c r="AN12" i="136"/>
  <c r="AO12" i="136"/>
  <c r="AL13" i="136"/>
  <c r="AM13" i="136"/>
  <c r="AN13" i="136"/>
  <c r="AO13" i="136"/>
  <c r="AL14" i="136"/>
  <c r="AM14" i="136"/>
  <c r="AN14" i="136"/>
  <c r="AO14" i="136"/>
  <c r="AL15" i="136"/>
  <c r="AM15" i="136"/>
  <c r="AN15" i="136"/>
  <c r="AO15" i="136"/>
  <c r="AL16" i="136"/>
  <c r="AM16" i="136"/>
  <c r="AN16" i="136"/>
  <c r="AO16" i="136"/>
  <c r="AL17" i="136"/>
  <c r="AM17" i="136"/>
  <c r="AN17" i="136"/>
  <c r="AO17" i="136"/>
  <c r="AL18" i="136"/>
  <c r="AM18" i="136"/>
  <c r="AN18" i="136"/>
  <c r="AO18" i="136"/>
  <c r="AL19" i="136"/>
  <c r="AM19" i="136"/>
  <c r="AN19" i="136"/>
  <c r="AO19" i="136"/>
  <c r="AL20" i="136"/>
  <c r="AM20" i="136"/>
  <c r="AN20" i="136"/>
  <c r="AO20" i="136"/>
  <c r="AL21" i="136"/>
  <c r="AM21" i="136"/>
  <c r="AN21" i="136"/>
  <c r="AO21" i="136"/>
  <c r="AL22" i="136"/>
  <c r="AM22" i="136"/>
  <c r="AN22" i="136"/>
  <c r="AO22" i="136"/>
  <c r="AL23" i="136"/>
  <c r="AM23" i="136"/>
  <c r="AN23" i="136"/>
  <c r="AO23" i="136"/>
  <c r="AL24" i="136"/>
  <c r="AM24" i="136"/>
  <c r="AN24" i="136"/>
  <c r="AO24" i="136"/>
  <c r="AL25" i="136"/>
  <c r="AM25" i="136"/>
  <c r="AN25" i="136"/>
  <c r="AO25" i="136"/>
  <c r="AL26" i="136"/>
  <c r="AM26" i="136"/>
  <c r="AN26" i="136"/>
  <c r="AO26" i="136"/>
  <c r="AL27" i="136"/>
  <c r="AM27" i="136"/>
  <c r="AN27" i="136"/>
  <c r="AO27" i="136"/>
  <c r="AL28" i="136"/>
  <c r="AM28" i="136"/>
  <c r="AN28" i="136"/>
  <c r="AO28" i="136"/>
  <c r="AL29" i="136"/>
  <c r="AM29" i="136"/>
  <c r="AN29" i="136"/>
  <c r="AO29" i="136"/>
  <c r="AL30" i="136"/>
  <c r="AM30" i="136"/>
  <c r="AN30" i="136"/>
  <c r="AO30" i="136"/>
  <c r="AL31" i="136"/>
  <c r="AM31" i="136"/>
  <c r="AN31" i="136"/>
  <c r="AO31" i="136"/>
  <c r="AL32" i="136"/>
  <c r="AM32" i="136"/>
  <c r="AN32" i="136"/>
  <c r="AO32" i="136"/>
  <c r="AL33" i="136"/>
  <c r="AM33" i="136"/>
  <c r="AN33" i="136"/>
  <c r="AO33" i="136"/>
  <c r="AL34" i="136"/>
  <c r="AM34" i="136"/>
  <c r="AN34" i="136"/>
  <c r="AO34" i="136"/>
  <c r="AL35" i="136"/>
  <c r="AM35" i="136"/>
  <c r="AN35" i="136"/>
  <c r="AO35" i="136"/>
  <c r="AL36" i="136"/>
  <c r="AM36" i="136"/>
  <c r="AN36" i="136"/>
  <c r="AO36" i="136"/>
  <c r="AL37" i="136"/>
  <c r="AM37" i="136"/>
  <c r="AN37" i="136"/>
  <c r="AO37" i="136"/>
  <c r="AL38" i="136"/>
  <c r="AM38" i="136"/>
  <c r="AN38" i="136"/>
  <c r="AO38" i="136"/>
  <c r="AL39" i="136"/>
  <c r="AM39" i="136"/>
  <c r="AN39" i="136"/>
  <c r="AO39" i="136"/>
  <c r="AL40" i="136"/>
  <c r="AM40" i="136"/>
  <c r="AN40" i="136"/>
  <c r="AO40" i="136"/>
  <c r="AL41" i="136"/>
  <c r="AM41" i="136"/>
  <c r="AN41" i="136"/>
  <c r="AO41" i="136"/>
  <c r="AL42" i="136"/>
  <c r="AM42" i="136"/>
  <c r="AN42" i="136"/>
  <c r="AO42" i="136"/>
  <c r="AL43" i="136"/>
  <c r="AM43" i="136"/>
  <c r="AN43" i="136"/>
  <c r="AO43" i="136"/>
  <c r="AL44" i="136"/>
  <c r="AM44" i="136"/>
  <c r="AN44" i="136"/>
  <c r="AO44" i="136"/>
  <c r="AL45" i="136"/>
  <c r="AM45" i="136"/>
  <c r="AN45" i="136"/>
  <c r="AO45" i="136"/>
  <c r="AL46" i="136"/>
  <c r="AM46" i="136"/>
  <c r="AN46" i="136"/>
  <c r="AO46" i="136"/>
  <c r="AL47" i="136"/>
  <c r="AM47" i="136"/>
  <c r="AN47" i="136"/>
  <c r="AO47" i="136"/>
  <c r="AL48" i="136"/>
  <c r="AM48" i="136"/>
  <c r="AN48" i="136"/>
  <c r="AO48" i="136"/>
  <c r="AL49" i="136"/>
  <c r="AM49" i="136"/>
  <c r="AN49" i="136"/>
  <c r="AO49" i="136"/>
  <c r="AL50" i="136"/>
  <c r="AM50" i="136"/>
  <c r="AN50" i="136"/>
  <c r="AO50" i="136"/>
  <c r="AL51" i="136"/>
  <c r="AM51" i="136"/>
  <c r="AN51" i="136"/>
  <c r="AO51" i="136"/>
  <c r="AL52" i="136"/>
  <c r="AM52" i="136"/>
  <c r="AN52" i="136"/>
  <c r="AO52" i="136"/>
  <c r="AL53" i="136"/>
  <c r="AM53" i="136"/>
  <c r="AN53" i="136"/>
  <c r="AO53" i="136"/>
  <c r="AL54" i="136"/>
  <c r="AM54" i="136"/>
  <c r="AN54" i="136"/>
  <c r="AO54" i="136"/>
  <c r="AL55" i="136"/>
  <c r="AM55" i="136"/>
  <c r="AN55" i="136"/>
  <c r="AO55" i="136"/>
  <c r="AL56" i="136"/>
  <c r="AM56" i="136"/>
  <c r="AN56" i="136"/>
  <c r="AO56" i="136"/>
  <c r="AL57" i="136"/>
  <c r="AM57" i="136"/>
  <c r="AN57" i="136"/>
  <c r="AO57" i="136"/>
  <c r="AL58" i="136"/>
  <c r="AM58" i="136"/>
  <c r="AN58" i="136"/>
  <c r="AO58" i="136"/>
  <c r="AL59" i="136"/>
  <c r="AM59" i="136"/>
  <c r="AN59" i="136"/>
  <c r="AO59" i="136"/>
  <c r="AL60" i="136"/>
  <c r="AM60" i="136"/>
  <c r="AN60" i="136"/>
  <c r="AO60" i="136"/>
  <c r="AL61" i="136"/>
  <c r="AM61" i="136"/>
  <c r="AN61" i="136"/>
  <c r="AO61" i="136"/>
  <c r="AL62" i="136"/>
  <c r="AM62" i="136"/>
  <c r="AN62" i="136"/>
  <c r="AO62" i="136"/>
  <c r="AL63" i="136"/>
  <c r="AM63" i="136"/>
  <c r="AN63" i="136"/>
  <c r="AO63" i="136"/>
  <c r="AL64" i="136"/>
  <c r="AM64" i="136"/>
  <c r="AN64" i="136"/>
  <c r="AO64" i="136"/>
  <c r="AL65" i="136"/>
  <c r="AM65" i="136"/>
  <c r="AN65" i="136"/>
  <c r="AO65" i="136"/>
  <c r="AL66" i="136"/>
  <c r="AM66" i="136"/>
  <c r="AN66" i="136"/>
  <c r="AO66" i="136"/>
  <c r="AL67" i="136"/>
  <c r="AM67" i="136"/>
  <c r="AN67" i="136"/>
  <c r="AO67" i="136"/>
  <c r="AL68" i="136"/>
  <c r="AM68" i="136"/>
  <c r="AN68" i="136"/>
  <c r="AO68" i="136"/>
  <c r="AL69" i="136"/>
  <c r="AM69" i="136"/>
  <c r="AN69" i="136"/>
  <c r="AO69" i="136"/>
  <c r="AL70" i="136"/>
  <c r="AM70" i="136"/>
  <c r="AN70" i="136"/>
  <c r="AO70" i="136"/>
  <c r="AL71" i="136"/>
  <c r="AM71" i="136"/>
  <c r="AN71" i="136"/>
  <c r="AO71" i="136"/>
  <c r="AL72" i="136"/>
  <c r="AM72" i="136"/>
  <c r="AN72" i="136"/>
  <c r="AO72" i="136"/>
  <c r="AL73" i="136"/>
  <c r="AM73" i="136"/>
  <c r="AN73" i="136"/>
  <c r="AO73" i="136"/>
  <c r="AL74" i="136"/>
  <c r="AM74" i="136"/>
  <c r="AN74" i="136"/>
  <c r="AO74" i="136"/>
  <c r="AL75" i="136"/>
  <c r="AM75" i="136"/>
  <c r="AN75" i="136"/>
  <c r="AO75" i="136"/>
  <c r="AL76" i="136"/>
  <c r="AM76" i="136"/>
  <c r="AN76" i="136"/>
  <c r="AO76" i="136"/>
  <c r="AL77" i="136"/>
  <c r="AM77" i="136"/>
  <c r="AN77" i="136"/>
  <c r="AO77" i="136"/>
  <c r="AL78" i="136"/>
  <c r="AM78" i="136"/>
  <c r="AN78" i="136"/>
  <c r="AO78" i="136"/>
  <c r="AL79" i="136"/>
  <c r="AM79" i="136"/>
  <c r="AN79" i="136"/>
  <c r="AO79" i="136"/>
  <c r="AL80" i="136"/>
  <c r="AM80" i="136"/>
  <c r="AN80" i="136"/>
  <c r="AO80" i="136"/>
  <c r="AL81" i="136"/>
  <c r="AM81" i="136"/>
  <c r="AN81" i="136"/>
  <c r="AO81" i="136"/>
  <c r="AL82" i="136"/>
  <c r="AM82" i="136"/>
  <c r="AN82" i="136"/>
  <c r="AO82" i="136"/>
  <c r="AL83" i="136"/>
  <c r="AM83" i="136"/>
  <c r="AN83" i="136"/>
  <c r="AO83" i="136"/>
  <c r="AL84" i="136"/>
  <c r="AM84" i="136"/>
  <c r="AN84" i="136"/>
  <c r="AO84" i="136"/>
  <c r="AL85" i="136"/>
  <c r="AM85" i="136"/>
  <c r="AN85" i="136"/>
  <c r="AO85" i="136"/>
  <c r="AL86" i="136"/>
  <c r="AM86" i="136"/>
  <c r="AN86" i="136"/>
  <c r="AO86" i="136"/>
  <c r="AL87" i="136"/>
  <c r="AM87" i="136"/>
  <c r="AN87" i="136"/>
  <c r="AO87" i="136"/>
  <c r="AL88" i="136"/>
  <c r="AM88" i="136"/>
  <c r="AN88" i="136"/>
  <c r="AO88" i="136"/>
  <c r="AL89" i="136"/>
  <c r="AM89" i="136"/>
  <c r="AN89" i="136"/>
  <c r="AO89" i="136"/>
  <c r="AL90" i="136"/>
  <c r="AM90" i="136"/>
  <c r="AN90" i="136"/>
  <c r="AO90" i="136"/>
  <c r="AL91" i="136"/>
  <c r="AM91" i="136"/>
  <c r="AN91" i="136"/>
  <c r="AO91" i="136"/>
  <c r="AL92" i="136"/>
  <c r="AM92" i="136"/>
  <c r="AN92" i="136"/>
  <c r="AO92" i="136"/>
  <c r="AL93" i="136"/>
  <c r="AM93" i="136"/>
  <c r="AN93" i="136"/>
  <c r="AO93" i="136"/>
  <c r="AL94" i="136"/>
  <c r="AM94" i="136"/>
  <c r="AN94" i="136"/>
  <c r="AO94" i="136"/>
  <c r="AL95" i="136"/>
  <c r="AM95" i="136"/>
  <c r="AN95" i="136"/>
  <c r="AO95" i="136"/>
  <c r="AL96" i="136"/>
  <c r="AM96" i="136"/>
  <c r="AN96" i="136"/>
  <c r="AO96" i="136"/>
  <c r="AL97" i="136"/>
  <c r="AM97" i="136"/>
  <c r="AN97" i="136"/>
  <c r="AO97" i="136"/>
  <c r="AL98" i="136"/>
  <c r="AM98" i="136"/>
  <c r="AN98" i="136"/>
  <c r="AO98" i="136"/>
  <c r="AL99" i="136"/>
  <c r="AM99" i="136"/>
  <c r="AN99" i="136"/>
  <c r="AO99" i="136"/>
  <c r="AL100" i="136"/>
  <c r="AM100" i="136"/>
  <c r="AN100" i="136"/>
  <c r="AO100" i="136"/>
  <c r="AL101" i="136"/>
  <c r="AM101" i="136"/>
  <c r="AN101" i="136"/>
  <c r="AO101" i="136"/>
  <c r="AL102" i="136"/>
  <c r="AM102" i="136"/>
  <c r="AN102" i="136"/>
  <c r="AO102" i="136"/>
  <c r="AL103" i="136"/>
  <c r="AM103" i="136"/>
  <c r="AN103" i="136"/>
  <c r="AO103" i="136"/>
  <c r="AL104" i="136"/>
  <c r="AM104" i="136"/>
  <c r="AN104" i="136"/>
  <c r="AO104" i="136"/>
  <c r="AL105" i="136"/>
  <c r="AM105" i="136"/>
  <c r="AN105" i="136"/>
  <c r="AO105" i="136"/>
  <c r="AL106" i="136"/>
  <c r="AM106" i="136"/>
  <c r="AN106" i="136"/>
  <c r="AO106" i="136"/>
  <c r="AL107" i="136"/>
  <c r="AM107" i="136"/>
  <c r="AN107" i="136"/>
  <c r="AO107" i="136"/>
  <c r="AL108" i="136"/>
  <c r="AM108" i="136"/>
  <c r="AN108" i="136"/>
  <c r="AO108" i="136"/>
  <c r="AL109" i="136"/>
  <c r="AM109" i="136"/>
  <c r="AN109" i="136"/>
  <c r="AO109" i="136"/>
  <c r="AL110" i="136"/>
  <c r="AM110" i="136"/>
  <c r="AN110" i="136"/>
  <c r="AO110" i="136"/>
  <c r="AL111" i="136"/>
  <c r="AM111" i="136"/>
  <c r="AN111" i="136"/>
  <c r="AO111" i="136"/>
  <c r="AL112" i="136"/>
  <c r="AM112" i="136"/>
  <c r="AN112" i="136"/>
  <c r="AO112" i="136"/>
  <c r="AL113" i="136"/>
  <c r="AM113" i="136"/>
  <c r="AN113" i="136"/>
  <c r="AO113" i="136"/>
  <c r="AL114" i="136"/>
  <c r="AM114" i="136"/>
  <c r="AN114" i="136"/>
  <c r="AO114" i="136"/>
  <c r="AL115" i="136"/>
  <c r="AM115" i="136"/>
  <c r="AN115" i="136"/>
  <c r="AO115" i="136"/>
  <c r="AL116" i="136"/>
  <c r="AM116" i="136"/>
  <c r="AN116" i="136"/>
  <c r="AO116" i="136"/>
  <c r="AL117" i="136"/>
  <c r="AM117" i="136"/>
  <c r="AN117" i="136"/>
  <c r="AO117" i="136"/>
  <c r="AL118" i="136"/>
  <c r="AM118" i="136"/>
  <c r="AN118" i="136"/>
  <c r="AO118" i="136"/>
  <c r="AL119" i="136"/>
  <c r="AM119" i="136"/>
  <c r="AN119" i="136"/>
  <c r="AO119" i="136"/>
  <c r="AL120" i="136"/>
  <c r="AM120" i="136"/>
  <c r="AN120" i="136"/>
  <c r="AO120" i="136"/>
  <c r="AL121" i="136"/>
  <c r="AM121" i="136"/>
  <c r="AN121" i="136"/>
  <c r="AO121" i="136"/>
  <c r="AL122" i="136"/>
  <c r="AM122" i="136"/>
  <c r="AN122" i="136"/>
  <c r="AO122" i="136"/>
  <c r="AL123" i="136"/>
  <c r="AM123" i="136"/>
  <c r="AN123" i="136"/>
  <c r="AO123" i="136"/>
  <c r="AL124" i="136"/>
  <c r="AM124" i="136"/>
  <c r="AN124" i="136"/>
  <c r="AO124" i="136"/>
  <c r="AL125" i="136"/>
  <c r="AM125" i="136"/>
  <c r="AN125" i="136"/>
  <c r="AO125" i="136"/>
  <c r="AL126" i="136"/>
  <c r="AM126" i="136"/>
  <c r="AN126" i="136"/>
  <c r="AO126" i="136"/>
  <c r="AL127" i="136"/>
  <c r="AM127" i="136"/>
  <c r="AN127" i="136"/>
  <c r="AO127" i="136"/>
  <c r="AL128" i="136"/>
  <c r="AM128" i="136"/>
  <c r="AN128" i="136"/>
  <c r="AO128" i="136"/>
  <c r="AL129" i="136"/>
  <c r="AM129" i="136"/>
  <c r="AN129" i="136"/>
  <c r="AO129" i="136"/>
  <c r="AL130" i="136"/>
  <c r="AM130" i="136"/>
  <c r="AN130" i="136"/>
  <c r="AO130" i="136"/>
  <c r="N196" i="39" s="1"/>
  <c r="O196" i="39" s="1"/>
  <c r="AL131" i="136"/>
  <c r="AM131" i="136"/>
  <c r="AN131" i="136"/>
  <c r="AO131" i="136"/>
  <c r="AL132" i="136"/>
  <c r="AM132" i="136"/>
  <c r="AN132" i="136"/>
  <c r="AO132" i="136"/>
  <c r="AL133" i="136"/>
  <c r="AM133" i="136"/>
  <c r="AN133" i="136"/>
  <c r="AO133" i="136"/>
  <c r="AL134" i="136"/>
  <c r="AM134" i="136"/>
  <c r="AN134" i="136"/>
  <c r="AO134" i="136"/>
  <c r="AL135" i="136"/>
  <c r="AM135" i="136"/>
  <c r="AN135" i="136"/>
  <c r="AO135" i="136"/>
  <c r="AL136" i="136"/>
  <c r="AM136" i="136"/>
  <c r="AN136" i="136"/>
  <c r="AO136" i="136"/>
  <c r="AL137" i="136"/>
  <c r="AM137" i="136"/>
  <c r="AN137" i="136"/>
  <c r="AO137" i="136"/>
  <c r="AL138" i="136"/>
  <c r="AM138" i="136"/>
  <c r="AN138" i="136"/>
  <c r="AO138" i="136"/>
  <c r="AL139" i="136"/>
  <c r="AM139" i="136"/>
  <c r="AN139" i="136"/>
  <c r="AO139" i="136"/>
  <c r="AL140" i="136"/>
  <c r="AM140" i="136"/>
  <c r="AN140" i="136"/>
  <c r="AO140" i="136"/>
  <c r="AL141" i="136"/>
  <c r="AM141" i="136"/>
  <c r="AN141" i="136"/>
  <c r="AO141" i="136"/>
  <c r="AL142" i="136"/>
  <c r="AM142" i="136"/>
  <c r="AN142" i="136"/>
  <c r="AO142" i="136"/>
  <c r="AL143" i="136"/>
  <c r="AM143" i="136"/>
  <c r="AN143" i="136"/>
  <c r="AO143" i="136"/>
  <c r="AL144" i="136"/>
  <c r="AM144" i="136"/>
  <c r="AN144" i="136"/>
  <c r="AO144" i="136"/>
  <c r="AL145" i="136"/>
  <c r="AM145" i="136"/>
  <c r="AN145" i="136"/>
  <c r="AO145" i="136"/>
  <c r="AL146" i="136"/>
  <c r="AM146" i="136"/>
  <c r="AN146" i="136"/>
  <c r="AO146" i="136"/>
  <c r="AL147" i="136"/>
  <c r="AM147" i="136"/>
  <c r="AN147" i="136"/>
  <c r="AO147" i="136"/>
  <c r="AL148" i="136"/>
  <c r="AM148" i="136"/>
  <c r="AN148" i="136"/>
  <c r="AO148" i="136"/>
  <c r="AL149" i="136"/>
  <c r="AM149" i="136"/>
  <c r="AN149" i="136"/>
  <c r="AO149" i="136"/>
  <c r="AL150" i="136"/>
  <c r="AM150" i="136"/>
  <c r="AN150" i="136"/>
  <c r="AO150" i="136"/>
  <c r="AL151" i="136"/>
  <c r="AM151" i="136"/>
  <c r="AN151" i="136"/>
  <c r="AO151" i="136"/>
  <c r="AL152" i="136"/>
  <c r="AM152" i="136"/>
  <c r="AN152" i="136"/>
  <c r="AO152" i="136"/>
  <c r="AL153" i="136"/>
  <c r="AM153" i="136"/>
  <c r="AN153" i="136"/>
  <c r="AO153" i="136"/>
  <c r="AM3" i="136"/>
  <c r="AN3" i="136"/>
  <c r="AO3" i="136"/>
  <c r="AL3" i="136"/>
  <c r="AL154" i="136" s="1"/>
  <c r="AE3" i="136"/>
  <c r="Y10" i="4" s="1"/>
  <c r="AE4" i="136"/>
  <c r="Y11" i="4" s="1"/>
  <c r="AE5" i="136"/>
  <c r="Y12" i="4" s="1"/>
  <c r="AE6" i="136"/>
  <c r="Y13" i="4" s="1"/>
  <c r="AE7" i="136"/>
  <c r="Y14" i="4" s="1"/>
  <c r="AE8" i="136"/>
  <c r="Y15" i="4" s="1"/>
  <c r="AE9" i="136"/>
  <c r="Y17" i="4" s="1"/>
  <c r="AE10" i="136"/>
  <c r="Y18" i="4" s="1"/>
  <c r="AE11" i="136"/>
  <c r="Y19" i="4" s="1"/>
  <c r="AE12" i="136"/>
  <c r="Y20" i="4" s="1"/>
  <c r="AE13" i="136"/>
  <c r="Y21" i="4" s="1"/>
  <c r="AE14" i="136"/>
  <c r="Y22" i="4" s="1"/>
  <c r="AE15" i="136"/>
  <c r="Y23" i="4" s="1"/>
  <c r="AE16" i="136"/>
  <c r="Y26" i="4" s="1"/>
  <c r="AE17" i="136"/>
  <c r="Y28" i="4" s="1"/>
  <c r="AE18" i="136"/>
  <c r="Y29" i="4" s="1"/>
  <c r="AE19" i="136"/>
  <c r="Y30" i="4" s="1"/>
  <c r="AE20" i="136"/>
  <c r="Y31" i="4" s="1"/>
  <c r="AE21" i="136"/>
  <c r="Y33" i="4" s="1"/>
  <c r="AE22" i="136"/>
  <c r="Y34" i="4" s="1"/>
  <c r="AE23" i="136"/>
  <c r="Y36" i="4" s="1"/>
  <c r="AE24" i="136"/>
  <c r="Y38" i="4" s="1"/>
  <c r="AE25" i="136"/>
  <c r="Y40" i="4" s="1"/>
  <c r="AE26" i="136"/>
  <c r="Y42" i="4" s="1"/>
  <c r="AE27" i="136"/>
  <c r="Y43" i="4" s="1"/>
  <c r="AE28" i="136"/>
  <c r="Y44" i="4" s="1"/>
  <c r="AE29" i="136"/>
  <c r="AE30" i="136"/>
  <c r="Y46" i="4" s="1"/>
  <c r="AE31" i="136"/>
  <c r="Y47" i="4" s="1"/>
  <c r="AE32" i="136"/>
  <c r="Y49" i="4" s="1"/>
  <c r="AE33" i="136"/>
  <c r="AE34" i="136"/>
  <c r="Y51" i="4" s="1"/>
  <c r="AE35" i="136"/>
  <c r="Y52" i="4" s="1"/>
  <c r="AE36" i="136"/>
  <c r="Y53" i="4" s="1"/>
  <c r="AE37" i="136"/>
  <c r="Y54" i="4" s="1"/>
  <c r="AE38" i="136"/>
  <c r="Y57" i="4" s="1"/>
  <c r="AE39" i="136"/>
  <c r="Y59" i="4" s="1"/>
  <c r="AE40" i="136"/>
  <c r="Y60" i="4" s="1"/>
  <c r="AE41" i="136"/>
  <c r="Y61" i="4" s="1"/>
  <c r="AE42" i="136"/>
  <c r="Y62" i="4" s="1"/>
  <c r="AE43" i="136"/>
  <c r="Y64" i="4" s="1"/>
  <c r="AE44" i="136"/>
  <c r="Y65" i="4" s="1"/>
  <c r="AE45" i="136"/>
  <c r="AE46" i="136"/>
  <c r="Y67" i="4" s="1"/>
  <c r="AE47" i="136"/>
  <c r="Y69" i="4" s="1"/>
  <c r="AE48" i="136"/>
  <c r="Y71" i="4" s="1"/>
  <c r="AE49" i="136"/>
  <c r="Y73" i="4" s="1"/>
  <c r="AE50" i="136"/>
  <c r="Y74" i="4" s="1"/>
  <c r="AE51" i="136"/>
  <c r="Y75" i="4" s="1"/>
  <c r="AE52" i="136"/>
  <c r="Y76" i="4" s="1"/>
  <c r="AE53" i="136"/>
  <c r="Y77" i="4" s="1"/>
  <c r="AE54" i="136"/>
  <c r="Y80" i="4" s="1"/>
  <c r="AE55" i="136"/>
  <c r="Y83" i="4" s="1"/>
  <c r="AE56" i="136"/>
  <c r="Y85" i="4" s="1"/>
  <c r="AE57" i="136"/>
  <c r="Y89" i="4" s="1"/>
  <c r="AE58" i="136"/>
  <c r="Y95" i="4" s="1"/>
  <c r="AE59" i="136"/>
  <c r="Y97" i="4" s="1"/>
  <c r="AE60" i="136"/>
  <c r="Y101" i="4" s="1"/>
  <c r="AE61" i="136"/>
  <c r="Y102" i="4" s="1"/>
  <c r="AE62" i="136"/>
  <c r="Y103" i="4" s="1"/>
  <c r="AE63" i="136"/>
  <c r="Y104" i="4" s="1"/>
  <c r="AE64" i="136"/>
  <c r="Y105" i="4" s="1"/>
  <c r="AE65" i="136"/>
  <c r="Y106" i="4" s="1"/>
  <c r="AE66" i="136"/>
  <c r="Y107" i="4" s="1"/>
  <c r="AE67" i="136"/>
  <c r="Y108" i="4" s="1"/>
  <c r="AE68" i="136"/>
  <c r="Y110" i="4" s="1"/>
  <c r="AE69" i="136"/>
  <c r="Y111" i="4" s="1"/>
  <c r="AE70" i="136"/>
  <c r="Y112" i="4" s="1"/>
  <c r="AE71" i="136"/>
  <c r="Y114" i="4" s="1"/>
  <c r="AE72" i="136"/>
  <c r="Y118" i="4" s="1"/>
  <c r="AE73" i="136"/>
  <c r="Y120" i="4" s="1"/>
  <c r="AE74" i="136"/>
  <c r="Y121" i="4" s="1"/>
  <c r="AE75" i="136"/>
  <c r="Y122" i="4" s="1"/>
  <c r="AE76" i="136"/>
  <c r="Y124" i="4" s="1"/>
  <c r="AE77" i="136"/>
  <c r="Y125" i="4" s="1"/>
  <c r="AE78" i="136"/>
  <c r="Y126" i="4" s="1"/>
  <c r="AE79" i="136"/>
  <c r="Y128" i="4" s="1"/>
  <c r="AE80" i="136"/>
  <c r="Y129" i="4" s="1"/>
  <c r="AE81" i="136"/>
  <c r="Y130" i="4" s="1"/>
  <c r="AE82" i="136"/>
  <c r="Y131" i="4" s="1"/>
  <c r="AE83" i="136"/>
  <c r="Y132" i="4" s="1"/>
  <c r="AE84" i="136"/>
  <c r="Y133" i="4" s="1"/>
  <c r="AE85" i="136"/>
  <c r="Y134" i="4" s="1"/>
  <c r="AE86" i="136"/>
  <c r="Y136" i="4" s="1"/>
  <c r="AE87" i="136"/>
  <c r="Y137" i="4" s="1"/>
  <c r="AE88" i="136"/>
  <c r="Y138" i="4" s="1"/>
  <c r="AE89" i="136"/>
  <c r="Y140" i="4" s="1"/>
  <c r="AE90" i="136"/>
  <c r="Y141" i="4" s="1"/>
  <c r="AE91" i="136"/>
  <c r="Y143" i="4" s="1"/>
  <c r="AE92" i="136"/>
  <c r="Y145" i="4" s="1"/>
  <c r="AE93" i="136"/>
  <c r="Y146" i="4" s="1"/>
  <c r="AE94" i="136"/>
  <c r="Y156" i="4" s="1"/>
  <c r="AE95" i="136"/>
  <c r="Y165" i="4" s="1"/>
  <c r="AE96" i="136"/>
  <c r="Y172" i="4" s="1"/>
  <c r="AE97" i="136"/>
  <c r="AE98" i="136"/>
  <c r="Y188" i="4" s="1"/>
  <c r="AE99" i="136"/>
  <c r="Y189" i="4" s="1"/>
  <c r="AE100" i="136"/>
  <c r="Y205" i="4" s="1"/>
  <c r="AE101" i="136"/>
  <c r="Y206" i="4" s="1"/>
  <c r="AE102" i="136"/>
  <c r="Y207" i="4" s="1"/>
  <c r="AE103" i="136"/>
  <c r="Y208" i="4" s="1"/>
  <c r="AE104" i="136"/>
  <c r="Y209" i="4" s="1"/>
  <c r="AE105" i="136"/>
  <c r="AE106" i="136"/>
  <c r="Y210" i="4" s="1"/>
  <c r="AE107" i="136"/>
  <c r="AE108" i="136"/>
  <c r="AE109" i="136"/>
  <c r="Y212" i="4" s="1"/>
  <c r="P210" i="39"/>
  <c r="P312" i="39"/>
  <c r="R312" i="39" s="1"/>
  <c r="AU4" i="138"/>
  <c r="AV4" i="138"/>
  <c r="AW4" i="138"/>
  <c r="AU5" i="138"/>
  <c r="AV5" i="138"/>
  <c r="AW5" i="138"/>
  <c r="AU6" i="138"/>
  <c r="AV6" i="138"/>
  <c r="AW6" i="138"/>
  <c r="AU7" i="138"/>
  <c r="AV7" i="138"/>
  <c r="AW7" i="138"/>
  <c r="AU8" i="138"/>
  <c r="AV8" i="138"/>
  <c r="AW8" i="138"/>
  <c r="AU9" i="138"/>
  <c r="AV9" i="138"/>
  <c r="AW9" i="138"/>
  <c r="AU10" i="138"/>
  <c r="AV10" i="138"/>
  <c r="AW10" i="138"/>
  <c r="AU11" i="138"/>
  <c r="AV11" i="138"/>
  <c r="AW11" i="138"/>
  <c r="AU12" i="138"/>
  <c r="AV12" i="138"/>
  <c r="AW12" i="138"/>
  <c r="AU13" i="138"/>
  <c r="AV13" i="138"/>
  <c r="AW13" i="138"/>
  <c r="AU14" i="138"/>
  <c r="AV14" i="138"/>
  <c r="AW14" i="138"/>
  <c r="AU15" i="138"/>
  <c r="AV15" i="138"/>
  <c r="AW15" i="138"/>
  <c r="AU16" i="138"/>
  <c r="AV16" i="138"/>
  <c r="AW16" i="138"/>
  <c r="AU17" i="138"/>
  <c r="AV17" i="138"/>
  <c r="AW17" i="138"/>
  <c r="AU18" i="138"/>
  <c r="AV18" i="138"/>
  <c r="AW18" i="138"/>
  <c r="AU19" i="138"/>
  <c r="AV19" i="138"/>
  <c r="AW19" i="138"/>
  <c r="AU20" i="138"/>
  <c r="AV20" i="138"/>
  <c r="AW20" i="138"/>
  <c r="AU21" i="138"/>
  <c r="AV21" i="138"/>
  <c r="AW21" i="138"/>
  <c r="AU22" i="138"/>
  <c r="AV22" i="138"/>
  <c r="AW22" i="138"/>
  <c r="AU23" i="138"/>
  <c r="AV23" i="138"/>
  <c r="AW23" i="138"/>
  <c r="AU24" i="138"/>
  <c r="AV24" i="138"/>
  <c r="AW24" i="138"/>
  <c r="AU25" i="138"/>
  <c r="AV25" i="138"/>
  <c r="AW25" i="138"/>
  <c r="AU26" i="138"/>
  <c r="AV26" i="138"/>
  <c r="AW26" i="138"/>
  <c r="AU27" i="138"/>
  <c r="AV27" i="138"/>
  <c r="AW27" i="138"/>
  <c r="AU28" i="138"/>
  <c r="AV28" i="138"/>
  <c r="AW28" i="138"/>
  <c r="AU29" i="138"/>
  <c r="AV29" i="138"/>
  <c r="AW29" i="138"/>
  <c r="AU30" i="138"/>
  <c r="AV30" i="138"/>
  <c r="AW30" i="138"/>
  <c r="AU31" i="138"/>
  <c r="AV31" i="138"/>
  <c r="AW31" i="138"/>
  <c r="AU32" i="138"/>
  <c r="AV32" i="138"/>
  <c r="AW32" i="138"/>
  <c r="AU33" i="138"/>
  <c r="AV33" i="138"/>
  <c r="AW33" i="138"/>
  <c r="AU34" i="138"/>
  <c r="AV34" i="138"/>
  <c r="AW34" i="138"/>
  <c r="AU35" i="138"/>
  <c r="AV35" i="138"/>
  <c r="AW35" i="138"/>
  <c r="AU36" i="138"/>
  <c r="AV36" i="138"/>
  <c r="AW36" i="138"/>
  <c r="AU37" i="138"/>
  <c r="AV37" i="138"/>
  <c r="AW37" i="138"/>
  <c r="AU38" i="138"/>
  <c r="AV38" i="138"/>
  <c r="AW38" i="138"/>
  <c r="AU39" i="138"/>
  <c r="AV39" i="138"/>
  <c r="AW39" i="138"/>
  <c r="AU40" i="138"/>
  <c r="AV40" i="138"/>
  <c r="AW40" i="138"/>
  <c r="AU41" i="138"/>
  <c r="AV41" i="138"/>
  <c r="AW41" i="138"/>
  <c r="AU42" i="138"/>
  <c r="AV42" i="138"/>
  <c r="AW42" i="138"/>
  <c r="AU43" i="138"/>
  <c r="AV43" i="138"/>
  <c r="AW43" i="138"/>
  <c r="AU44" i="138"/>
  <c r="AV44" i="138"/>
  <c r="AW44" i="138"/>
  <c r="AU45" i="138"/>
  <c r="AV45" i="138"/>
  <c r="AW45" i="138"/>
  <c r="AU46" i="138"/>
  <c r="AV46" i="138"/>
  <c r="AW46" i="138"/>
  <c r="AV3" i="138"/>
  <c r="AW3" i="138"/>
  <c r="AU3" i="138"/>
  <c r="AK4" i="138"/>
  <c r="AK5" i="138"/>
  <c r="X18" i="37" s="1"/>
  <c r="AK6" i="138"/>
  <c r="X17" i="37" s="1"/>
  <c r="AK7" i="138"/>
  <c r="X46" i="37" s="1"/>
  <c r="AK8" i="138"/>
  <c r="X47" i="37" s="1"/>
  <c r="AK9" i="138"/>
  <c r="X49" i="37" s="1"/>
  <c r="AK10" i="138"/>
  <c r="X51" i="37" s="1"/>
  <c r="AK11" i="138"/>
  <c r="X53" i="37" s="1"/>
  <c r="AK12" i="138"/>
  <c r="X54" i="37" s="1"/>
  <c r="AK13" i="138"/>
  <c r="X56" i="37" s="1"/>
  <c r="AK14" i="138"/>
  <c r="X59" i="37" s="1"/>
  <c r="AK3" i="138"/>
  <c r="AF40" i="37" l="1"/>
  <c r="AF11" i="37" s="1"/>
  <c r="AD11" i="37"/>
  <c r="P308" i="39"/>
  <c r="Q53" i="37"/>
  <c r="R53" i="37" s="1"/>
  <c r="AB11" i="37"/>
  <c r="P46" i="35"/>
  <c r="Q49" i="37"/>
  <c r="R49" i="37" s="1"/>
  <c r="Q46" i="37"/>
  <c r="R46" i="37" s="1"/>
  <c r="Z37" i="35"/>
  <c r="Q39" i="35"/>
  <c r="R39" i="35" s="1"/>
  <c r="AN154" i="136"/>
  <c r="P196" i="39"/>
  <c r="P221" i="39"/>
  <c r="X21" i="35"/>
  <c r="X27" i="35"/>
  <c r="Q28" i="35"/>
  <c r="R28" i="35" s="1"/>
  <c r="AO154" i="136"/>
  <c r="AM154" i="136"/>
  <c r="Q68" i="54"/>
  <c r="Q69" i="54"/>
  <c r="Q65" i="54"/>
  <c r="Q66" i="54"/>
  <c r="Q67" i="54"/>
  <c r="X16" i="37"/>
  <c r="Z16" i="37"/>
  <c r="Z27" i="35"/>
  <c r="Z50" i="37"/>
  <c r="Z21" i="35"/>
  <c r="Z55" i="35"/>
  <c r="Z54" i="35" s="1"/>
  <c r="Z53" i="35" s="1"/>
  <c r="Z45" i="37"/>
  <c r="AA9" i="4"/>
  <c r="Y187" i="4"/>
  <c r="Y9" i="4" s="1"/>
  <c r="Y45" i="4"/>
  <c r="Y50" i="4"/>
  <c r="Y66" i="4"/>
  <c r="AW47" i="138"/>
  <c r="AK15" i="138"/>
  <c r="N213" i="39"/>
  <c r="O213" i="39" s="1"/>
  <c r="X15" i="37"/>
  <c r="AV47" i="138"/>
  <c r="X50" i="37"/>
  <c r="X45" i="37"/>
  <c r="X3" i="136"/>
  <c r="X4" i="136"/>
  <c r="Y4" i="136"/>
  <c r="Z4" i="136"/>
  <c r="AA4" i="136"/>
  <c r="X5" i="136"/>
  <c r="Y5" i="136"/>
  <c r="Z5" i="136"/>
  <c r="AA5" i="136"/>
  <c r="X6" i="136"/>
  <c r="Y6" i="136"/>
  <c r="Z6" i="136"/>
  <c r="AA6" i="136"/>
  <c r="X7" i="136"/>
  <c r="Y7" i="136"/>
  <c r="Z7" i="136"/>
  <c r="AA7" i="136"/>
  <c r="X8" i="136"/>
  <c r="Y8" i="136"/>
  <c r="Z8" i="136"/>
  <c r="AA8" i="136"/>
  <c r="X9" i="136"/>
  <c r="Y9" i="136"/>
  <c r="Z9" i="136"/>
  <c r="AA9" i="136"/>
  <c r="X10" i="136"/>
  <c r="Y10" i="136"/>
  <c r="Z10" i="136"/>
  <c r="AA10" i="136"/>
  <c r="X11" i="136"/>
  <c r="Y11" i="136"/>
  <c r="Z11" i="136"/>
  <c r="AA11" i="136"/>
  <c r="X12" i="136"/>
  <c r="Y12" i="136"/>
  <c r="Z12" i="136"/>
  <c r="AA12" i="136"/>
  <c r="X13" i="136"/>
  <c r="Y13" i="136"/>
  <c r="Z13" i="136"/>
  <c r="AA13" i="136"/>
  <c r="X14" i="136"/>
  <c r="Y14" i="136"/>
  <c r="Z14" i="136"/>
  <c r="AA14" i="136"/>
  <c r="X15" i="136"/>
  <c r="Y15" i="136"/>
  <c r="Z15" i="136"/>
  <c r="AA15" i="136"/>
  <c r="X16" i="136"/>
  <c r="Y16" i="136"/>
  <c r="Z16" i="136"/>
  <c r="AA16" i="136"/>
  <c r="X17" i="136"/>
  <c r="Y17" i="136"/>
  <c r="Z17" i="136"/>
  <c r="AA17" i="136"/>
  <c r="X18" i="136"/>
  <c r="Y18" i="136"/>
  <c r="Z18" i="136"/>
  <c r="AA18" i="136"/>
  <c r="X19" i="136"/>
  <c r="Y19" i="136"/>
  <c r="Z19" i="136"/>
  <c r="AA19" i="136"/>
  <c r="X20" i="136"/>
  <c r="Y20" i="136"/>
  <c r="Z20" i="136"/>
  <c r="AA20" i="136"/>
  <c r="X21" i="136"/>
  <c r="Y21" i="136"/>
  <c r="Z21" i="136"/>
  <c r="AA21" i="136"/>
  <c r="X22" i="136"/>
  <c r="Y22" i="136"/>
  <c r="Z22" i="136"/>
  <c r="AA22" i="136"/>
  <c r="X23" i="136"/>
  <c r="Y23" i="136"/>
  <c r="Z23" i="136"/>
  <c r="AA23" i="136"/>
  <c r="X24" i="136"/>
  <c r="Y24" i="136"/>
  <c r="Z24" i="136"/>
  <c r="AA24" i="136"/>
  <c r="X25" i="136"/>
  <c r="Y25" i="136"/>
  <c r="Z25" i="136"/>
  <c r="AA25" i="136"/>
  <c r="X26" i="136"/>
  <c r="Y26" i="136"/>
  <c r="Z26" i="136"/>
  <c r="AA26" i="136"/>
  <c r="X27" i="136"/>
  <c r="Y27" i="136"/>
  <c r="Z27" i="136"/>
  <c r="AA27" i="136"/>
  <c r="X28" i="136"/>
  <c r="Y28" i="136"/>
  <c r="Z28" i="136"/>
  <c r="AA28" i="136"/>
  <c r="X29" i="136"/>
  <c r="Y29" i="136"/>
  <c r="Z29" i="136"/>
  <c r="AA29" i="136"/>
  <c r="X30" i="136"/>
  <c r="Y30" i="136"/>
  <c r="Z30" i="136"/>
  <c r="AA30" i="136"/>
  <c r="X31" i="136"/>
  <c r="Y31" i="136"/>
  <c r="Z31" i="136"/>
  <c r="AA31" i="136"/>
  <c r="X32" i="136"/>
  <c r="Y32" i="136"/>
  <c r="Z32" i="136"/>
  <c r="AA32" i="136"/>
  <c r="X33" i="136"/>
  <c r="Y33" i="136"/>
  <c r="Z33" i="136"/>
  <c r="AA33" i="136"/>
  <c r="X34" i="136"/>
  <c r="Y34" i="136"/>
  <c r="Z34" i="136"/>
  <c r="AA34" i="136"/>
  <c r="X35" i="136"/>
  <c r="Y35" i="136"/>
  <c r="Z35" i="136"/>
  <c r="AA35" i="136"/>
  <c r="X36" i="136"/>
  <c r="Y36" i="136"/>
  <c r="Z36" i="136"/>
  <c r="AA36" i="136"/>
  <c r="X37" i="136"/>
  <c r="Y37" i="136"/>
  <c r="Z37" i="136"/>
  <c r="AA37" i="136"/>
  <c r="X38" i="136"/>
  <c r="Y38" i="136"/>
  <c r="Z38" i="136"/>
  <c r="AA38" i="136"/>
  <c r="X39" i="136"/>
  <c r="Y39" i="136"/>
  <c r="Z39" i="136"/>
  <c r="AA39" i="136"/>
  <c r="X40" i="136"/>
  <c r="Y40" i="136"/>
  <c r="Z40" i="136"/>
  <c r="AA40" i="136"/>
  <c r="X41" i="136"/>
  <c r="Y41" i="136"/>
  <c r="Z41" i="136"/>
  <c r="AA41" i="136"/>
  <c r="X42" i="136"/>
  <c r="Y42" i="136"/>
  <c r="Z42" i="136"/>
  <c r="AA42" i="136"/>
  <c r="X43" i="136"/>
  <c r="Y43" i="136"/>
  <c r="Z43" i="136"/>
  <c r="AA43" i="136"/>
  <c r="X44" i="136"/>
  <c r="Y44" i="136"/>
  <c r="Z44" i="136"/>
  <c r="AA44" i="136"/>
  <c r="X45" i="136"/>
  <c r="Y45" i="136"/>
  <c r="Z45" i="136"/>
  <c r="AA45" i="136"/>
  <c r="X46" i="136"/>
  <c r="Y46" i="136"/>
  <c r="Z46" i="136"/>
  <c r="AA46" i="136"/>
  <c r="X47" i="136"/>
  <c r="Y47" i="136"/>
  <c r="Z47" i="136"/>
  <c r="AA47" i="136"/>
  <c r="X48" i="136"/>
  <c r="Y48" i="136"/>
  <c r="Z48" i="136"/>
  <c r="AA48" i="136"/>
  <c r="X49" i="136"/>
  <c r="Y49" i="136"/>
  <c r="Z49" i="136"/>
  <c r="AA49" i="136"/>
  <c r="X50" i="136"/>
  <c r="Y50" i="136"/>
  <c r="Z50" i="136"/>
  <c r="AA50" i="136"/>
  <c r="X51" i="136"/>
  <c r="Y51" i="136"/>
  <c r="Z51" i="136"/>
  <c r="AA51" i="136"/>
  <c r="X52" i="136"/>
  <c r="Y52" i="136"/>
  <c r="Z52" i="136"/>
  <c r="AA52" i="136"/>
  <c r="X53" i="136"/>
  <c r="Y53" i="136"/>
  <c r="Z53" i="136"/>
  <c r="AA53" i="136"/>
  <c r="X54" i="136"/>
  <c r="Y54" i="136"/>
  <c r="Z54" i="136"/>
  <c r="AA54" i="136"/>
  <c r="X55" i="136"/>
  <c r="Y55" i="136"/>
  <c r="Z55" i="136"/>
  <c r="AA55" i="136"/>
  <c r="X56" i="136"/>
  <c r="Y56" i="136"/>
  <c r="Z56" i="136"/>
  <c r="AA56" i="136"/>
  <c r="X57" i="136"/>
  <c r="Y57" i="136"/>
  <c r="Z57" i="136"/>
  <c r="AA57" i="136"/>
  <c r="X58" i="136"/>
  <c r="Y58" i="136"/>
  <c r="Z58" i="136"/>
  <c r="AA58" i="136"/>
  <c r="X59" i="136"/>
  <c r="Y59" i="136"/>
  <c r="Z59" i="136"/>
  <c r="AA59" i="136"/>
  <c r="X60" i="136"/>
  <c r="Y60" i="136"/>
  <c r="Z60" i="136"/>
  <c r="AA60" i="136"/>
  <c r="X61" i="136"/>
  <c r="Y61" i="136"/>
  <c r="Z61" i="136"/>
  <c r="AA61" i="136"/>
  <c r="X62" i="136"/>
  <c r="Y62" i="136"/>
  <c r="Z62" i="136"/>
  <c r="AA62" i="136"/>
  <c r="X63" i="136"/>
  <c r="Y63" i="136"/>
  <c r="Z63" i="136"/>
  <c r="AA63" i="136"/>
  <c r="X64" i="136"/>
  <c r="Y64" i="136"/>
  <c r="Z64" i="136"/>
  <c r="AA64" i="136"/>
  <c r="X65" i="136"/>
  <c r="Y65" i="136"/>
  <c r="Z65" i="136"/>
  <c r="AA65" i="136"/>
  <c r="X66" i="136"/>
  <c r="Y66" i="136"/>
  <c r="Z66" i="136"/>
  <c r="AA66" i="136"/>
  <c r="X67" i="136"/>
  <c r="Y67" i="136"/>
  <c r="Z67" i="136"/>
  <c r="AA67" i="136"/>
  <c r="X68" i="136"/>
  <c r="Y68" i="136"/>
  <c r="Z68" i="136"/>
  <c r="AA68" i="136"/>
  <c r="X69" i="136"/>
  <c r="Y69" i="136"/>
  <c r="Z69" i="136"/>
  <c r="AA69" i="136"/>
  <c r="X70" i="136"/>
  <c r="Y70" i="136"/>
  <c r="Z70" i="136"/>
  <c r="AA70" i="136"/>
  <c r="X71" i="136"/>
  <c r="Y71" i="136"/>
  <c r="Z71" i="136"/>
  <c r="AA71" i="136"/>
  <c r="X72" i="136"/>
  <c r="Y72" i="136"/>
  <c r="Z72" i="136"/>
  <c r="AA72" i="136"/>
  <c r="X73" i="136"/>
  <c r="Y73" i="136"/>
  <c r="Z73" i="136"/>
  <c r="AA73" i="136"/>
  <c r="X74" i="136"/>
  <c r="Y74" i="136"/>
  <c r="Z74" i="136"/>
  <c r="AA74" i="136"/>
  <c r="X75" i="136"/>
  <c r="Y75" i="136"/>
  <c r="Z75" i="136"/>
  <c r="AA75" i="136"/>
  <c r="X76" i="136"/>
  <c r="Y76" i="136"/>
  <c r="Z76" i="136"/>
  <c r="AA76" i="136"/>
  <c r="X77" i="136"/>
  <c r="Y77" i="136"/>
  <c r="Z77" i="136"/>
  <c r="AA77" i="136"/>
  <c r="X78" i="136"/>
  <c r="Y78" i="136"/>
  <c r="Z78" i="136"/>
  <c r="AA78" i="136"/>
  <c r="X79" i="136"/>
  <c r="Y79" i="136"/>
  <c r="Z79" i="136"/>
  <c r="AA79" i="136"/>
  <c r="X80" i="136"/>
  <c r="Y80" i="136"/>
  <c r="Z80" i="136"/>
  <c r="AA80" i="136"/>
  <c r="X81" i="136"/>
  <c r="Y81" i="136"/>
  <c r="Z81" i="136"/>
  <c r="AA81" i="136"/>
  <c r="X82" i="136"/>
  <c r="Y82" i="136"/>
  <c r="Z82" i="136"/>
  <c r="AA82" i="136"/>
  <c r="X83" i="136"/>
  <c r="Y83" i="136"/>
  <c r="Z83" i="136"/>
  <c r="AA83" i="136"/>
  <c r="X84" i="136"/>
  <c r="Y84" i="136"/>
  <c r="Z84" i="136"/>
  <c r="AA84" i="136"/>
  <c r="X85" i="136"/>
  <c r="Y85" i="136"/>
  <c r="Z85" i="136"/>
  <c r="AA85" i="136"/>
  <c r="X86" i="136"/>
  <c r="Y86" i="136"/>
  <c r="Z86" i="136"/>
  <c r="AA86" i="136"/>
  <c r="X87" i="136"/>
  <c r="Y87" i="136"/>
  <c r="Z87" i="136"/>
  <c r="AA87" i="136"/>
  <c r="X88" i="136"/>
  <c r="Y88" i="136"/>
  <c r="Z88" i="136"/>
  <c r="AA88" i="136"/>
  <c r="X89" i="136"/>
  <c r="Y89" i="136"/>
  <c r="Z89" i="136"/>
  <c r="AA89" i="136"/>
  <c r="X90" i="136"/>
  <c r="Y90" i="136"/>
  <c r="Z90" i="136"/>
  <c r="AA90" i="136"/>
  <c r="X91" i="136"/>
  <c r="Y91" i="136"/>
  <c r="Z91" i="136"/>
  <c r="AA91" i="136"/>
  <c r="X92" i="136"/>
  <c r="Y92" i="136"/>
  <c r="Z92" i="136"/>
  <c r="AA92" i="136"/>
  <c r="X93" i="136"/>
  <c r="Y93" i="136"/>
  <c r="Z93" i="136"/>
  <c r="AA93" i="136"/>
  <c r="X94" i="136"/>
  <c r="Y94" i="136"/>
  <c r="Z94" i="136"/>
  <c r="AA94" i="136"/>
  <c r="X95" i="136"/>
  <c r="Y95" i="136"/>
  <c r="Z95" i="136"/>
  <c r="AA95" i="136"/>
  <c r="X96" i="136"/>
  <c r="Y96" i="136"/>
  <c r="Z96" i="136"/>
  <c r="AA96" i="136"/>
  <c r="X97" i="136"/>
  <c r="Y97" i="136"/>
  <c r="Z97" i="136"/>
  <c r="AA97" i="136"/>
  <c r="X98" i="136"/>
  <c r="Y98" i="136"/>
  <c r="Z98" i="136"/>
  <c r="AA98" i="136"/>
  <c r="X99" i="136"/>
  <c r="Y99" i="136"/>
  <c r="Z99" i="136"/>
  <c r="AA99" i="136"/>
  <c r="X100" i="136"/>
  <c r="Y100" i="136"/>
  <c r="Z100" i="136"/>
  <c r="AA100" i="136"/>
  <c r="X101" i="136"/>
  <c r="Y101" i="136"/>
  <c r="Z101" i="136"/>
  <c r="AA101" i="136"/>
  <c r="X102" i="136"/>
  <c r="Y102" i="136"/>
  <c r="Z102" i="136"/>
  <c r="AA102" i="136"/>
  <c r="X103" i="136"/>
  <c r="Y103" i="136"/>
  <c r="Z103" i="136"/>
  <c r="AA103" i="136"/>
  <c r="X104" i="136"/>
  <c r="Y104" i="136"/>
  <c r="Z104" i="136"/>
  <c r="AA104" i="136"/>
  <c r="X105" i="136"/>
  <c r="Y105" i="136"/>
  <c r="Z105" i="136"/>
  <c r="AA105" i="136"/>
  <c r="X106" i="136"/>
  <c r="Y106" i="136"/>
  <c r="Z106" i="136"/>
  <c r="AA106" i="136"/>
  <c r="X107" i="136"/>
  <c r="Y107" i="136"/>
  <c r="Z107" i="136"/>
  <c r="AA107" i="136"/>
  <c r="X108" i="136"/>
  <c r="Y108" i="136"/>
  <c r="Z108" i="136"/>
  <c r="AA108" i="136"/>
  <c r="X109" i="136"/>
  <c r="Y109" i="136"/>
  <c r="Z109" i="136"/>
  <c r="AA109" i="136"/>
  <c r="X110" i="136"/>
  <c r="Y110" i="136"/>
  <c r="Z110" i="136"/>
  <c r="AA110" i="136"/>
  <c r="X111" i="136"/>
  <c r="Y111" i="136"/>
  <c r="Z111" i="136"/>
  <c r="AA111" i="136"/>
  <c r="X112" i="136"/>
  <c r="Y112" i="136"/>
  <c r="Z112" i="136"/>
  <c r="AA112" i="136"/>
  <c r="X113" i="136"/>
  <c r="Y113" i="136"/>
  <c r="Z113" i="136"/>
  <c r="AA113" i="136"/>
  <c r="X114" i="136"/>
  <c r="Y114" i="136"/>
  <c r="Z114" i="136"/>
  <c r="AA114" i="136"/>
  <c r="X115" i="136"/>
  <c r="Y115" i="136"/>
  <c r="Z115" i="136"/>
  <c r="AA115" i="136"/>
  <c r="X116" i="136"/>
  <c r="Y116" i="136"/>
  <c r="Z116" i="136"/>
  <c r="AA116" i="136"/>
  <c r="X117" i="136"/>
  <c r="Y117" i="136"/>
  <c r="Z117" i="136"/>
  <c r="AA117" i="136"/>
  <c r="X118" i="136"/>
  <c r="Y118" i="136"/>
  <c r="Z118" i="136"/>
  <c r="AA118" i="136"/>
  <c r="X119" i="136"/>
  <c r="Y119" i="136"/>
  <c r="Z119" i="136"/>
  <c r="AA119" i="136"/>
  <c r="X120" i="136"/>
  <c r="Y120" i="136"/>
  <c r="Z120" i="136"/>
  <c r="AA120" i="136"/>
  <c r="X121" i="136"/>
  <c r="Y121" i="136"/>
  <c r="Z121" i="136"/>
  <c r="AA121" i="136"/>
  <c r="X122" i="136"/>
  <c r="Y122" i="136"/>
  <c r="Z122" i="136"/>
  <c r="AA122" i="136"/>
  <c r="X123" i="136"/>
  <c r="Y123" i="136"/>
  <c r="Z123" i="136"/>
  <c r="AA123" i="136"/>
  <c r="X124" i="136"/>
  <c r="Y124" i="136"/>
  <c r="Z124" i="136"/>
  <c r="AA124" i="136"/>
  <c r="X125" i="136"/>
  <c r="Y125" i="136"/>
  <c r="Z125" i="136"/>
  <c r="AA125" i="136"/>
  <c r="X126" i="136"/>
  <c r="Y126" i="136"/>
  <c r="Z126" i="136"/>
  <c r="AA126" i="136"/>
  <c r="X127" i="136"/>
  <c r="Y127" i="136"/>
  <c r="Z127" i="136"/>
  <c r="AA127" i="136"/>
  <c r="X128" i="136"/>
  <c r="Y128" i="136"/>
  <c r="Z128" i="136"/>
  <c r="AA128" i="136"/>
  <c r="X129" i="136"/>
  <c r="Y129" i="136"/>
  <c r="Z129" i="136"/>
  <c r="AA129" i="136"/>
  <c r="X130" i="136"/>
  <c r="Y130" i="136"/>
  <c r="Z130" i="136"/>
  <c r="AA130" i="136"/>
  <c r="X131" i="136"/>
  <c r="Y131" i="136"/>
  <c r="Z131" i="136"/>
  <c r="AA131" i="136"/>
  <c r="X132" i="136"/>
  <c r="Y132" i="136"/>
  <c r="Z132" i="136"/>
  <c r="AA132" i="136"/>
  <c r="X133" i="136"/>
  <c r="Y133" i="136"/>
  <c r="Z133" i="136"/>
  <c r="AA133" i="136"/>
  <c r="X134" i="136"/>
  <c r="Y134" i="136"/>
  <c r="Z134" i="136"/>
  <c r="AA134" i="136"/>
  <c r="X135" i="136"/>
  <c r="Y135" i="136"/>
  <c r="Z135" i="136"/>
  <c r="AA135" i="136"/>
  <c r="X136" i="136"/>
  <c r="Y136" i="136"/>
  <c r="Z136" i="136"/>
  <c r="AA136" i="136"/>
  <c r="X137" i="136"/>
  <c r="Y137" i="136"/>
  <c r="Z137" i="136"/>
  <c r="AA137" i="136"/>
  <c r="X138" i="136"/>
  <c r="Y138" i="136"/>
  <c r="Z138" i="136"/>
  <c r="AA138" i="136"/>
  <c r="X139" i="136"/>
  <c r="Y139" i="136"/>
  <c r="Z139" i="136"/>
  <c r="AA139" i="136"/>
  <c r="X140" i="136"/>
  <c r="Y140" i="136"/>
  <c r="Z140" i="136"/>
  <c r="AA140" i="136"/>
  <c r="X141" i="136"/>
  <c r="Y141" i="136"/>
  <c r="Z141" i="136"/>
  <c r="AA141" i="136"/>
  <c r="X142" i="136"/>
  <c r="Y142" i="136"/>
  <c r="Z142" i="136"/>
  <c r="AA142" i="136"/>
  <c r="X143" i="136"/>
  <c r="Y143" i="136"/>
  <c r="Z143" i="136"/>
  <c r="AA143" i="136"/>
  <c r="X144" i="136"/>
  <c r="Y144" i="136"/>
  <c r="Z144" i="136"/>
  <c r="AA144" i="136"/>
  <c r="X145" i="136"/>
  <c r="Y145" i="136"/>
  <c r="Z145" i="136"/>
  <c r="AA145" i="136"/>
  <c r="Y3" i="136"/>
  <c r="Z3" i="136"/>
  <c r="AA3" i="136"/>
  <c r="Q4" i="136"/>
  <c r="W11" i="4" s="1"/>
  <c r="Q5" i="136"/>
  <c r="W12" i="4" s="1"/>
  <c r="Q6" i="136"/>
  <c r="W13" i="4" s="1"/>
  <c r="Q7" i="136"/>
  <c r="W14" i="4" s="1"/>
  <c r="Q8" i="136"/>
  <c r="W15" i="4" s="1"/>
  <c r="Q9" i="136"/>
  <c r="W17" i="4" s="1"/>
  <c r="Q10" i="136"/>
  <c r="W18" i="4" s="1"/>
  <c r="Q11" i="136"/>
  <c r="W19" i="4" s="1"/>
  <c r="Q12" i="136"/>
  <c r="W20" i="4" s="1"/>
  <c r="Q13" i="136"/>
  <c r="W21" i="4" s="1"/>
  <c r="Q14" i="136"/>
  <c r="W23" i="4" s="1"/>
  <c r="Q15" i="136"/>
  <c r="W26" i="4" s="1"/>
  <c r="Q16" i="136"/>
  <c r="W27" i="4" s="1"/>
  <c r="Q17" i="136"/>
  <c r="W28" i="4" s="1"/>
  <c r="Q18" i="136"/>
  <c r="W33" i="4" s="1"/>
  <c r="Q19" i="136"/>
  <c r="W34" i="4" s="1"/>
  <c r="Q20" i="136"/>
  <c r="W36" i="4" s="1"/>
  <c r="Q21" i="136"/>
  <c r="W42" i="4" s="1"/>
  <c r="Q22" i="136"/>
  <c r="W43" i="4" s="1"/>
  <c r="Q23" i="136"/>
  <c r="W44" i="4" s="1"/>
  <c r="Q24" i="136"/>
  <c r="W45" i="4" s="1"/>
  <c r="Q25" i="136"/>
  <c r="W46" i="4" s="1"/>
  <c r="Q26" i="136"/>
  <c r="W47" i="4" s="1"/>
  <c r="Q27" i="136"/>
  <c r="W49" i="4" s="1"/>
  <c r="Q28" i="136"/>
  <c r="W50" i="4" s="1"/>
  <c r="Q29" i="136"/>
  <c r="W51" i="4" s="1"/>
  <c r="Q30" i="136"/>
  <c r="W54" i="4" s="1"/>
  <c r="Q31" i="136"/>
  <c r="W57" i="4" s="1"/>
  <c r="Q32" i="136"/>
  <c r="W58" i="4" s="1"/>
  <c r="Q33" i="136"/>
  <c r="W59" i="4" s="1"/>
  <c r="Q34" i="136"/>
  <c r="W64" i="4" s="1"/>
  <c r="Q35" i="136"/>
  <c r="W65" i="4" s="1"/>
  <c r="Q36" i="136"/>
  <c r="W66" i="4" s="1"/>
  <c r="Q37" i="136"/>
  <c r="W67" i="4" s="1"/>
  <c r="Q38" i="136"/>
  <c r="W73" i="4" s="1"/>
  <c r="Q39" i="136"/>
  <c r="W74" i="4" s="1"/>
  <c r="Q40" i="136"/>
  <c r="W75" i="4" s="1"/>
  <c r="Q41" i="136"/>
  <c r="W76" i="4" s="1"/>
  <c r="Q42" i="136"/>
  <c r="W77" i="4" s="1"/>
  <c r="Q43" i="136"/>
  <c r="W80" i="4" s="1"/>
  <c r="Q44" i="136"/>
  <c r="W83" i="4" s="1"/>
  <c r="Q45" i="136"/>
  <c r="W85" i="4" s="1"/>
  <c r="Q46" i="136"/>
  <c r="W86" i="4" s="1"/>
  <c r="Q47" i="136"/>
  <c r="W89" i="4" s="1"/>
  <c r="Q48" i="136"/>
  <c r="W90" i="4" s="1"/>
  <c r="Q49" i="136"/>
  <c r="W93" i="4" s="1"/>
  <c r="Q50" i="136"/>
  <c r="W97" i="4" s="1"/>
  <c r="Q51" i="136"/>
  <c r="W101" i="4" s="1"/>
  <c r="Q52" i="136"/>
  <c r="W103" i="4" s="1"/>
  <c r="Q53" i="136"/>
  <c r="W104" i="4" s="1"/>
  <c r="Q54" i="136"/>
  <c r="W105" i="4" s="1"/>
  <c r="Q55" i="136"/>
  <c r="W106" i="4" s="1"/>
  <c r="Q56" i="136"/>
  <c r="W107" i="4" s="1"/>
  <c r="Q57" i="136"/>
  <c r="W108" i="4" s="1"/>
  <c r="Q58" i="136"/>
  <c r="W110" i="4" s="1"/>
  <c r="Q59" i="136"/>
  <c r="W112" i="4" s="1"/>
  <c r="Q60" i="136"/>
  <c r="W114" i="4" s="1"/>
  <c r="Q61" i="136"/>
  <c r="W124" i="4" s="1"/>
  <c r="Q62" i="136"/>
  <c r="W125" i="4" s="1"/>
  <c r="Q63" i="136"/>
  <c r="W126" i="4" s="1"/>
  <c r="Q64" i="136"/>
  <c r="W128" i="4" s="1"/>
  <c r="Q65" i="136"/>
  <c r="W129" i="4" s="1"/>
  <c r="Q66" i="136"/>
  <c r="W130" i="4" s="1"/>
  <c r="Q67" i="136"/>
  <c r="W131" i="4" s="1"/>
  <c r="Q68" i="136"/>
  <c r="W132" i="4" s="1"/>
  <c r="Q69" i="136"/>
  <c r="W133" i="4" s="1"/>
  <c r="Q70" i="136"/>
  <c r="W135" i="4" s="1"/>
  <c r="Q71" i="136"/>
  <c r="W140" i="4" s="1"/>
  <c r="Q72" i="136"/>
  <c r="W143" i="4" s="1"/>
  <c r="Q73" i="136"/>
  <c r="W144" i="4" s="1"/>
  <c r="Q74" i="136"/>
  <c r="W145" i="4" s="1"/>
  <c r="Q75" i="136"/>
  <c r="W146" i="4" s="1"/>
  <c r="Q76" i="136"/>
  <c r="W156" i="4" s="1"/>
  <c r="Q77" i="136"/>
  <c r="W165" i="4" s="1"/>
  <c r="Q78" i="136"/>
  <c r="W172" i="4" s="1"/>
  <c r="Q79" i="136"/>
  <c r="W187" i="4" s="1"/>
  <c r="Q80" i="136"/>
  <c r="W188" i="4" s="1"/>
  <c r="Q81" i="136"/>
  <c r="W189" i="4" s="1"/>
  <c r="Q82" i="136"/>
  <c r="W194" i="4" s="1"/>
  <c r="Q83" i="136"/>
  <c r="W195" i="4" s="1"/>
  <c r="Q84" i="136"/>
  <c r="W202" i="4" s="1"/>
  <c r="Q85" i="136"/>
  <c r="W203" i="4" s="1"/>
  <c r="Q86" i="136"/>
  <c r="W205" i="4" s="1"/>
  <c r="Q87" i="136"/>
  <c r="W206" i="4" s="1"/>
  <c r="Q88" i="136"/>
  <c r="W207" i="4" s="1"/>
  <c r="Q3" i="136"/>
  <c r="W10" i="4" s="1"/>
  <c r="Q9" i="4" l="1"/>
  <c r="X20" i="35"/>
  <c r="X10" i="35" s="1"/>
  <c r="X9" i="35" s="1"/>
  <c r="P213" i="39"/>
  <c r="P140" i="39"/>
  <c r="Z14" i="37"/>
  <c r="Z12" i="37" s="1"/>
  <c r="Z20" i="35"/>
  <c r="Z44" i="37"/>
  <c r="Z40" i="37" s="1"/>
  <c r="X14" i="37"/>
  <c r="X12" i="37" s="1"/>
  <c r="X44" i="37"/>
  <c r="X40" i="37" s="1"/>
  <c r="W9" i="4"/>
  <c r="U4" i="139"/>
  <c r="V4" i="139"/>
  <c r="W4" i="139"/>
  <c r="U5" i="139"/>
  <c r="V5" i="139"/>
  <c r="W5" i="139"/>
  <c r="U6" i="139"/>
  <c r="V6" i="139"/>
  <c r="W6" i="139"/>
  <c r="U7" i="139"/>
  <c r="I70" i="54" s="1"/>
  <c r="V7" i="139"/>
  <c r="W7" i="139"/>
  <c r="U8" i="139"/>
  <c r="V8" i="139"/>
  <c r="L70" i="54" s="1"/>
  <c r="W8" i="139"/>
  <c r="V3" i="139"/>
  <c r="W3" i="139"/>
  <c r="U3" i="139"/>
  <c r="V61" i="35"/>
  <c r="V33" i="35"/>
  <c r="Z4" i="137"/>
  <c r="AA4" i="137"/>
  <c r="AB4" i="137"/>
  <c r="Z5" i="137"/>
  <c r="AA5" i="137"/>
  <c r="AB5" i="137"/>
  <c r="Z6" i="137"/>
  <c r="AA6" i="137"/>
  <c r="AB6" i="137"/>
  <c r="Z7" i="137"/>
  <c r="AA7" i="137"/>
  <c r="AB7" i="137"/>
  <c r="Z8" i="137"/>
  <c r="AA8" i="137"/>
  <c r="AB8" i="137"/>
  <c r="Z9" i="137"/>
  <c r="AA9" i="137"/>
  <c r="AB9" i="137"/>
  <c r="Z10" i="137"/>
  <c r="AA10" i="137"/>
  <c r="AB10" i="137"/>
  <c r="Z11" i="137"/>
  <c r="AA11" i="137"/>
  <c r="AB11" i="137"/>
  <c r="Z12" i="137"/>
  <c r="AA12" i="137"/>
  <c r="AB12" i="137"/>
  <c r="Z13" i="137"/>
  <c r="AA13" i="137"/>
  <c r="AB13" i="137"/>
  <c r="Z14" i="137"/>
  <c r="AA14" i="137"/>
  <c r="AB14" i="137"/>
  <c r="Z15" i="137"/>
  <c r="AA15" i="137"/>
  <c r="AB15" i="137"/>
  <c r="Z16" i="137"/>
  <c r="AA16" i="137"/>
  <c r="AB16" i="137"/>
  <c r="Z17" i="137"/>
  <c r="AA17" i="137"/>
  <c r="AB17" i="137"/>
  <c r="Z18" i="137"/>
  <c r="AA18" i="137"/>
  <c r="AB18" i="137"/>
  <c r="Z19" i="137"/>
  <c r="AA19" i="137"/>
  <c r="AB19" i="137"/>
  <c r="Z20" i="137"/>
  <c r="AA20" i="137"/>
  <c r="AB20" i="137"/>
  <c r="Z21" i="137"/>
  <c r="AA21" i="137"/>
  <c r="AB21" i="137"/>
  <c r="Z22" i="137"/>
  <c r="AA22" i="137"/>
  <c r="AB22" i="137"/>
  <c r="Z23" i="137"/>
  <c r="AA23" i="137"/>
  <c r="AB23" i="137"/>
  <c r="Z24" i="137"/>
  <c r="AA24" i="137"/>
  <c r="AB24" i="137"/>
  <c r="Z25" i="137"/>
  <c r="AA25" i="137"/>
  <c r="AB25" i="137"/>
  <c r="Z26" i="137"/>
  <c r="AA26" i="137"/>
  <c r="AB26" i="137"/>
  <c r="Z27" i="137"/>
  <c r="AA27" i="137"/>
  <c r="AB27" i="137"/>
  <c r="Z28" i="137"/>
  <c r="AA28" i="137"/>
  <c r="AB28" i="137"/>
  <c r="Z29" i="137"/>
  <c r="AA29" i="137"/>
  <c r="AB29" i="137"/>
  <c r="Z30" i="137"/>
  <c r="AA30" i="137"/>
  <c r="AB30" i="137"/>
  <c r="Z31" i="137"/>
  <c r="AA31" i="137"/>
  <c r="AB31" i="137"/>
  <c r="Z32" i="137"/>
  <c r="AA32" i="137"/>
  <c r="AB32" i="137"/>
  <c r="Z33" i="137"/>
  <c r="AA33" i="137"/>
  <c r="AB33" i="137"/>
  <c r="Z34" i="137"/>
  <c r="AA34" i="137"/>
  <c r="AB34" i="137"/>
  <c r="Z35" i="137"/>
  <c r="AA35" i="137"/>
  <c r="AB35" i="137"/>
  <c r="Z36" i="137"/>
  <c r="AA36" i="137"/>
  <c r="AB36" i="137"/>
  <c r="Z37" i="137"/>
  <c r="AA37" i="137"/>
  <c r="AB37" i="137"/>
  <c r="Z38" i="137"/>
  <c r="AA38" i="137"/>
  <c r="AB38" i="137"/>
  <c r="Z39" i="137"/>
  <c r="AA39" i="137"/>
  <c r="AB39" i="137"/>
  <c r="Z40" i="137"/>
  <c r="AA40" i="137"/>
  <c r="AB40" i="137"/>
  <c r="Z41" i="137"/>
  <c r="AA41" i="137"/>
  <c r="AB41" i="137"/>
  <c r="Z42" i="137"/>
  <c r="AA42" i="137"/>
  <c r="AB42" i="137"/>
  <c r="Z43" i="137"/>
  <c r="AA43" i="137"/>
  <c r="AB43" i="137"/>
  <c r="Z44" i="137"/>
  <c r="AA44" i="137"/>
  <c r="AB44" i="137"/>
  <c r="Z45" i="137"/>
  <c r="AA45" i="137"/>
  <c r="AB45" i="137"/>
  <c r="Z46" i="137"/>
  <c r="AA46" i="137"/>
  <c r="AB46" i="137"/>
  <c r="Z47" i="137"/>
  <c r="AA47" i="137"/>
  <c r="AB47" i="137"/>
  <c r="AA3" i="137"/>
  <c r="AB3" i="137"/>
  <c r="Z3" i="137"/>
  <c r="Q4" i="137"/>
  <c r="V22" i="35" s="1"/>
  <c r="Q5" i="137"/>
  <c r="V32" i="35" s="1"/>
  <c r="Q32" i="35" s="1"/>
  <c r="R32" i="35" s="1"/>
  <c r="Q6" i="137"/>
  <c r="V30" i="35" s="1"/>
  <c r="Q7" i="137"/>
  <c r="V38" i="35" s="1"/>
  <c r="Q38" i="35" s="1"/>
  <c r="R38" i="35" s="1"/>
  <c r="Q8" i="137"/>
  <c r="V42" i="35" s="1"/>
  <c r="Q42" i="35" s="1"/>
  <c r="R42" i="35" s="1"/>
  <c r="Q9" i="137"/>
  <c r="V56" i="35" s="1"/>
  <c r="Q56" i="35" s="1"/>
  <c r="R56" i="35" s="1"/>
  <c r="Q10" i="137"/>
  <c r="V57" i="35" s="1"/>
  <c r="Q57" i="35" s="1"/>
  <c r="R57" i="35" s="1"/>
  <c r="Q3" i="137"/>
  <c r="V26" i="35" s="1"/>
  <c r="K211" i="4" l="1"/>
  <c r="K213" i="4"/>
  <c r="Z11" i="37"/>
  <c r="Z10" i="35"/>
  <c r="Z9" i="35" s="1"/>
  <c r="Q37" i="35"/>
  <c r="Q26" i="35"/>
  <c r="R26" i="35" s="1"/>
  <c r="X11" i="37"/>
  <c r="V27" i="35"/>
  <c r="V21" i="35"/>
  <c r="V55" i="35"/>
  <c r="V54" i="35" s="1"/>
  <c r="V53" i="35" s="1"/>
  <c r="V37" i="35"/>
  <c r="V41" i="37"/>
  <c r="V37" i="37"/>
  <c r="AA4" i="138"/>
  <c r="AB4" i="138"/>
  <c r="AC4" i="138"/>
  <c r="AA5" i="138"/>
  <c r="AB5" i="138"/>
  <c r="AC5" i="138"/>
  <c r="AA6" i="138"/>
  <c r="AB6" i="138"/>
  <c r="AC6" i="138"/>
  <c r="AA7" i="138"/>
  <c r="AB7" i="138"/>
  <c r="AC7" i="138"/>
  <c r="AA8" i="138"/>
  <c r="AB8" i="138"/>
  <c r="AC8" i="138"/>
  <c r="AA9" i="138"/>
  <c r="AB9" i="138"/>
  <c r="AC9" i="138"/>
  <c r="AA10" i="138"/>
  <c r="AB10" i="138"/>
  <c r="AC10" i="138"/>
  <c r="AA11" i="138"/>
  <c r="AB11" i="138"/>
  <c r="AC11" i="138"/>
  <c r="AA12" i="138"/>
  <c r="AB12" i="138"/>
  <c r="AC12" i="138"/>
  <c r="AA13" i="138"/>
  <c r="AB13" i="138"/>
  <c r="AC13" i="138"/>
  <c r="AA14" i="138"/>
  <c r="AB14" i="138"/>
  <c r="AC14" i="138"/>
  <c r="AA15" i="138"/>
  <c r="AB15" i="138"/>
  <c r="AC15" i="138"/>
  <c r="AA16" i="138"/>
  <c r="AB16" i="138"/>
  <c r="AC16" i="138"/>
  <c r="AA17" i="138"/>
  <c r="AB17" i="138"/>
  <c r="AC17" i="138"/>
  <c r="AA18" i="138"/>
  <c r="AB18" i="138"/>
  <c r="AC18" i="138"/>
  <c r="AA19" i="138"/>
  <c r="AB19" i="138"/>
  <c r="AC19" i="138"/>
  <c r="AA20" i="138"/>
  <c r="AB20" i="138"/>
  <c r="AC20" i="138"/>
  <c r="AA21" i="138"/>
  <c r="AB21" i="138"/>
  <c r="AC21" i="138"/>
  <c r="AA22" i="138"/>
  <c r="AB22" i="138"/>
  <c r="AC22" i="138"/>
  <c r="AA23" i="138"/>
  <c r="AB23" i="138"/>
  <c r="AC23" i="138"/>
  <c r="AA24" i="138"/>
  <c r="AB24" i="138"/>
  <c r="AC24" i="138"/>
  <c r="AA25" i="138"/>
  <c r="AB25" i="138"/>
  <c r="AC25" i="138"/>
  <c r="AA26" i="138"/>
  <c r="AB26" i="138"/>
  <c r="AC26" i="138"/>
  <c r="AA27" i="138"/>
  <c r="AB27" i="138"/>
  <c r="AC27" i="138"/>
  <c r="AA28" i="138"/>
  <c r="AB28" i="138"/>
  <c r="AC28" i="138"/>
  <c r="AA29" i="138"/>
  <c r="AB29" i="138"/>
  <c r="AC29" i="138"/>
  <c r="AA30" i="138"/>
  <c r="AB30" i="138"/>
  <c r="AC30" i="138"/>
  <c r="AA31" i="138"/>
  <c r="AB31" i="138"/>
  <c r="AC31" i="138"/>
  <c r="AA32" i="138"/>
  <c r="AB32" i="138"/>
  <c r="AC32" i="138"/>
  <c r="AA33" i="138"/>
  <c r="AB33" i="138"/>
  <c r="AC33" i="138"/>
  <c r="AA34" i="138"/>
  <c r="AB34" i="138"/>
  <c r="AC34" i="138"/>
  <c r="AA35" i="138"/>
  <c r="AB35" i="138"/>
  <c r="AC35" i="138"/>
  <c r="AA36" i="138"/>
  <c r="AB36" i="138"/>
  <c r="AC36" i="138"/>
  <c r="AA37" i="138"/>
  <c r="AB37" i="138"/>
  <c r="AC37" i="138"/>
  <c r="AA38" i="138"/>
  <c r="AB38" i="138"/>
  <c r="AC38" i="138"/>
  <c r="AA39" i="138"/>
  <c r="AB39" i="138"/>
  <c r="AC39" i="138"/>
  <c r="AA40" i="138"/>
  <c r="AB40" i="138"/>
  <c r="AC40" i="138"/>
  <c r="AA41" i="138"/>
  <c r="AB41" i="138"/>
  <c r="AC41" i="138"/>
  <c r="AA42" i="138"/>
  <c r="AB42" i="138"/>
  <c r="AC42" i="138"/>
  <c r="AB3" i="138"/>
  <c r="AC3" i="138"/>
  <c r="AA3" i="138"/>
  <c r="R4" i="138"/>
  <c r="V17" i="37" s="1"/>
  <c r="Q17" i="37" s="1"/>
  <c r="R17" i="37" s="1"/>
  <c r="R5" i="138"/>
  <c r="V18" i="37" s="1"/>
  <c r="R6" i="138"/>
  <c r="V47" i="37" s="1"/>
  <c r="V45" i="37" s="1"/>
  <c r="R7" i="138"/>
  <c r="V51" i="37" s="1"/>
  <c r="R8" i="138"/>
  <c r="V54" i="37" s="1"/>
  <c r="Q54" i="37" s="1"/>
  <c r="R54" i="37" s="1"/>
  <c r="R9" i="138"/>
  <c r="V56" i="37" s="1"/>
  <c r="R10" i="138"/>
  <c r="V59" i="37" s="1"/>
  <c r="Q59" i="37" s="1"/>
  <c r="R3" i="138"/>
  <c r="V15" i="37" s="1"/>
  <c r="Q15" i="37" s="1"/>
  <c r="R15" i="37" s="1"/>
  <c r="R59" i="37" l="1"/>
  <c r="L213" i="4"/>
  <c r="L211" i="4"/>
  <c r="V16" i="37"/>
  <c r="V14" i="37" s="1"/>
  <c r="V12" i="37" s="1"/>
  <c r="V20" i="35"/>
  <c r="V50" i="37"/>
  <c r="V44" i="37" s="1"/>
  <c r="V40" i="37" s="1"/>
  <c r="R11" i="138"/>
  <c r="V11" i="37" l="1"/>
  <c r="V10" i="35"/>
  <c r="V9" i="35" s="1"/>
  <c r="D115" i="136"/>
  <c r="H115" i="136" s="1"/>
  <c r="F262" i="39"/>
  <c r="P143" i="39" l="1"/>
  <c r="H262" i="39"/>
  <c r="F68" i="39"/>
  <c r="F4" i="139" l="1"/>
  <c r="G4" i="139"/>
  <c r="H4" i="139"/>
  <c r="T33" i="54" s="1"/>
  <c r="Q33" i="54" s="1"/>
  <c r="F5" i="139"/>
  <c r="G5" i="139"/>
  <c r="H5" i="139"/>
  <c r="F6" i="139"/>
  <c r="G6" i="139"/>
  <c r="H6" i="139"/>
  <c r="F7" i="139"/>
  <c r="H71" i="54" s="1"/>
  <c r="G7" i="139"/>
  <c r="H7" i="139"/>
  <c r="F8" i="139"/>
  <c r="G8" i="139"/>
  <c r="H8" i="139"/>
  <c r="T71" i="54" s="1"/>
  <c r="G3" i="139"/>
  <c r="H3" i="139"/>
  <c r="F3" i="139"/>
  <c r="P35" i="37"/>
  <c r="P33" i="37"/>
  <c r="Q200" i="39"/>
  <c r="P200" i="39"/>
  <c r="L200" i="39"/>
  <c r="M200" i="39" s="1"/>
  <c r="G200" i="39"/>
  <c r="F200" i="39"/>
  <c r="L41" i="37"/>
  <c r="M41" i="37" s="1"/>
  <c r="H41" i="37"/>
  <c r="L35" i="37"/>
  <c r="M35" i="37" s="1"/>
  <c r="H35" i="37"/>
  <c r="L33" i="37"/>
  <c r="M33" i="37" s="1"/>
  <c r="H33" i="37"/>
  <c r="I95" i="37"/>
  <c r="T41" i="37"/>
  <c r="T37" i="37"/>
  <c r="T35" i="37"/>
  <c r="T33" i="37"/>
  <c r="T29" i="37"/>
  <c r="H4" i="138"/>
  <c r="I4" i="138"/>
  <c r="J4" i="138"/>
  <c r="H5" i="138"/>
  <c r="I5" i="138"/>
  <c r="J5" i="138"/>
  <c r="H6" i="138"/>
  <c r="I6" i="138"/>
  <c r="J6" i="138"/>
  <c r="H7" i="138"/>
  <c r="I7" i="138"/>
  <c r="J7" i="138"/>
  <c r="H8" i="138"/>
  <c r="I8" i="138"/>
  <c r="J8" i="138"/>
  <c r="H9" i="138"/>
  <c r="I9" i="138"/>
  <c r="J9" i="138"/>
  <c r="H10" i="138"/>
  <c r="I10" i="138"/>
  <c r="J10" i="138"/>
  <c r="H11" i="138"/>
  <c r="I11" i="138"/>
  <c r="J11" i="138"/>
  <c r="T21" i="37" s="1"/>
  <c r="Q21" i="37" s="1"/>
  <c r="R21" i="37" s="1"/>
  <c r="H12" i="138"/>
  <c r="I12" i="138"/>
  <c r="J12" i="138"/>
  <c r="T22" i="37" s="1"/>
  <c r="H13" i="138"/>
  <c r="I13" i="138"/>
  <c r="J13" i="138"/>
  <c r="T18" i="37" s="1"/>
  <c r="Q18" i="37" s="1"/>
  <c r="R18" i="37" s="1"/>
  <c r="H14" i="138"/>
  <c r="I14" i="138"/>
  <c r="J14" i="138"/>
  <c r="H15" i="138"/>
  <c r="H200" i="39" s="1"/>
  <c r="I15" i="138"/>
  <c r="J15" i="138"/>
  <c r="H16" i="138"/>
  <c r="I16" i="138"/>
  <c r="J16" i="138"/>
  <c r="H17" i="138"/>
  <c r="I17" i="138"/>
  <c r="J17" i="138"/>
  <c r="H18" i="138"/>
  <c r="I18" i="138"/>
  <c r="J18" i="138"/>
  <c r="H19" i="138"/>
  <c r="I19" i="138"/>
  <c r="J19" i="138"/>
  <c r="H20" i="138"/>
  <c r="I20" i="138"/>
  <c r="J20" i="138"/>
  <c r="T47" i="37" s="1"/>
  <c r="H21" i="138"/>
  <c r="I21" i="138"/>
  <c r="J21" i="138"/>
  <c r="H22" i="138"/>
  <c r="I22" i="138"/>
  <c r="J22" i="138"/>
  <c r="T48" i="37" s="1"/>
  <c r="H23" i="138"/>
  <c r="I23" i="138"/>
  <c r="J23" i="138"/>
  <c r="H24" i="138"/>
  <c r="I24" i="138"/>
  <c r="J24" i="138"/>
  <c r="H25" i="138"/>
  <c r="I25" i="138"/>
  <c r="J25" i="138"/>
  <c r="T51" i="37" s="1"/>
  <c r="Q51" i="37" s="1"/>
  <c r="R51" i="37" s="1"/>
  <c r="H26" i="138"/>
  <c r="I26" i="138"/>
  <c r="J26" i="138"/>
  <c r="H27" i="138"/>
  <c r="I27" i="138"/>
  <c r="J27" i="138"/>
  <c r="H28" i="138"/>
  <c r="I28" i="138"/>
  <c r="J28" i="138"/>
  <c r="H29" i="138"/>
  <c r="I29" i="138"/>
  <c r="J29" i="138"/>
  <c r="H30" i="138"/>
  <c r="I30" i="138"/>
  <c r="J30" i="138"/>
  <c r="H31" i="138"/>
  <c r="I31" i="138"/>
  <c r="J31" i="138"/>
  <c r="T56" i="37" s="1"/>
  <c r="H32" i="138"/>
  <c r="I32" i="138"/>
  <c r="J32" i="138"/>
  <c r="H33" i="138"/>
  <c r="I33" i="138"/>
  <c r="J33" i="138"/>
  <c r="H34" i="138"/>
  <c r="I34" i="138"/>
  <c r="J34" i="138"/>
  <c r="H35" i="138"/>
  <c r="I35" i="138"/>
  <c r="J35" i="138"/>
  <c r="H36" i="138"/>
  <c r="I36" i="138"/>
  <c r="J36" i="138"/>
  <c r="H37" i="138"/>
  <c r="I37" i="138"/>
  <c r="J37" i="138"/>
  <c r="H38" i="138"/>
  <c r="I38" i="138"/>
  <c r="J38" i="138"/>
  <c r="T62" i="37" s="1"/>
  <c r="I3" i="138"/>
  <c r="J3" i="138"/>
  <c r="H3" i="138"/>
  <c r="L11" i="35"/>
  <c r="I11" i="35"/>
  <c r="L35" i="35"/>
  <c r="I35" i="35"/>
  <c r="H35" i="35"/>
  <c r="L33" i="35"/>
  <c r="M35" i="35" l="1"/>
  <c r="M11" i="35"/>
  <c r="N33" i="37"/>
  <c r="O33" i="37" s="1"/>
  <c r="N35" i="37"/>
  <c r="O35" i="37" s="1"/>
  <c r="N41" i="37"/>
  <c r="O41" i="37" s="1"/>
  <c r="Q71" i="54"/>
  <c r="R71" i="54" s="1"/>
  <c r="J33" i="54"/>
  <c r="Q32" i="54"/>
  <c r="Q62" i="37"/>
  <c r="R62" i="37" s="1"/>
  <c r="Q48" i="37"/>
  <c r="R48" i="37" s="1"/>
  <c r="Q47" i="37"/>
  <c r="R47" i="37" s="1"/>
  <c r="Q22" i="37"/>
  <c r="R22" i="37" s="1"/>
  <c r="Q56" i="37"/>
  <c r="R56" i="37" s="1"/>
  <c r="R200" i="39"/>
  <c r="T16" i="37"/>
  <c r="N11" i="35"/>
  <c r="O11" i="35" s="1"/>
  <c r="L29" i="37"/>
  <c r="T32" i="54"/>
  <c r="N70" i="54"/>
  <c r="O70" i="54" s="1"/>
  <c r="T70" i="54"/>
  <c r="J200" i="39"/>
  <c r="K200" i="39" s="1"/>
  <c r="T50" i="37"/>
  <c r="T45" i="37"/>
  <c r="T61" i="37"/>
  <c r="G223" i="39"/>
  <c r="H4" i="137"/>
  <c r="I4" i="137"/>
  <c r="J4" i="137"/>
  <c r="H5" i="137"/>
  <c r="I5" i="137"/>
  <c r="J5" i="137"/>
  <c r="H6" i="137"/>
  <c r="I6" i="137"/>
  <c r="J6" i="137"/>
  <c r="H7" i="137"/>
  <c r="I7" i="137"/>
  <c r="J7" i="137"/>
  <c r="H8" i="137"/>
  <c r="I8" i="137"/>
  <c r="J8" i="137"/>
  <c r="H9" i="137"/>
  <c r="I9" i="137"/>
  <c r="J9" i="137"/>
  <c r="T22" i="35" s="1"/>
  <c r="T21" i="35" s="1"/>
  <c r="H10" i="137"/>
  <c r="I10" i="137"/>
  <c r="J10" i="137"/>
  <c r="H11" i="137"/>
  <c r="I11" i="137"/>
  <c r="J11" i="137"/>
  <c r="H12" i="137"/>
  <c r="I12" i="137"/>
  <c r="J12" i="137"/>
  <c r="H13" i="137"/>
  <c r="I13" i="137"/>
  <c r="J13" i="137"/>
  <c r="H14" i="137"/>
  <c r="I14" i="137"/>
  <c r="J14" i="137"/>
  <c r="H15" i="137"/>
  <c r="I15" i="137"/>
  <c r="J15" i="137"/>
  <c r="T29" i="35" s="1"/>
  <c r="H16" i="137"/>
  <c r="I16" i="137"/>
  <c r="J16" i="137"/>
  <c r="H17" i="137"/>
  <c r="I17" i="137"/>
  <c r="J17" i="137"/>
  <c r="T30" i="35" s="1"/>
  <c r="Q30" i="35" s="1"/>
  <c r="R30" i="35" s="1"/>
  <c r="H18" i="137"/>
  <c r="I18" i="137"/>
  <c r="J18" i="137"/>
  <c r="H19" i="137"/>
  <c r="P33" i="35" s="1"/>
  <c r="I19" i="137"/>
  <c r="J19" i="137"/>
  <c r="H20" i="137"/>
  <c r="I20" i="137"/>
  <c r="J20" i="137"/>
  <c r="H21" i="137"/>
  <c r="I21" i="137"/>
  <c r="J21" i="137"/>
  <c r="H22" i="137"/>
  <c r="I22" i="137"/>
  <c r="J22" i="137"/>
  <c r="H23" i="137"/>
  <c r="I23" i="137"/>
  <c r="J23" i="137"/>
  <c r="H24" i="137"/>
  <c r="I24" i="137"/>
  <c r="J24" i="137"/>
  <c r="H25" i="137"/>
  <c r="I25" i="137"/>
  <c r="J25" i="137"/>
  <c r="H26" i="137"/>
  <c r="I26" i="137"/>
  <c r="L37" i="35" s="1"/>
  <c r="M37" i="35" s="1"/>
  <c r="J26" i="137"/>
  <c r="H27" i="137"/>
  <c r="I27" i="137"/>
  <c r="J27" i="137"/>
  <c r="H28" i="137"/>
  <c r="I28" i="137"/>
  <c r="J28" i="137"/>
  <c r="T49" i="35" s="1"/>
  <c r="H29" i="137"/>
  <c r="I29" i="137"/>
  <c r="J29" i="137"/>
  <c r="H30" i="137"/>
  <c r="I30" i="137"/>
  <c r="J30" i="137"/>
  <c r="H31" i="137"/>
  <c r="I31" i="137"/>
  <c r="J31" i="137"/>
  <c r="H32" i="137"/>
  <c r="I32" i="137"/>
  <c r="J32" i="137"/>
  <c r="H33" i="137"/>
  <c r="I33" i="137"/>
  <c r="J33" i="137"/>
  <c r="H34" i="137"/>
  <c r="I34" i="137"/>
  <c r="J34" i="137"/>
  <c r="H35" i="137"/>
  <c r="I35" i="137"/>
  <c r="J35" i="137"/>
  <c r="H36" i="137"/>
  <c r="I36" i="137"/>
  <c r="J36" i="137"/>
  <c r="H37" i="137"/>
  <c r="I37" i="137"/>
  <c r="J37" i="137"/>
  <c r="H38" i="137"/>
  <c r="P61" i="35" s="1"/>
  <c r="I38" i="137"/>
  <c r="J38" i="137"/>
  <c r="H39" i="137"/>
  <c r="I39" i="137"/>
  <c r="J39" i="137"/>
  <c r="H40" i="137"/>
  <c r="I40" i="137"/>
  <c r="J40" i="137"/>
  <c r="H41" i="137"/>
  <c r="I41" i="137"/>
  <c r="J41" i="137"/>
  <c r="H42" i="137"/>
  <c r="I42" i="137"/>
  <c r="J42" i="137"/>
  <c r="H43" i="137"/>
  <c r="I43" i="137"/>
  <c r="J43" i="137"/>
  <c r="I3" i="137"/>
  <c r="J3" i="137"/>
  <c r="H3" i="137"/>
  <c r="Q50" i="37" l="1"/>
  <c r="N29" i="37"/>
  <c r="T47" i="35"/>
  <c r="T46" i="35" s="1"/>
  <c r="Q46" i="35" s="1"/>
  <c r="R46" i="35" s="1"/>
  <c r="Q49" i="35"/>
  <c r="P27" i="35"/>
  <c r="P55" i="35"/>
  <c r="P54" i="35" s="1"/>
  <c r="P53" i="35" s="1"/>
  <c r="P37" i="35"/>
  <c r="R37" i="35" s="1"/>
  <c r="Q70" i="54"/>
  <c r="R70" i="54" s="1"/>
  <c r="Q45" i="37"/>
  <c r="Q44" i="37" s="1"/>
  <c r="L221" i="39"/>
  <c r="Q16" i="37"/>
  <c r="Q29" i="35"/>
  <c r="R29" i="35" s="1"/>
  <c r="T27" i="35"/>
  <c r="T20" i="35" s="1"/>
  <c r="T10" i="35" s="1"/>
  <c r="Q22" i="35"/>
  <c r="T9" i="54"/>
  <c r="J71" i="54" s="1"/>
  <c r="T14" i="37"/>
  <c r="T12" i="37" s="1"/>
  <c r="H16" i="37"/>
  <c r="J44" i="137"/>
  <c r="L44" i="37"/>
  <c r="M44" i="37" s="1"/>
  <c r="M70" i="54"/>
  <c r="N71" i="54"/>
  <c r="O71" i="54" s="1"/>
  <c r="T62" i="35"/>
  <c r="T61" i="35" s="1"/>
  <c r="L27" i="35"/>
  <c r="M27" i="35" s="1"/>
  <c r="L61" i="35"/>
  <c r="L223" i="39"/>
  <c r="M223" i="39" s="1"/>
  <c r="L55" i="35"/>
  <c r="H46" i="35"/>
  <c r="I33" i="35"/>
  <c r="M33" i="35" s="1"/>
  <c r="H33" i="35"/>
  <c r="H96" i="37"/>
  <c r="H61" i="35"/>
  <c r="H101" i="37"/>
  <c r="H30" i="37"/>
  <c r="T44" i="37"/>
  <c r="T40" i="37" s="1"/>
  <c r="H61" i="37"/>
  <c r="H50" i="37"/>
  <c r="H82" i="37" s="1"/>
  <c r="I14" i="37"/>
  <c r="Q21" i="35" l="1"/>
  <c r="R21" i="35" s="1"/>
  <c r="R22" i="35"/>
  <c r="M14" i="37"/>
  <c r="K14" i="37"/>
  <c r="L40" i="37"/>
  <c r="M40" i="37" s="1"/>
  <c r="N44" i="37"/>
  <c r="O44" i="37" s="1"/>
  <c r="Q14" i="37"/>
  <c r="I195" i="39"/>
  <c r="L20" i="35"/>
  <c r="Q27" i="35"/>
  <c r="R27" i="35" s="1"/>
  <c r="L54" i="35"/>
  <c r="Q47" i="35"/>
  <c r="R47" i="35" s="1"/>
  <c r="L307" i="39"/>
  <c r="L311" i="39"/>
  <c r="I12" i="37"/>
  <c r="N14" i="37"/>
  <c r="O14" i="37" s="1"/>
  <c r="P20" i="35"/>
  <c r="P10" i="35" s="1"/>
  <c r="P9" i="35" s="1"/>
  <c r="T9" i="35"/>
  <c r="Q62" i="35"/>
  <c r="R62" i="35" s="1"/>
  <c r="L194" i="39"/>
  <c r="M194" i="39" s="1"/>
  <c r="N27" i="35"/>
  <c r="O27" i="35" s="1"/>
  <c r="T11" i="37"/>
  <c r="J29" i="37" s="1"/>
  <c r="K71" i="54"/>
  <c r="M71" i="54"/>
  <c r="I55" i="35"/>
  <c r="M55" i="35" s="1"/>
  <c r="H55" i="35"/>
  <c r="I206" i="39"/>
  <c r="I61" i="35"/>
  <c r="I307" i="39" s="1"/>
  <c r="N62" i="35"/>
  <c r="O62" i="35" s="1"/>
  <c r="N200" i="39"/>
  <c r="O200" i="39" s="1"/>
  <c r="H27" i="35"/>
  <c r="H37" i="35"/>
  <c r="H223" i="39"/>
  <c r="H44" i="37"/>
  <c r="H14" i="37"/>
  <c r="H12" i="37" s="1"/>
  <c r="H29" i="37"/>
  <c r="J194" i="39"/>
  <c r="K194" i="39" s="1"/>
  <c r="L10" i="35" l="1"/>
  <c r="M61" i="35"/>
  <c r="M12" i="37"/>
  <c r="K12" i="37"/>
  <c r="L11" i="37"/>
  <c r="N55" i="35"/>
  <c r="O55" i="35" s="1"/>
  <c r="N40" i="37"/>
  <c r="O40" i="37" s="1"/>
  <c r="N12" i="37"/>
  <c r="O12" i="37" s="1"/>
  <c r="L53" i="35"/>
  <c r="J21" i="35"/>
  <c r="K21" i="35" s="1"/>
  <c r="J45" i="35"/>
  <c r="K45" i="35" s="1"/>
  <c r="M307" i="39"/>
  <c r="I54" i="35"/>
  <c r="M54" i="35" s="1"/>
  <c r="N311" i="39"/>
  <c r="O311" i="39" s="1"/>
  <c r="M311" i="39"/>
  <c r="Q34" i="37"/>
  <c r="R34" i="37" s="1"/>
  <c r="J37" i="37"/>
  <c r="K37" i="37" s="1"/>
  <c r="J40" i="37"/>
  <c r="K40" i="37" s="1"/>
  <c r="J58" i="37"/>
  <c r="K58" i="37" s="1"/>
  <c r="J36" i="37"/>
  <c r="K36" i="37" s="1"/>
  <c r="J30" i="37"/>
  <c r="J33" i="37"/>
  <c r="K33" i="37" s="1"/>
  <c r="J43" i="37"/>
  <c r="K43" i="37" s="1"/>
  <c r="J60" i="37"/>
  <c r="K60" i="37" s="1"/>
  <c r="J35" i="37"/>
  <c r="K35" i="37" s="1"/>
  <c r="J59" i="37"/>
  <c r="K59" i="37" s="1"/>
  <c r="J38" i="37"/>
  <c r="K38" i="37" s="1"/>
  <c r="J42" i="37"/>
  <c r="K42" i="37" s="1"/>
  <c r="J41" i="37"/>
  <c r="K41" i="37" s="1"/>
  <c r="J29" i="35"/>
  <c r="K29" i="35" s="1"/>
  <c r="J31" i="35"/>
  <c r="K31" i="35" s="1"/>
  <c r="J28" i="35"/>
  <c r="K28" i="35" s="1"/>
  <c r="J30" i="35"/>
  <c r="K30" i="35" s="1"/>
  <c r="H54" i="35"/>
  <c r="I20" i="35"/>
  <c r="M20" i="35" s="1"/>
  <c r="H20" i="35"/>
  <c r="H10" i="35" s="1"/>
  <c r="N223" i="39"/>
  <c r="O223" i="39" s="1"/>
  <c r="H40" i="37"/>
  <c r="H4" i="136"/>
  <c r="I4" i="136"/>
  <c r="J4" i="136"/>
  <c r="K4" i="136"/>
  <c r="H5" i="136"/>
  <c r="I5" i="136"/>
  <c r="J5" i="136"/>
  <c r="K5" i="136"/>
  <c r="H6" i="136"/>
  <c r="I6" i="136"/>
  <c r="J6" i="136"/>
  <c r="K6" i="136"/>
  <c r="H7" i="136"/>
  <c r="I7" i="136"/>
  <c r="J7" i="136"/>
  <c r="K7" i="136"/>
  <c r="H8" i="136"/>
  <c r="I8" i="136"/>
  <c r="J8" i="136"/>
  <c r="K8" i="136"/>
  <c r="H9" i="136"/>
  <c r="I9" i="136"/>
  <c r="J9" i="136"/>
  <c r="K9" i="136"/>
  <c r="H10" i="136"/>
  <c r="I10" i="136"/>
  <c r="J10" i="136"/>
  <c r="K10" i="136"/>
  <c r="H11" i="136"/>
  <c r="I11" i="136"/>
  <c r="J11" i="136"/>
  <c r="K11" i="136"/>
  <c r="H12" i="136"/>
  <c r="I12" i="136"/>
  <c r="J12" i="136"/>
  <c r="K12" i="136"/>
  <c r="H13" i="136"/>
  <c r="I13" i="136"/>
  <c r="J13" i="136"/>
  <c r="K13" i="136"/>
  <c r="H14" i="136"/>
  <c r="I14" i="136"/>
  <c r="J14" i="136"/>
  <c r="K14" i="136"/>
  <c r="H15" i="136"/>
  <c r="I15" i="136"/>
  <c r="J15" i="136"/>
  <c r="K15" i="136"/>
  <c r="H16" i="136"/>
  <c r="I16" i="136"/>
  <c r="J16" i="136"/>
  <c r="K16" i="136"/>
  <c r="H17" i="136"/>
  <c r="I17" i="136"/>
  <c r="J17" i="136"/>
  <c r="K17" i="136"/>
  <c r="H18" i="136"/>
  <c r="I18" i="136"/>
  <c r="J18" i="136"/>
  <c r="K18" i="136"/>
  <c r="H19" i="136"/>
  <c r="I19" i="136"/>
  <c r="J19" i="136"/>
  <c r="K19" i="136"/>
  <c r="H20" i="136"/>
  <c r="I20" i="136"/>
  <c r="J20" i="136"/>
  <c r="K20" i="136"/>
  <c r="H21" i="136"/>
  <c r="I21" i="136"/>
  <c r="J21" i="136"/>
  <c r="K21" i="136"/>
  <c r="H22" i="136"/>
  <c r="I22" i="136"/>
  <c r="J22" i="136"/>
  <c r="K22" i="136"/>
  <c r="H23" i="136"/>
  <c r="I23" i="136"/>
  <c r="J23" i="136"/>
  <c r="K23" i="136"/>
  <c r="H24" i="136"/>
  <c r="I24" i="136"/>
  <c r="J24" i="136"/>
  <c r="K24" i="136"/>
  <c r="H25" i="136"/>
  <c r="I25" i="136"/>
  <c r="J25" i="136"/>
  <c r="K25" i="136"/>
  <c r="H26" i="136"/>
  <c r="I26" i="136"/>
  <c r="J26" i="136"/>
  <c r="K26" i="136"/>
  <c r="H27" i="136"/>
  <c r="I27" i="136"/>
  <c r="J27" i="136"/>
  <c r="K27" i="136"/>
  <c r="H28" i="136"/>
  <c r="I28" i="136"/>
  <c r="J28" i="136"/>
  <c r="K28" i="136"/>
  <c r="H29" i="136"/>
  <c r="I29" i="136"/>
  <c r="J29" i="136"/>
  <c r="K29" i="136"/>
  <c r="H30" i="136"/>
  <c r="I30" i="136"/>
  <c r="J30" i="136"/>
  <c r="K30" i="136"/>
  <c r="H31" i="136"/>
  <c r="I31" i="136"/>
  <c r="J31" i="136"/>
  <c r="K31" i="136"/>
  <c r="H32" i="136"/>
  <c r="I32" i="136"/>
  <c r="J32" i="136"/>
  <c r="K32" i="136"/>
  <c r="H33" i="136"/>
  <c r="I33" i="136"/>
  <c r="J33" i="136"/>
  <c r="K33" i="136"/>
  <c r="H34" i="136"/>
  <c r="I34" i="136"/>
  <c r="J34" i="136"/>
  <c r="K34" i="136"/>
  <c r="H35" i="136"/>
  <c r="I35" i="136"/>
  <c r="J35" i="136"/>
  <c r="K35" i="136"/>
  <c r="H36" i="136"/>
  <c r="I36" i="136"/>
  <c r="J36" i="136"/>
  <c r="K36" i="136"/>
  <c r="H37" i="136"/>
  <c r="I37" i="136"/>
  <c r="J37" i="136"/>
  <c r="K37" i="136"/>
  <c r="H38" i="136"/>
  <c r="I38" i="136"/>
  <c r="J38" i="136"/>
  <c r="K38" i="136"/>
  <c r="H39" i="136"/>
  <c r="I39" i="136"/>
  <c r="J39" i="136"/>
  <c r="K39" i="136"/>
  <c r="H40" i="136"/>
  <c r="I40" i="136"/>
  <c r="J40" i="136"/>
  <c r="K40" i="136"/>
  <c r="H41" i="136"/>
  <c r="I41" i="136"/>
  <c r="J41" i="136"/>
  <c r="K41" i="136"/>
  <c r="H42" i="136"/>
  <c r="I42" i="136"/>
  <c r="J42" i="136"/>
  <c r="K42" i="136"/>
  <c r="U54" i="4" s="1"/>
  <c r="H43" i="136"/>
  <c r="I43" i="136"/>
  <c r="J43" i="136"/>
  <c r="K43" i="136"/>
  <c r="H44" i="136"/>
  <c r="I44" i="136"/>
  <c r="J44" i="136"/>
  <c r="K44" i="136"/>
  <c r="H45" i="136"/>
  <c r="I45" i="136"/>
  <c r="J45" i="136"/>
  <c r="K45" i="136"/>
  <c r="H46" i="136"/>
  <c r="I46" i="136"/>
  <c r="J46" i="136"/>
  <c r="K46" i="136"/>
  <c r="H47" i="136"/>
  <c r="I47" i="136"/>
  <c r="J47" i="136"/>
  <c r="K47" i="136"/>
  <c r="H48" i="136"/>
  <c r="I48" i="136"/>
  <c r="J48" i="136"/>
  <c r="K48" i="136"/>
  <c r="H49" i="136"/>
  <c r="I49" i="136"/>
  <c r="J49" i="136"/>
  <c r="K49" i="136"/>
  <c r="H50" i="136"/>
  <c r="I50" i="136"/>
  <c r="J50" i="136"/>
  <c r="K50" i="136"/>
  <c r="H51" i="136"/>
  <c r="I51" i="136"/>
  <c r="J51" i="136"/>
  <c r="K51" i="136"/>
  <c r="H52" i="136"/>
  <c r="I52" i="136"/>
  <c r="J52" i="136"/>
  <c r="K52" i="136"/>
  <c r="H53" i="136"/>
  <c r="I53" i="136"/>
  <c r="J53" i="136"/>
  <c r="K53" i="136"/>
  <c r="H54" i="136"/>
  <c r="I54" i="136"/>
  <c r="J54" i="136"/>
  <c r="K54" i="136"/>
  <c r="H55" i="136"/>
  <c r="I55" i="136"/>
  <c r="J55" i="136"/>
  <c r="K55" i="136"/>
  <c r="H56" i="136"/>
  <c r="I56" i="136"/>
  <c r="J56" i="136"/>
  <c r="K56" i="136"/>
  <c r="H57" i="136"/>
  <c r="I57" i="136"/>
  <c r="J57" i="136"/>
  <c r="K57" i="136"/>
  <c r="H58" i="136"/>
  <c r="I58" i="136"/>
  <c r="J58" i="136"/>
  <c r="K58" i="136"/>
  <c r="H59" i="136"/>
  <c r="I59" i="136"/>
  <c r="J59" i="136"/>
  <c r="K59" i="136"/>
  <c r="H60" i="136"/>
  <c r="I60" i="136"/>
  <c r="J60" i="136"/>
  <c r="K60" i="136"/>
  <c r="H61" i="136"/>
  <c r="I61" i="136"/>
  <c r="J61" i="136"/>
  <c r="K61" i="136"/>
  <c r="H62" i="136"/>
  <c r="I62" i="136"/>
  <c r="J62" i="136"/>
  <c r="K62" i="136"/>
  <c r="H63" i="136"/>
  <c r="I63" i="136"/>
  <c r="J63" i="136"/>
  <c r="K63" i="136"/>
  <c r="H64" i="136"/>
  <c r="I64" i="136"/>
  <c r="J64" i="136"/>
  <c r="K64" i="136"/>
  <c r="H65" i="136"/>
  <c r="I65" i="136"/>
  <c r="J65" i="136"/>
  <c r="K65" i="136"/>
  <c r="H66" i="136"/>
  <c r="I66" i="136"/>
  <c r="J66" i="136"/>
  <c r="K66" i="136"/>
  <c r="H67" i="136"/>
  <c r="I67" i="136"/>
  <c r="J67" i="136"/>
  <c r="K67" i="136"/>
  <c r="H68" i="136"/>
  <c r="I68" i="136"/>
  <c r="J68" i="136"/>
  <c r="K68" i="136"/>
  <c r="H69" i="136"/>
  <c r="I69" i="136"/>
  <c r="J69" i="136"/>
  <c r="K69" i="136"/>
  <c r="H70" i="136"/>
  <c r="I70" i="136"/>
  <c r="J70" i="136"/>
  <c r="K70" i="136"/>
  <c r="H71" i="136"/>
  <c r="I71" i="136"/>
  <c r="J71" i="136"/>
  <c r="K71" i="136"/>
  <c r="H72" i="136"/>
  <c r="I72" i="136"/>
  <c r="J72" i="136"/>
  <c r="K72" i="136"/>
  <c r="H73" i="136"/>
  <c r="I73" i="136"/>
  <c r="J73" i="136"/>
  <c r="K73" i="136"/>
  <c r="H74" i="136"/>
  <c r="I74" i="136"/>
  <c r="J74" i="136"/>
  <c r="K74" i="136"/>
  <c r="H75" i="136"/>
  <c r="I75" i="136"/>
  <c r="J75" i="136"/>
  <c r="K75" i="136"/>
  <c r="H76" i="136"/>
  <c r="I76" i="136"/>
  <c r="J76" i="136"/>
  <c r="K76" i="136"/>
  <c r="H77" i="136"/>
  <c r="I77" i="136"/>
  <c r="J77" i="136"/>
  <c r="K77" i="136"/>
  <c r="H78" i="136"/>
  <c r="I78" i="136"/>
  <c r="J78" i="136"/>
  <c r="K78" i="136"/>
  <c r="H79" i="136"/>
  <c r="I79" i="136"/>
  <c r="J79" i="136"/>
  <c r="K79" i="136"/>
  <c r="H80" i="136"/>
  <c r="I80" i="136"/>
  <c r="J80" i="136"/>
  <c r="K80" i="136"/>
  <c r="H81" i="136"/>
  <c r="I81" i="136"/>
  <c r="J81" i="136"/>
  <c r="K81" i="136"/>
  <c r="H82" i="136"/>
  <c r="I82" i="136"/>
  <c r="J82" i="136"/>
  <c r="K82" i="136"/>
  <c r="H83" i="136"/>
  <c r="I83" i="136"/>
  <c r="J83" i="136"/>
  <c r="K83" i="136"/>
  <c r="H84" i="136"/>
  <c r="I84" i="136"/>
  <c r="J84" i="136"/>
  <c r="K84" i="136"/>
  <c r="H85" i="136"/>
  <c r="I85" i="136"/>
  <c r="J85" i="136"/>
  <c r="K85" i="136"/>
  <c r="H86" i="136"/>
  <c r="I86" i="136"/>
  <c r="J86" i="136"/>
  <c r="K86" i="136"/>
  <c r="H87" i="136"/>
  <c r="I87" i="136"/>
  <c r="J87" i="136"/>
  <c r="K87" i="136"/>
  <c r="H88" i="136"/>
  <c r="I88" i="136"/>
  <c r="J88" i="136"/>
  <c r="K88" i="136"/>
  <c r="H89" i="136"/>
  <c r="I89" i="136"/>
  <c r="J89" i="136"/>
  <c r="K89" i="136"/>
  <c r="H90" i="136"/>
  <c r="I90" i="136"/>
  <c r="J90" i="136"/>
  <c r="K90" i="136"/>
  <c r="H91" i="136"/>
  <c r="I91" i="136"/>
  <c r="J91" i="136"/>
  <c r="K91" i="136"/>
  <c r="H92" i="136"/>
  <c r="I92" i="136"/>
  <c r="J92" i="136"/>
  <c r="K92" i="136"/>
  <c r="H93" i="136"/>
  <c r="I93" i="136"/>
  <c r="J93" i="136"/>
  <c r="K93" i="136"/>
  <c r="H94" i="136"/>
  <c r="I94" i="136"/>
  <c r="J94" i="136"/>
  <c r="K94" i="136"/>
  <c r="H95" i="136"/>
  <c r="I95" i="136"/>
  <c r="J95" i="136"/>
  <c r="K95" i="136"/>
  <c r="H96" i="136"/>
  <c r="I96" i="136"/>
  <c r="J96" i="136"/>
  <c r="K96" i="136"/>
  <c r="H97" i="136"/>
  <c r="I97" i="136"/>
  <c r="J97" i="136"/>
  <c r="K97" i="136"/>
  <c r="H98" i="136"/>
  <c r="I98" i="136"/>
  <c r="J98" i="136"/>
  <c r="K98" i="136"/>
  <c r="H99" i="136"/>
  <c r="I99" i="136"/>
  <c r="J99" i="136"/>
  <c r="K99" i="136"/>
  <c r="H100" i="136"/>
  <c r="I100" i="136"/>
  <c r="J100" i="136"/>
  <c r="K100" i="136"/>
  <c r="H101" i="136"/>
  <c r="I101" i="136"/>
  <c r="J101" i="136"/>
  <c r="K101" i="136"/>
  <c r="H102" i="136"/>
  <c r="I102" i="136"/>
  <c r="J102" i="136"/>
  <c r="K102" i="136"/>
  <c r="H103" i="136"/>
  <c r="I103" i="136"/>
  <c r="J103" i="136"/>
  <c r="K103" i="136"/>
  <c r="H104" i="136"/>
  <c r="I104" i="136"/>
  <c r="J104" i="136"/>
  <c r="K104" i="136"/>
  <c r="H105" i="136"/>
  <c r="I105" i="136"/>
  <c r="J105" i="136"/>
  <c r="K105" i="136"/>
  <c r="H106" i="136"/>
  <c r="I106" i="136"/>
  <c r="J106" i="136"/>
  <c r="K106" i="136"/>
  <c r="H107" i="136"/>
  <c r="I107" i="136"/>
  <c r="J107" i="136"/>
  <c r="K107" i="136"/>
  <c r="H108" i="136"/>
  <c r="I108" i="136"/>
  <c r="J108" i="136"/>
  <c r="K108" i="136"/>
  <c r="H109" i="136"/>
  <c r="I109" i="136"/>
  <c r="J109" i="136"/>
  <c r="K109" i="136"/>
  <c r="H110" i="136"/>
  <c r="I110" i="136"/>
  <c r="J110" i="136"/>
  <c r="K110" i="136"/>
  <c r="H111" i="136"/>
  <c r="I111" i="136"/>
  <c r="J111" i="136"/>
  <c r="K111" i="136"/>
  <c r="I112" i="136"/>
  <c r="J112" i="136"/>
  <c r="K112" i="136"/>
  <c r="H113" i="136"/>
  <c r="I113" i="136"/>
  <c r="J113" i="136"/>
  <c r="K113" i="136"/>
  <c r="H114" i="136"/>
  <c r="I114" i="136"/>
  <c r="J114" i="136"/>
  <c r="K114" i="136"/>
  <c r="I115" i="136"/>
  <c r="J115" i="136"/>
  <c r="K115" i="136"/>
  <c r="H116" i="136"/>
  <c r="I116" i="136"/>
  <c r="J116" i="136"/>
  <c r="K116" i="136"/>
  <c r="H117" i="136"/>
  <c r="I117" i="136"/>
  <c r="J117" i="136"/>
  <c r="K117" i="136"/>
  <c r="H118" i="136"/>
  <c r="I118" i="136"/>
  <c r="J118" i="136"/>
  <c r="K118" i="136"/>
  <c r="H119" i="136"/>
  <c r="I119" i="136"/>
  <c r="J119" i="136"/>
  <c r="K119" i="136"/>
  <c r="H120" i="136"/>
  <c r="I120" i="136"/>
  <c r="J120" i="136"/>
  <c r="K120" i="136"/>
  <c r="H121" i="136"/>
  <c r="I121" i="136"/>
  <c r="J121" i="136"/>
  <c r="K121" i="136"/>
  <c r="H122" i="136"/>
  <c r="I122" i="136"/>
  <c r="J122" i="136"/>
  <c r="K122" i="136"/>
  <c r="H123" i="136"/>
  <c r="I123" i="136"/>
  <c r="J123" i="136"/>
  <c r="K123" i="136"/>
  <c r="H124" i="136"/>
  <c r="I124" i="136"/>
  <c r="J124" i="136"/>
  <c r="K124" i="136"/>
  <c r="H125" i="136"/>
  <c r="I125" i="136"/>
  <c r="J125" i="136"/>
  <c r="K125" i="136"/>
  <c r="H126" i="136"/>
  <c r="I126" i="136"/>
  <c r="J126" i="136"/>
  <c r="K126" i="136"/>
  <c r="H127" i="136"/>
  <c r="I127" i="136"/>
  <c r="J127" i="136"/>
  <c r="K127" i="136"/>
  <c r="H128" i="136"/>
  <c r="I128" i="136"/>
  <c r="J128" i="136"/>
  <c r="K128" i="136"/>
  <c r="H129" i="136"/>
  <c r="I129" i="136"/>
  <c r="J129" i="136"/>
  <c r="N222" i="39" s="1"/>
  <c r="O222" i="39" s="1"/>
  <c r="K129" i="136"/>
  <c r="H130" i="136"/>
  <c r="I130" i="136"/>
  <c r="J130" i="136"/>
  <c r="K130" i="136"/>
  <c r="H131" i="136"/>
  <c r="I131" i="136"/>
  <c r="J131" i="136"/>
  <c r="N225" i="39" s="1"/>
  <c r="O225" i="39" s="1"/>
  <c r="K131" i="136"/>
  <c r="H132" i="136"/>
  <c r="I132" i="136"/>
  <c r="J132" i="136"/>
  <c r="N226" i="39" s="1"/>
  <c r="O226" i="39" s="1"/>
  <c r="K132" i="136"/>
  <c r="I3" i="136"/>
  <c r="J3" i="136"/>
  <c r="K3" i="136"/>
  <c r="H3" i="136"/>
  <c r="BN65" i="142" l="1"/>
  <c r="N54" i="35"/>
  <c r="O54" i="35" s="1"/>
  <c r="J11" i="37"/>
  <c r="I53" i="35"/>
  <c r="M53" i="35" s="1"/>
  <c r="I10" i="35"/>
  <c r="M10" i="35" s="1"/>
  <c r="U72" i="4"/>
  <c r="U70" i="4"/>
  <c r="U64" i="4"/>
  <c r="U172" i="4"/>
  <c r="U149" i="4"/>
  <c r="U132" i="4"/>
  <c r="U130" i="4"/>
  <c r="U105" i="4"/>
  <c r="U103" i="4"/>
  <c r="U100" i="4"/>
  <c r="U98" i="4"/>
  <c r="U40" i="4"/>
  <c r="U154" i="4"/>
  <c r="U146" i="4"/>
  <c r="P142" i="39"/>
  <c r="U131" i="4"/>
  <c r="U101" i="4"/>
  <c r="U99" i="4"/>
  <c r="U97" i="4"/>
  <c r="U90" i="4"/>
  <c r="U88" i="4"/>
  <c r="U86" i="4"/>
  <c r="U52" i="4"/>
  <c r="U50" i="4"/>
  <c r="U47" i="4"/>
  <c r="U28" i="4"/>
  <c r="R28" i="4" s="1"/>
  <c r="U23" i="4"/>
  <c r="R23" i="4" s="1"/>
  <c r="U21" i="4"/>
  <c r="R21" i="4" s="1"/>
  <c r="U19" i="4"/>
  <c r="R19" i="4" s="1"/>
  <c r="U14" i="4"/>
  <c r="R14" i="4" s="1"/>
  <c r="U12" i="4"/>
  <c r="U140" i="4"/>
  <c r="U141" i="4"/>
  <c r="U135" i="4"/>
  <c r="U126" i="4"/>
  <c r="U124" i="4"/>
  <c r="U121" i="4"/>
  <c r="U94" i="4"/>
  <c r="U45" i="4"/>
  <c r="U143" i="4"/>
  <c r="U142" i="4"/>
  <c r="U138" i="4"/>
  <c r="H224" i="39"/>
  <c r="P144" i="39"/>
  <c r="U139" i="4"/>
  <c r="U133" i="4"/>
  <c r="U110" i="4"/>
  <c r="U108" i="4"/>
  <c r="U77" i="4"/>
  <c r="U75" i="4"/>
  <c r="U73" i="4"/>
  <c r="U41" i="4"/>
  <c r="U39" i="4"/>
  <c r="U37" i="4"/>
  <c r="U33" i="4"/>
  <c r="U10" i="4"/>
  <c r="U192" i="4"/>
  <c r="U189" i="4"/>
  <c r="U187" i="4"/>
  <c r="U166" i="4"/>
  <c r="U156" i="4"/>
  <c r="U148" i="4"/>
  <c r="U114" i="4"/>
  <c r="U106" i="4"/>
  <c r="U69" i="4"/>
  <c r="U67" i="4"/>
  <c r="U65" i="4"/>
  <c r="U62" i="4"/>
  <c r="U60" i="4"/>
  <c r="P141" i="39"/>
  <c r="U125" i="4"/>
  <c r="U122" i="4"/>
  <c r="U120" i="4"/>
  <c r="U80" i="4"/>
  <c r="U76" i="4"/>
  <c r="U68" i="4"/>
  <c r="U51" i="4"/>
  <c r="U49" i="4"/>
  <c r="U44" i="4"/>
  <c r="U31" i="4"/>
  <c r="R31" i="4" s="1"/>
  <c r="U27" i="4"/>
  <c r="R27" i="4" s="1"/>
  <c r="U22" i="4"/>
  <c r="R22" i="4" s="1"/>
  <c r="U20" i="4"/>
  <c r="R20" i="4" s="1"/>
  <c r="U18" i="4"/>
  <c r="R18" i="4" s="1"/>
  <c r="U13" i="4"/>
  <c r="R13" i="4" s="1"/>
  <c r="U11" i="4"/>
  <c r="U134" i="4"/>
  <c r="U113" i="4"/>
  <c r="U109" i="4"/>
  <c r="U93" i="4"/>
  <c r="U89" i="4"/>
  <c r="U85" i="4"/>
  <c r="U59" i="4"/>
  <c r="U36" i="4"/>
  <c r="U191" i="4"/>
  <c r="U193" i="4"/>
  <c r="U194" i="4"/>
  <c r="U203" i="4"/>
  <c r="N20" i="35"/>
  <c r="O20" i="35" s="1"/>
  <c r="H53" i="35"/>
  <c r="H9" i="35" s="1"/>
  <c r="H320" i="39" s="1"/>
  <c r="H226" i="39"/>
  <c r="H93" i="39"/>
  <c r="H24" i="39"/>
  <c r="H311" i="39"/>
  <c r="H225" i="39"/>
  <c r="H222" i="39"/>
  <c r="U26" i="4"/>
  <c r="R26" i="4" s="1"/>
  <c r="U46" i="4"/>
  <c r="U38" i="4"/>
  <c r="U58" i="4"/>
  <c r="U71" i="4"/>
  <c r="U83" i="4"/>
  <c r="U95" i="4"/>
  <c r="U115" i="4"/>
  <c r="U107" i="4"/>
  <c r="U152" i="4"/>
  <c r="U188" i="4"/>
  <c r="U17" i="4"/>
  <c r="R17" i="4" s="1"/>
  <c r="U30" i="4"/>
  <c r="R30" i="4" s="1"/>
  <c r="U137" i="4"/>
  <c r="U129" i="4"/>
  <c r="U145" i="4"/>
  <c r="U15" i="4"/>
  <c r="R15" i="4" s="1"/>
  <c r="U29" i="4"/>
  <c r="R29" i="4" s="1"/>
  <c r="U43" i="4"/>
  <c r="U35" i="4"/>
  <c r="U57" i="4"/>
  <c r="U112" i="4"/>
  <c r="U104" i="4"/>
  <c r="U136" i="4"/>
  <c r="U128" i="4"/>
  <c r="U144" i="4"/>
  <c r="U165" i="4"/>
  <c r="U42" i="4"/>
  <c r="U34" i="4"/>
  <c r="U111" i="4"/>
  <c r="U118" i="4"/>
  <c r="U61" i="4"/>
  <c r="U74" i="4"/>
  <c r="U66" i="4"/>
  <c r="U87" i="4"/>
  <c r="U195" i="4"/>
  <c r="N53" i="35" l="1"/>
  <c r="O53" i="35" s="1"/>
  <c r="S23" i="4"/>
  <c r="S27" i="4"/>
  <c r="S31" i="4"/>
  <c r="S26" i="4"/>
  <c r="S28" i="4"/>
  <c r="S30" i="4"/>
  <c r="S20" i="4"/>
  <c r="S17" i="4"/>
  <c r="S14" i="4"/>
  <c r="S13" i="4"/>
  <c r="S19" i="4"/>
  <c r="S15" i="4"/>
  <c r="S22" i="4"/>
  <c r="S29" i="4"/>
  <c r="S18" i="4"/>
  <c r="S21" i="4"/>
  <c r="N10" i="35"/>
  <c r="O10" i="35" s="1"/>
  <c r="BM65" i="142"/>
  <c r="J321" i="39"/>
  <c r="U9" i="4"/>
  <c r="K123" i="4" s="1"/>
  <c r="R88" i="4"/>
  <c r="R101" i="4"/>
  <c r="I9" i="35"/>
  <c r="N262" i="39"/>
  <c r="O262" i="39" s="1"/>
  <c r="L123" i="4" l="1"/>
  <c r="K123" i="39" s="1"/>
  <c r="J123" i="39"/>
  <c r="K157" i="4"/>
  <c r="K163" i="4"/>
  <c r="R164" i="4"/>
  <c r="R159" i="4"/>
  <c r="K158" i="4"/>
  <c r="K162" i="4"/>
  <c r="R163" i="4"/>
  <c r="R158" i="4"/>
  <c r="R162" i="4"/>
  <c r="K161" i="4"/>
  <c r="R161" i="4"/>
  <c r="K160" i="4"/>
  <c r="K159" i="4"/>
  <c r="K164" i="4"/>
  <c r="R160" i="4"/>
  <c r="S88" i="4"/>
  <c r="S101" i="4"/>
  <c r="K175" i="4"/>
  <c r="K176" i="4"/>
  <c r="K154" i="4"/>
  <c r="K150" i="4"/>
  <c r="K151" i="4"/>
  <c r="K155" i="4"/>
  <c r="K153" i="4"/>
  <c r="K156" i="4"/>
  <c r="K152" i="4"/>
  <c r="K137" i="4"/>
  <c r="K208" i="4"/>
  <c r="K141" i="4"/>
  <c r="K187" i="4"/>
  <c r="K116" i="4"/>
  <c r="K132" i="4"/>
  <c r="K138" i="4"/>
  <c r="K142" i="4"/>
  <c r="K83" i="4"/>
  <c r="K133" i="4"/>
  <c r="K144" i="4"/>
  <c r="K130" i="4"/>
  <c r="K129" i="4"/>
  <c r="K149" i="4"/>
  <c r="K190" i="4"/>
  <c r="K114" i="4"/>
  <c r="K124" i="4"/>
  <c r="K188" i="4"/>
  <c r="K193" i="4"/>
  <c r="K192" i="4"/>
  <c r="K200" i="4"/>
  <c r="K148" i="4"/>
  <c r="K143" i="4"/>
  <c r="K120" i="4"/>
  <c r="K170" i="4"/>
  <c r="K166" i="4"/>
  <c r="K168" i="4"/>
  <c r="K201" i="4"/>
  <c r="K139" i="4"/>
  <c r="K174" i="4"/>
  <c r="K136" i="4"/>
  <c r="K115" i="4"/>
  <c r="K206" i="4"/>
  <c r="K135" i="4"/>
  <c r="K167" i="4"/>
  <c r="K209" i="4"/>
  <c r="K180" i="4"/>
  <c r="K183" i="4"/>
  <c r="K186" i="4"/>
  <c r="K140" i="4"/>
  <c r="K169" i="4"/>
  <c r="K119" i="4"/>
  <c r="K189" i="4"/>
  <c r="K145" i="4"/>
  <c r="K131" i="4"/>
  <c r="K117" i="4"/>
  <c r="K194" i="4"/>
  <c r="K118" i="4"/>
  <c r="K171" i="4"/>
  <c r="K113" i="4"/>
  <c r="K191" i="4"/>
  <c r="K196" i="4"/>
  <c r="K127" i="4"/>
  <c r="K89" i="4"/>
  <c r="K212" i="4"/>
  <c r="K172" i="4"/>
  <c r="K207" i="4"/>
  <c r="K199" i="4"/>
  <c r="K128" i="4"/>
  <c r="K197" i="4"/>
  <c r="K181" i="4"/>
  <c r="K179" i="4"/>
  <c r="K80" i="4"/>
  <c r="K173" i="4"/>
  <c r="K182" i="4"/>
  <c r="K73" i="4"/>
  <c r="K126" i="4"/>
  <c r="K195" i="4"/>
  <c r="K125" i="4"/>
  <c r="K205" i="4"/>
  <c r="K177" i="4"/>
  <c r="K202" i="4"/>
  <c r="K134" i="4"/>
  <c r="K122" i="4"/>
  <c r="K210" i="4"/>
  <c r="K204" i="4"/>
  <c r="K121" i="4"/>
  <c r="K203" i="4"/>
  <c r="K165" i="4"/>
  <c r="K146" i="4"/>
  <c r="K198" i="4"/>
  <c r="K147" i="4"/>
  <c r="K185" i="4"/>
  <c r="K178" i="4"/>
  <c r="R189" i="4"/>
  <c r="K54" i="4"/>
  <c r="R54" i="4"/>
  <c r="R65" i="4"/>
  <c r="K81" i="4"/>
  <c r="K82" i="4"/>
  <c r="R135" i="4"/>
  <c r="R106" i="4"/>
  <c r="R51" i="4"/>
  <c r="R172" i="4"/>
  <c r="R105" i="4"/>
  <c r="R40" i="4"/>
  <c r="R39" i="4"/>
  <c r="R62" i="4"/>
  <c r="R47" i="4"/>
  <c r="R85" i="4"/>
  <c r="R77" i="4"/>
  <c r="R94" i="4"/>
  <c r="R188" i="4"/>
  <c r="R113" i="4"/>
  <c r="R192" i="4"/>
  <c r="R87" i="4"/>
  <c r="R71" i="4"/>
  <c r="R148" i="4"/>
  <c r="R35" i="4"/>
  <c r="R58" i="4"/>
  <c r="R195" i="4"/>
  <c r="R99" i="4"/>
  <c r="R139" i="4"/>
  <c r="R149" i="4"/>
  <c r="R154" i="4"/>
  <c r="R193" i="4"/>
  <c r="R72" i="4"/>
  <c r="R126" i="4"/>
  <c r="R45" i="4"/>
  <c r="R34" i="4"/>
  <c r="R133" i="4"/>
  <c r="R37" i="4"/>
  <c r="R86" i="4"/>
  <c r="R49" i="4"/>
  <c r="R42" i="4"/>
  <c r="R140" i="4"/>
  <c r="R60" i="4"/>
  <c r="R76" i="4"/>
  <c r="R137" i="4"/>
  <c r="R75" i="4"/>
  <c r="R109" i="4"/>
  <c r="R59" i="4"/>
  <c r="R104" i="4"/>
  <c r="R95" i="4"/>
  <c r="R125" i="4"/>
  <c r="R70" i="4"/>
  <c r="R132" i="4"/>
  <c r="R146" i="4"/>
  <c r="R52" i="4"/>
  <c r="R124" i="4"/>
  <c r="R112" i="4"/>
  <c r="R111" i="4"/>
  <c r="R143" i="4"/>
  <c r="R142" i="4"/>
  <c r="R118" i="4"/>
  <c r="R100" i="4"/>
  <c r="R110" i="4"/>
  <c r="R129" i="4"/>
  <c r="R97" i="4"/>
  <c r="R187" i="4"/>
  <c r="R67" i="4"/>
  <c r="R93" i="4"/>
  <c r="R122" i="4"/>
  <c r="R68" i="4"/>
  <c r="R115" i="4"/>
  <c r="R61" i="4"/>
  <c r="R90" i="4"/>
  <c r="R44" i="4"/>
  <c r="R36" i="4"/>
  <c r="R107" i="4"/>
  <c r="R128" i="4"/>
  <c r="R131" i="4"/>
  <c r="R50" i="4"/>
  <c r="R136" i="4"/>
  <c r="R121" i="4"/>
  <c r="R138" i="4"/>
  <c r="R114" i="4"/>
  <c r="R130" i="4"/>
  <c r="R134" i="4"/>
  <c r="K35" i="4"/>
  <c r="K93" i="4"/>
  <c r="K70" i="4"/>
  <c r="K62" i="4"/>
  <c r="K52" i="4"/>
  <c r="K91" i="4"/>
  <c r="K44" i="4"/>
  <c r="K99" i="4"/>
  <c r="K32" i="4"/>
  <c r="K107" i="4"/>
  <c r="K74" i="4"/>
  <c r="K69" i="4"/>
  <c r="K33" i="4"/>
  <c r="K48" i="4"/>
  <c r="K72" i="4"/>
  <c r="K41" i="4"/>
  <c r="K26" i="4"/>
  <c r="K57" i="4"/>
  <c r="K97" i="4"/>
  <c r="K94" i="4"/>
  <c r="K55" i="4"/>
  <c r="K25" i="4"/>
  <c r="K65" i="4"/>
  <c r="K37" i="4"/>
  <c r="K42" i="4"/>
  <c r="K23" i="4"/>
  <c r="K111" i="4"/>
  <c r="K20" i="4"/>
  <c r="K38" i="4"/>
  <c r="K108" i="4"/>
  <c r="K68" i="4"/>
  <c r="K36" i="4"/>
  <c r="K86" i="4"/>
  <c r="K53" i="4"/>
  <c r="K51" i="4"/>
  <c r="K101" i="4"/>
  <c r="K47" i="4"/>
  <c r="K88" i="4"/>
  <c r="K66" i="4"/>
  <c r="K49" i="4"/>
  <c r="K50" i="4"/>
  <c r="K110" i="4"/>
  <c r="K79" i="4"/>
  <c r="K59" i="4"/>
  <c r="K104" i="4"/>
  <c r="K76" i="4"/>
  <c r="K63" i="4"/>
  <c r="K85" i="4"/>
  <c r="K90" i="4"/>
  <c r="K109" i="4"/>
  <c r="K96" i="4"/>
  <c r="K56" i="4"/>
  <c r="K92" i="4"/>
  <c r="K24" i="4"/>
  <c r="K28" i="4"/>
  <c r="K43" i="4"/>
  <c r="K21" i="4"/>
  <c r="K64" i="4"/>
  <c r="K60" i="4"/>
  <c r="K75" i="4"/>
  <c r="K102" i="4"/>
  <c r="K22" i="4"/>
  <c r="K112" i="4"/>
  <c r="K95" i="4"/>
  <c r="K71" i="4"/>
  <c r="K61" i="4"/>
  <c r="K78" i="4"/>
  <c r="K84" i="4"/>
  <c r="K45" i="4"/>
  <c r="K100" i="4"/>
  <c r="K40" i="4"/>
  <c r="K77" i="4"/>
  <c r="K58" i="4"/>
  <c r="K29" i="4"/>
  <c r="K106" i="4"/>
  <c r="K31" i="4"/>
  <c r="K67" i="4"/>
  <c r="K19" i="4"/>
  <c r="K27" i="4"/>
  <c r="K105" i="4"/>
  <c r="K46" i="4"/>
  <c r="K39" i="4"/>
  <c r="K34" i="4"/>
  <c r="K30" i="4"/>
  <c r="K98" i="4"/>
  <c r="K103" i="4"/>
  <c r="K87" i="4"/>
  <c r="R141" i="4"/>
  <c r="R66" i="4"/>
  <c r="R108" i="4"/>
  <c r="R98" i="4"/>
  <c r="R57" i="4"/>
  <c r="R41" i="4"/>
  <c r="R204" i="4"/>
  <c r="R198" i="4"/>
  <c r="R200" i="4"/>
  <c r="R96" i="4"/>
  <c r="R177" i="4"/>
  <c r="R170" i="4"/>
  <c r="R117" i="4"/>
  <c r="R48" i="4"/>
  <c r="R167" i="4"/>
  <c r="R173" i="4"/>
  <c r="R210" i="4"/>
  <c r="R206" i="4"/>
  <c r="R190" i="4"/>
  <c r="R78" i="4"/>
  <c r="R183" i="4"/>
  <c r="R202" i="4"/>
  <c r="R32" i="4"/>
  <c r="R92" i="4"/>
  <c r="R79" i="4"/>
  <c r="R181" i="4"/>
  <c r="R168" i="4"/>
  <c r="R116" i="4"/>
  <c r="R147" i="4"/>
  <c r="R176" i="4"/>
  <c r="R63" i="4"/>
  <c r="R55" i="4"/>
  <c r="R91" i="4"/>
  <c r="R53" i="4"/>
  <c r="R56" i="4"/>
  <c r="R127" i="4"/>
  <c r="R171" i="4"/>
  <c r="R201" i="4"/>
  <c r="R213" i="4"/>
  <c r="R186" i="4"/>
  <c r="R153" i="4"/>
  <c r="R182" i="4"/>
  <c r="R84" i="4"/>
  <c r="R155" i="4"/>
  <c r="R178" i="4"/>
  <c r="R180" i="4"/>
  <c r="R212" i="4"/>
  <c r="R174" i="4"/>
  <c r="R179" i="4"/>
  <c r="R205" i="4"/>
  <c r="R197" i="4"/>
  <c r="R102" i="4"/>
  <c r="R119" i="4"/>
  <c r="R185" i="4"/>
  <c r="R207" i="4"/>
  <c r="R169" i="4"/>
  <c r="R211" i="4"/>
  <c r="R209" i="4"/>
  <c r="R199" i="4"/>
  <c r="R191" i="4"/>
  <c r="R166" i="4"/>
  <c r="R203" i="4"/>
  <c r="R46" i="4"/>
  <c r="R152" i="4"/>
  <c r="R144" i="4"/>
  <c r="Q289" i="39"/>
  <c r="G155" i="39"/>
  <c r="F155" i="39"/>
  <c r="F52" i="39"/>
  <c r="L162" i="4" l="1"/>
  <c r="L159" i="4"/>
  <c r="L158" i="4"/>
  <c r="L164" i="4"/>
  <c r="L160" i="4"/>
  <c r="L161" i="4"/>
  <c r="L163" i="4"/>
  <c r="L157" i="4"/>
  <c r="S160" i="4"/>
  <c r="S163" i="4"/>
  <c r="S159" i="4"/>
  <c r="S161" i="4"/>
  <c r="S164" i="4"/>
  <c r="S162" i="4"/>
  <c r="R157" i="4"/>
  <c r="S158" i="4"/>
  <c r="L56" i="4"/>
  <c r="L20" i="4"/>
  <c r="L179" i="4"/>
  <c r="L118" i="4"/>
  <c r="L200" i="4"/>
  <c r="L116" i="4"/>
  <c r="L34" i="4"/>
  <c r="L106" i="4"/>
  <c r="L78" i="4"/>
  <c r="L60" i="4"/>
  <c r="L96" i="4"/>
  <c r="L79" i="4"/>
  <c r="L51" i="4"/>
  <c r="L111" i="4"/>
  <c r="L97" i="4"/>
  <c r="L74" i="4"/>
  <c r="L70" i="4"/>
  <c r="L178" i="4"/>
  <c r="L121" i="4"/>
  <c r="L125" i="4"/>
  <c r="L89" i="4"/>
  <c r="L194" i="4"/>
  <c r="L140" i="4"/>
  <c r="L135" i="4"/>
  <c r="L166" i="4"/>
  <c r="L192" i="4"/>
  <c r="L130" i="4"/>
  <c r="L151" i="4"/>
  <c r="L75" i="4"/>
  <c r="L69" i="4"/>
  <c r="L169" i="4"/>
  <c r="L168" i="4"/>
  <c r="L129" i="4"/>
  <c r="L155" i="4"/>
  <c r="L39" i="4"/>
  <c r="L29" i="4"/>
  <c r="L61" i="4"/>
  <c r="L64" i="4"/>
  <c r="L109" i="4"/>
  <c r="L110" i="4"/>
  <c r="L53" i="4"/>
  <c r="L23" i="4"/>
  <c r="L57" i="4"/>
  <c r="L107" i="4"/>
  <c r="L93" i="4"/>
  <c r="L185" i="4"/>
  <c r="L204" i="4"/>
  <c r="L195" i="4"/>
  <c r="L181" i="4"/>
  <c r="L127" i="4"/>
  <c r="L117" i="4"/>
  <c r="L186" i="4"/>
  <c r="L206" i="4"/>
  <c r="L170" i="4"/>
  <c r="L193" i="4"/>
  <c r="L144" i="4"/>
  <c r="L141" i="4"/>
  <c r="L150" i="4"/>
  <c r="L126" i="4"/>
  <c r="L197" i="4"/>
  <c r="L196" i="4"/>
  <c r="L131" i="4"/>
  <c r="L115" i="4"/>
  <c r="L120" i="4"/>
  <c r="L133" i="4"/>
  <c r="L208" i="4"/>
  <c r="L154" i="4"/>
  <c r="L30" i="4"/>
  <c r="L59" i="4"/>
  <c r="L212" i="4"/>
  <c r="L58" i="4"/>
  <c r="L50" i="4"/>
  <c r="L147" i="4"/>
  <c r="L105" i="4"/>
  <c r="L77" i="4"/>
  <c r="L95" i="4"/>
  <c r="L43" i="4"/>
  <c r="L85" i="4"/>
  <c r="L49" i="4"/>
  <c r="L36" i="4"/>
  <c r="L37" i="4"/>
  <c r="L41" i="4"/>
  <c r="L99" i="4"/>
  <c r="L81" i="4"/>
  <c r="L122" i="4"/>
  <c r="L73" i="4"/>
  <c r="L128" i="4"/>
  <c r="L191" i="4"/>
  <c r="L145" i="4"/>
  <c r="L183" i="4"/>
  <c r="L136" i="4"/>
  <c r="L124" i="4"/>
  <c r="L83" i="4"/>
  <c r="L137" i="4"/>
  <c r="L176" i="4"/>
  <c r="L31" i="4"/>
  <c r="L94" i="4"/>
  <c r="L205" i="4"/>
  <c r="L71" i="4"/>
  <c r="L86" i="4"/>
  <c r="L26" i="4"/>
  <c r="L82" i="4"/>
  <c r="L210" i="4"/>
  <c r="L87" i="4"/>
  <c r="L27" i="4"/>
  <c r="L40" i="4"/>
  <c r="L112" i="4"/>
  <c r="L28" i="4"/>
  <c r="L63" i="4"/>
  <c r="L66" i="4"/>
  <c r="L68" i="4"/>
  <c r="L65" i="4"/>
  <c r="L72" i="4"/>
  <c r="L44" i="4"/>
  <c r="L198" i="4"/>
  <c r="L134" i="4"/>
  <c r="L182" i="4"/>
  <c r="L199" i="4"/>
  <c r="L113" i="4"/>
  <c r="L180" i="4"/>
  <c r="L174" i="4"/>
  <c r="L114" i="4"/>
  <c r="L142" i="4"/>
  <c r="L152" i="4"/>
  <c r="L175" i="4"/>
  <c r="L101" i="4"/>
  <c r="L62" i="4"/>
  <c r="L46" i="4"/>
  <c r="L21" i="4"/>
  <c r="L32" i="4"/>
  <c r="L103" i="4"/>
  <c r="L19" i="4"/>
  <c r="L100" i="4"/>
  <c r="L22" i="4"/>
  <c r="L24" i="4"/>
  <c r="L76" i="4"/>
  <c r="L88" i="4"/>
  <c r="L108" i="4"/>
  <c r="L25" i="4"/>
  <c r="L48" i="4"/>
  <c r="L91" i="4"/>
  <c r="L146" i="4"/>
  <c r="L202" i="4"/>
  <c r="L173" i="4"/>
  <c r="L207" i="4"/>
  <c r="L209" i="4"/>
  <c r="L139" i="4"/>
  <c r="L143" i="4"/>
  <c r="L190" i="4"/>
  <c r="L138" i="4"/>
  <c r="L156" i="4"/>
  <c r="L84" i="4"/>
  <c r="L203" i="4"/>
  <c r="L90" i="4"/>
  <c r="L42" i="4"/>
  <c r="L35" i="4"/>
  <c r="L98" i="4"/>
  <c r="L67" i="4"/>
  <c r="L45" i="4"/>
  <c r="L102" i="4"/>
  <c r="L92" i="4"/>
  <c r="L104" i="4"/>
  <c r="L47" i="4"/>
  <c r="L38" i="4"/>
  <c r="L55" i="4"/>
  <c r="L33" i="4"/>
  <c r="L52" i="4"/>
  <c r="L54" i="4"/>
  <c r="L165" i="4"/>
  <c r="L177" i="4"/>
  <c r="L80" i="4"/>
  <c r="L172" i="4"/>
  <c r="L171" i="4"/>
  <c r="L119" i="4"/>
  <c r="L167" i="4"/>
  <c r="L201" i="4"/>
  <c r="L148" i="4"/>
  <c r="L149" i="4"/>
  <c r="L132" i="4"/>
  <c r="L153" i="4"/>
  <c r="K153" i="39" s="1"/>
  <c r="S206" i="4"/>
  <c r="S115" i="4"/>
  <c r="S178" i="4"/>
  <c r="S91" i="4"/>
  <c r="S79" i="4"/>
  <c r="S210" i="4"/>
  <c r="S96" i="4"/>
  <c r="S66" i="4"/>
  <c r="S131" i="4"/>
  <c r="S68" i="4"/>
  <c r="S100" i="4"/>
  <c r="S146" i="4"/>
  <c r="S75" i="4"/>
  <c r="S37" i="4"/>
  <c r="S149" i="4"/>
  <c r="S87" i="4"/>
  <c r="S62" i="4"/>
  <c r="S213" i="4"/>
  <c r="S109" i="4"/>
  <c r="S199" i="4"/>
  <c r="S102" i="4"/>
  <c r="S155" i="4"/>
  <c r="S55" i="4"/>
  <c r="S92" i="4"/>
  <c r="S173" i="4"/>
  <c r="S200" i="4"/>
  <c r="S141" i="4"/>
  <c r="S134" i="4"/>
  <c r="S128" i="4"/>
  <c r="S122" i="4"/>
  <c r="S118" i="4"/>
  <c r="S132" i="4"/>
  <c r="S137" i="4"/>
  <c r="S133" i="4"/>
  <c r="S139" i="4"/>
  <c r="S192" i="4"/>
  <c r="S39" i="4"/>
  <c r="S180" i="4"/>
  <c r="S108" i="4"/>
  <c r="S154" i="4"/>
  <c r="S47" i="4"/>
  <c r="S201" i="4"/>
  <c r="S144" i="4"/>
  <c r="S209" i="4"/>
  <c r="S197" i="4"/>
  <c r="S84" i="4"/>
  <c r="S171" i="4"/>
  <c r="S63" i="4"/>
  <c r="S32" i="4"/>
  <c r="S167" i="4"/>
  <c r="S198" i="4"/>
  <c r="S130" i="4"/>
  <c r="S107" i="4"/>
  <c r="S93" i="4"/>
  <c r="S142" i="4"/>
  <c r="S70" i="4"/>
  <c r="S76" i="4"/>
  <c r="S34" i="4"/>
  <c r="S99" i="4"/>
  <c r="S113" i="4"/>
  <c r="S40" i="4"/>
  <c r="S65" i="4"/>
  <c r="S181" i="4"/>
  <c r="S52" i="4"/>
  <c r="S71" i="4"/>
  <c r="S211" i="4"/>
  <c r="S205" i="4"/>
  <c r="S127" i="4"/>
  <c r="S176" i="4"/>
  <c r="S202" i="4"/>
  <c r="S48" i="4"/>
  <c r="S204" i="4"/>
  <c r="S114" i="4"/>
  <c r="S36" i="4"/>
  <c r="S67" i="4"/>
  <c r="S143" i="4"/>
  <c r="S125" i="4"/>
  <c r="S60" i="4"/>
  <c r="S45" i="4"/>
  <c r="S195" i="4"/>
  <c r="S105" i="4"/>
  <c r="S54" i="4"/>
  <c r="S191" i="4"/>
  <c r="S110" i="4"/>
  <c r="S135" i="4"/>
  <c r="S179" i="4"/>
  <c r="S182" i="4"/>
  <c r="S147" i="4"/>
  <c r="S183" i="4"/>
  <c r="S41" i="4"/>
  <c r="S138" i="4"/>
  <c r="S44" i="4"/>
  <c r="S111" i="4"/>
  <c r="S95" i="4"/>
  <c r="S140" i="4"/>
  <c r="S126" i="4"/>
  <c r="S58" i="4"/>
  <c r="S94" i="4"/>
  <c r="S172" i="4"/>
  <c r="S119" i="4"/>
  <c r="S53" i="4"/>
  <c r="S50" i="4"/>
  <c r="S86" i="4"/>
  <c r="S152" i="4"/>
  <c r="S46" i="4"/>
  <c r="S169" i="4"/>
  <c r="S203" i="4"/>
  <c r="S207" i="4"/>
  <c r="S174" i="4"/>
  <c r="S153" i="4"/>
  <c r="S56" i="4"/>
  <c r="S116" i="4"/>
  <c r="S78" i="4"/>
  <c r="S117" i="4"/>
  <c r="S57" i="4"/>
  <c r="S121" i="4"/>
  <c r="S90" i="4"/>
  <c r="S97" i="4"/>
  <c r="S112" i="4"/>
  <c r="S104" i="4"/>
  <c r="S42" i="4"/>
  <c r="S72" i="4"/>
  <c r="S35" i="4"/>
  <c r="S77" i="4"/>
  <c r="S51" i="4"/>
  <c r="S177" i="4"/>
  <c r="S166" i="4"/>
  <c r="S185" i="4"/>
  <c r="S212" i="4"/>
  <c r="S186" i="4"/>
  <c r="S168" i="4"/>
  <c r="S190" i="4"/>
  <c r="S170" i="4"/>
  <c r="S98" i="4"/>
  <c r="S136" i="4"/>
  <c r="S61" i="4"/>
  <c r="S129" i="4"/>
  <c r="S124" i="4"/>
  <c r="S59" i="4"/>
  <c r="S49" i="4"/>
  <c r="S193" i="4"/>
  <c r="S148" i="4"/>
  <c r="S85" i="4"/>
  <c r="S106" i="4"/>
  <c r="J204" i="39"/>
  <c r="K204" i="39" s="1"/>
  <c r="J153" i="39"/>
  <c r="J151" i="39"/>
  <c r="K151" i="39" s="1"/>
  <c r="J150" i="39"/>
  <c r="K150" i="39" s="1"/>
  <c r="J215" i="39"/>
  <c r="K215" i="39" s="1"/>
  <c r="R208" i="4"/>
  <c r="Q196" i="39"/>
  <c r="R196" i="39" s="1"/>
  <c r="Q36" i="39"/>
  <c r="Q34" i="39"/>
  <c r="Q35" i="39"/>
  <c r="J81" i="39"/>
  <c r="K81" i="39" s="1"/>
  <c r="J82" i="39"/>
  <c r="K82" i="39" s="1"/>
  <c r="Q311" i="39"/>
  <c r="J218" i="39"/>
  <c r="K12" i="4"/>
  <c r="Q213" i="39"/>
  <c r="R213" i="39" s="1"/>
  <c r="H232" i="39"/>
  <c r="H193" i="39"/>
  <c r="H190" i="39"/>
  <c r="G232" i="39"/>
  <c r="F193" i="39"/>
  <c r="G193" i="39"/>
  <c r="G190" i="39"/>
  <c r="F190" i="39"/>
  <c r="P232" i="39"/>
  <c r="P233" i="39"/>
  <c r="S157" i="4" l="1"/>
  <c r="L12" i="4"/>
  <c r="S208" i="4"/>
  <c r="K11" i="4"/>
  <c r="K218" i="39"/>
  <c r="P212" i="39"/>
  <c r="P193" i="39"/>
  <c r="P190" i="39"/>
  <c r="L193" i="39"/>
  <c r="M193" i="39" s="1"/>
  <c r="N232" i="39"/>
  <c r="O232" i="39" s="1"/>
  <c r="N193" i="39"/>
  <c r="O193" i="39" s="1"/>
  <c r="N190" i="39"/>
  <c r="O190" i="39" s="1"/>
  <c r="L11" i="4" l="1"/>
  <c r="K10" i="4"/>
  <c r="H109" i="37"/>
  <c r="L10" i="4" l="1"/>
  <c r="K9" i="4"/>
  <c r="O53" i="54"/>
  <c r="I58" i="54"/>
  <c r="N58" i="54" s="1"/>
  <c r="O58" i="54" s="1"/>
  <c r="O72" i="54"/>
  <c r="M72" i="54"/>
  <c r="O69" i="54"/>
  <c r="M69" i="54"/>
  <c r="O68" i="54"/>
  <c r="M68" i="54"/>
  <c r="O67" i="54"/>
  <c r="M67" i="54"/>
  <c r="O66" i="54"/>
  <c r="M66" i="54"/>
  <c r="O65" i="54"/>
  <c r="M65" i="54"/>
  <c r="O64" i="54"/>
  <c r="M64" i="54"/>
  <c r="O63" i="54"/>
  <c r="M63" i="54"/>
  <c r="O62" i="54"/>
  <c r="M62" i="54"/>
  <c r="O61" i="54"/>
  <c r="M61" i="54"/>
  <c r="N60" i="54"/>
  <c r="M60" i="54"/>
  <c r="H268" i="39"/>
  <c r="O57" i="54"/>
  <c r="M57" i="54"/>
  <c r="O56" i="54"/>
  <c r="M56" i="54"/>
  <c r="O55" i="54"/>
  <c r="M55" i="54"/>
  <c r="O54" i="54"/>
  <c r="M54" i="54"/>
  <c r="M53" i="54"/>
  <c r="O52" i="54"/>
  <c r="M52" i="54"/>
  <c r="O51" i="54"/>
  <c r="M51" i="54"/>
  <c r="O50" i="54"/>
  <c r="M50" i="54"/>
  <c r="O49" i="54"/>
  <c r="M49" i="54"/>
  <c r="O48" i="54"/>
  <c r="M48" i="54"/>
  <c r="O47" i="54"/>
  <c r="M47" i="54"/>
  <c r="O46" i="54"/>
  <c r="M46" i="54"/>
  <c r="O45" i="54"/>
  <c r="M45" i="54"/>
  <c r="O44" i="54"/>
  <c r="M44" i="54"/>
  <c r="O43" i="54"/>
  <c r="M43" i="54"/>
  <c r="O42" i="54"/>
  <c r="M42" i="54"/>
  <c r="Q41" i="54"/>
  <c r="O41" i="54"/>
  <c r="M41" i="54"/>
  <c r="Q40" i="54"/>
  <c r="O40" i="54"/>
  <c r="M40" i="54"/>
  <c r="Q39" i="54"/>
  <c r="O39" i="54"/>
  <c r="M39" i="54"/>
  <c r="Q38" i="54"/>
  <c r="O38" i="54"/>
  <c r="M38" i="54"/>
  <c r="Q37" i="54"/>
  <c r="O37" i="54"/>
  <c r="M37" i="54"/>
  <c r="Q36" i="54"/>
  <c r="Q243" i="39" s="1"/>
  <c r="R243" i="39" s="1"/>
  <c r="O36" i="54"/>
  <c r="M36" i="54"/>
  <c r="L34" i="54"/>
  <c r="I35" i="54"/>
  <c r="N35" i="54" s="1"/>
  <c r="H35" i="54"/>
  <c r="I32" i="54"/>
  <c r="H32" i="54"/>
  <c r="H221" i="39" s="1"/>
  <c r="H220" i="39" s="1"/>
  <c r="Q181" i="39"/>
  <c r="Q180" i="39"/>
  <c r="Q172" i="39"/>
  <c r="Q167" i="39"/>
  <c r="L163" i="39"/>
  <c r="M163" i="39" s="1"/>
  <c r="H163" i="39"/>
  <c r="H157" i="39" s="1"/>
  <c r="I288" i="39"/>
  <c r="L286" i="39"/>
  <c r="F109" i="37"/>
  <c r="F106" i="37"/>
  <c r="F105" i="37"/>
  <c r="F104" i="37"/>
  <c r="F103" i="37"/>
  <c r="F102" i="37"/>
  <c r="F101" i="37"/>
  <c r="F98" i="37"/>
  <c r="F97" i="37"/>
  <c r="F96" i="37"/>
  <c r="F95" i="37"/>
  <c r="H110" i="37"/>
  <c r="H106" i="37"/>
  <c r="L279" i="39"/>
  <c r="I278" i="39"/>
  <c r="H278" i="39"/>
  <c r="H103" i="37"/>
  <c r="L276" i="39"/>
  <c r="H102" i="37"/>
  <c r="H275" i="39"/>
  <c r="H273" i="39"/>
  <c r="G98" i="37"/>
  <c r="H272" i="39"/>
  <c r="H271" i="39"/>
  <c r="Q35" i="37"/>
  <c r="R35" i="37" s="1"/>
  <c r="L235" i="39"/>
  <c r="I235" i="39"/>
  <c r="H235" i="39"/>
  <c r="H198" i="39"/>
  <c r="N63" i="35"/>
  <c r="O63" i="35" s="1"/>
  <c r="Q306" i="39"/>
  <c r="H306" i="39"/>
  <c r="L305" i="39"/>
  <c r="H305" i="39"/>
  <c r="L304" i="39"/>
  <c r="I304" i="39"/>
  <c r="H304" i="39"/>
  <c r="H303" i="39"/>
  <c r="N36" i="35"/>
  <c r="O36" i="35" s="1"/>
  <c r="L205" i="39"/>
  <c r="M205" i="39" s="1"/>
  <c r="H195" i="39"/>
  <c r="L308" i="39"/>
  <c r="M308" i="39" s="1"/>
  <c r="P203" i="39"/>
  <c r="P192" i="39"/>
  <c r="P162" i="39"/>
  <c r="P155" i="39"/>
  <c r="P139" i="39"/>
  <c r="P117" i="39"/>
  <c r="P92" i="39"/>
  <c r="P84" i="39"/>
  <c r="P63" i="39"/>
  <c r="P32" i="39"/>
  <c r="G203" i="4"/>
  <c r="G202" i="4"/>
  <c r="H233" i="39"/>
  <c r="G148" i="4"/>
  <c r="G146" i="4"/>
  <c r="G144" i="4"/>
  <c r="G143" i="4"/>
  <c r="G142" i="4"/>
  <c r="G141" i="4"/>
  <c r="G139" i="4"/>
  <c r="G138" i="4"/>
  <c r="G136" i="4"/>
  <c r="G135" i="4"/>
  <c r="G134" i="4"/>
  <c r="G133" i="4"/>
  <c r="G131" i="4"/>
  <c r="G130" i="4"/>
  <c r="G129" i="4"/>
  <c r="G128" i="4"/>
  <c r="G126" i="4"/>
  <c r="G125" i="4"/>
  <c r="G122" i="4"/>
  <c r="G121" i="4"/>
  <c r="G119" i="4"/>
  <c r="G118" i="4"/>
  <c r="G117" i="4"/>
  <c r="G115" i="4"/>
  <c r="G114" i="4"/>
  <c r="G113" i="4"/>
  <c r="G111" i="4"/>
  <c r="G110" i="4"/>
  <c r="G109" i="4"/>
  <c r="G108" i="4"/>
  <c r="G107" i="4"/>
  <c r="G106" i="4"/>
  <c r="G105" i="4"/>
  <c r="G104" i="4"/>
  <c r="G102" i="4"/>
  <c r="G101" i="4"/>
  <c r="G100" i="4"/>
  <c r="G99" i="4"/>
  <c r="G98" i="4"/>
  <c r="G97" i="4"/>
  <c r="G96" i="4"/>
  <c r="G95" i="4"/>
  <c r="G94" i="4"/>
  <c r="G92" i="4"/>
  <c r="G90" i="4"/>
  <c r="G88" i="4"/>
  <c r="G86" i="4"/>
  <c r="G85" i="4"/>
  <c r="G76" i="4"/>
  <c r="G72" i="4"/>
  <c r="G71" i="4"/>
  <c r="G70" i="4"/>
  <c r="G65" i="4"/>
  <c r="G62" i="4"/>
  <c r="G61" i="4"/>
  <c r="G59" i="4"/>
  <c r="G58" i="4"/>
  <c r="G53" i="4"/>
  <c r="G52" i="4"/>
  <c r="G51" i="4"/>
  <c r="G50" i="4"/>
  <c r="G49" i="4"/>
  <c r="G48" i="4"/>
  <c r="G47" i="4"/>
  <c r="G46" i="4"/>
  <c r="G45" i="4"/>
  <c r="G44" i="4"/>
  <c r="G41" i="4"/>
  <c r="G40" i="4"/>
  <c r="G39" i="4"/>
  <c r="G31" i="4"/>
  <c r="G30" i="4"/>
  <c r="G28" i="4"/>
  <c r="G27" i="4"/>
  <c r="G22" i="4"/>
  <c r="G21" i="4"/>
  <c r="G20" i="4"/>
  <c r="G19" i="4"/>
  <c r="G18" i="4"/>
  <c r="G17" i="4"/>
  <c r="G15" i="4"/>
  <c r="G14" i="4"/>
  <c r="G13" i="4"/>
  <c r="N312" i="39"/>
  <c r="O312" i="39" s="1"/>
  <c r="L312" i="39"/>
  <c r="M312" i="39" s="1"/>
  <c r="H312" i="39"/>
  <c r="L310" i="39"/>
  <c r="M310" i="39" s="1"/>
  <c r="L309" i="39"/>
  <c r="M309" i="39" s="1"/>
  <c r="L306" i="39"/>
  <c r="I306" i="39"/>
  <c r="F306" i="39"/>
  <c r="I305" i="39"/>
  <c r="F305" i="39"/>
  <c r="F304" i="39"/>
  <c r="L303" i="39"/>
  <c r="I303" i="39"/>
  <c r="F303" i="39"/>
  <c r="I302" i="39"/>
  <c r="F302" i="39"/>
  <c r="F301" i="39"/>
  <c r="F300" i="39"/>
  <c r="L299" i="39"/>
  <c r="M299" i="39" s="1"/>
  <c r="F299" i="39"/>
  <c r="F298" i="39"/>
  <c r="F297" i="39"/>
  <c r="F296" i="39"/>
  <c r="F295" i="39"/>
  <c r="N294" i="39"/>
  <c r="L294" i="39"/>
  <c r="I294" i="39"/>
  <c r="H294" i="39"/>
  <c r="F294" i="39"/>
  <c r="N293" i="39"/>
  <c r="L293" i="39"/>
  <c r="I293" i="39"/>
  <c r="H293" i="39"/>
  <c r="F293" i="39"/>
  <c r="N292" i="39"/>
  <c r="L292" i="39"/>
  <c r="I292" i="39"/>
  <c r="H292" i="39"/>
  <c r="F292" i="39"/>
  <c r="N291" i="39"/>
  <c r="L291" i="39"/>
  <c r="I291" i="39"/>
  <c r="H291" i="39"/>
  <c r="F291" i="39"/>
  <c r="N290" i="39"/>
  <c r="L290" i="39"/>
  <c r="I290" i="39"/>
  <c r="H290" i="39"/>
  <c r="F290" i="39"/>
  <c r="L289" i="39"/>
  <c r="I289" i="39"/>
  <c r="H289" i="39"/>
  <c r="F288" i="39"/>
  <c r="L287" i="39"/>
  <c r="F287" i="39"/>
  <c r="H286" i="39"/>
  <c r="G286" i="39"/>
  <c r="N285" i="39"/>
  <c r="L285" i="39"/>
  <c r="I285" i="39"/>
  <c r="H285" i="39"/>
  <c r="F285" i="39"/>
  <c r="N284" i="39"/>
  <c r="L284" i="39"/>
  <c r="I284" i="39"/>
  <c r="H284" i="39"/>
  <c r="F284" i="39"/>
  <c r="F283" i="39"/>
  <c r="N282" i="39"/>
  <c r="L282" i="39"/>
  <c r="I282" i="39"/>
  <c r="H282" i="39"/>
  <c r="F282" i="39"/>
  <c r="F281" i="39"/>
  <c r="L280" i="39"/>
  <c r="I280" i="39"/>
  <c r="G280" i="39"/>
  <c r="G279" i="39"/>
  <c r="G278" i="39"/>
  <c r="L277" i="39"/>
  <c r="I277" i="39"/>
  <c r="G277" i="39"/>
  <c r="I276" i="39"/>
  <c r="H276" i="39"/>
  <c r="G276" i="39"/>
  <c r="L275" i="39"/>
  <c r="I275" i="39"/>
  <c r="G275" i="39"/>
  <c r="L273" i="39"/>
  <c r="I272" i="39"/>
  <c r="G272" i="39"/>
  <c r="G271" i="39"/>
  <c r="L270" i="39"/>
  <c r="G270" i="39"/>
  <c r="L268" i="39"/>
  <c r="F268" i="39"/>
  <c r="L266" i="39"/>
  <c r="I266" i="39"/>
  <c r="F266" i="39"/>
  <c r="F265" i="39"/>
  <c r="F264" i="39"/>
  <c r="F263" i="39"/>
  <c r="L261" i="39"/>
  <c r="I261" i="39"/>
  <c r="F261" i="39"/>
  <c r="L260" i="39"/>
  <c r="I260" i="39"/>
  <c r="H260" i="39"/>
  <c r="G260" i="39"/>
  <c r="F260" i="39"/>
  <c r="F259" i="39"/>
  <c r="I258" i="39"/>
  <c r="F258" i="39"/>
  <c r="N257" i="39"/>
  <c r="O257" i="39" s="1"/>
  <c r="L257" i="39"/>
  <c r="M257" i="39" s="1"/>
  <c r="H257" i="39"/>
  <c r="F257" i="39"/>
  <c r="N256" i="39"/>
  <c r="L256" i="39"/>
  <c r="I256" i="39"/>
  <c r="H256" i="39"/>
  <c r="F256" i="39"/>
  <c r="N255" i="39"/>
  <c r="L255" i="39"/>
  <c r="I255" i="39"/>
  <c r="H255" i="39"/>
  <c r="F255" i="39"/>
  <c r="N254" i="39"/>
  <c r="L254" i="39"/>
  <c r="I254" i="39"/>
  <c r="H254" i="39"/>
  <c r="F254" i="39"/>
  <c r="N253" i="39"/>
  <c r="L253" i="39"/>
  <c r="I253" i="39"/>
  <c r="H253" i="39"/>
  <c r="F253" i="39"/>
  <c r="N252" i="39"/>
  <c r="L252" i="39"/>
  <c r="I252" i="39"/>
  <c r="H252" i="39"/>
  <c r="F252" i="39"/>
  <c r="N251" i="39"/>
  <c r="I251" i="39"/>
  <c r="M251" i="39" s="1"/>
  <c r="H251" i="39"/>
  <c r="F251" i="39"/>
  <c r="N250" i="39"/>
  <c r="L250" i="39"/>
  <c r="I250" i="39"/>
  <c r="H250" i="39"/>
  <c r="F250" i="39"/>
  <c r="N249" i="39"/>
  <c r="L249" i="39"/>
  <c r="I249" i="39"/>
  <c r="H249" i="39"/>
  <c r="F249" i="39"/>
  <c r="N248" i="39"/>
  <c r="L248" i="39"/>
  <c r="I248" i="39"/>
  <c r="F248" i="39"/>
  <c r="N247" i="39"/>
  <c r="L247" i="39"/>
  <c r="I247" i="39"/>
  <c r="H247" i="39"/>
  <c r="F247" i="39"/>
  <c r="N246" i="39"/>
  <c r="L246" i="39"/>
  <c r="I246" i="39"/>
  <c r="H246" i="39"/>
  <c r="F246" i="39"/>
  <c r="N245" i="39"/>
  <c r="L245" i="39"/>
  <c r="I245" i="39"/>
  <c r="H245" i="39"/>
  <c r="F245" i="39"/>
  <c r="N244" i="39"/>
  <c r="L244" i="39"/>
  <c r="I244" i="39"/>
  <c r="H244" i="39"/>
  <c r="F244" i="39"/>
  <c r="N243" i="39"/>
  <c r="O243" i="39" s="1"/>
  <c r="L243" i="39"/>
  <c r="M243" i="39" s="1"/>
  <c r="H243" i="39"/>
  <c r="F243" i="39"/>
  <c r="H238" i="39"/>
  <c r="H237" i="39"/>
  <c r="Q235" i="39"/>
  <c r="R235" i="39" s="1"/>
  <c r="G235" i="39"/>
  <c r="B235" i="39"/>
  <c r="G231" i="39"/>
  <c r="N230" i="39"/>
  <c r="O230" i="39" s="1"/>
  <c r="G228" i="39"/>
  <c r="G227" i="39"/>
  <c r="N212" i="39"/>
  <c r="O212" i="39" s="1"/>
  <c r="G212" i="39"/>
  <c r="F212" i="39"/>
  <c r="N209" i="39"/>
  <c r="O209" i="39" s="1"/>
  <c r="F206" i="39"/>
  <c r="H205" i="39"/>
  <c r="F205" i="39"/>
  <c r="H203" i="39"/>
  <c r="F203" i="39"/>
  <c r="P202" i="39"/>
  <c r="F202" i="39"/>
  <c r="F201" i="39"/>
  <c r="F199" i="39"/>
  <c r="F198" i="39"/>
  <c r="P197" i="39"/>
  <c r="G197" i="39"/>
  <c r="F194" i="39"/>
  <c r="N192" i="39"/>
  <c r="O192" i="39" s="1"/>
  <c r="L192" i="39"/>
  <c r="M192" i="39" s="1"/>
  <c r="F192" i="39"/>
  <c r="F191" i="39"/>
  <c r="I191" i="39" s="1"/>
  <c r="P187" i="39"/>
  <c r="L187" i="39"/>
  <c r="M187" i="39" s="1"/>
  <c r="J187" i="39"/>
  <c r="K187" i="39" s="1"/>
  <c r="H187" i="39"/>
  <c r="L186" i="39"/>
  <c r="M186" i="39" s="1"/>
  <c r="P185" i="39"/>
  <c r="L185" i="39"/>
  <c r="M185" i="39" s="1"/>
  <c r="J185" i="39"/>
  <c r="K185" i="39" s="1"/>
  <c r="H185" i="39"/>
  <c r="P184" i="39"/>
  <c r="L184" i="39"/>
  <c r="M184" i="39" s="1"/>
  <c r="J184" i="39"/>
  <c r="K184" i="39" s="1"/>
  <c r="H184" i="39"/>
  <c r="P183" i="39"/>
  <c r="L183" i="39"/>
  <c r="M183" i="39" s="1"/>
  <c r="J183" i="39"/>
  <c r="K183" i="39" s="1"/>
  <c r="H183" i="39"/>
  <c r="P182" i="39"/>
  <c r="L182" i="39"/>
  <c r="M182" i="39" s="1"/>
  <c r="J182" i="39"/>
  <c r="K182" i="39" s="1"/>
  <c r="H182" i="39"/>
  <c r="P181" i="39"/>
  <c r="L181" i="39"/>
  <c r="M181" i="39" s="1"/>
  <c r="J181" i="39"/>
  <c r="K181" i="39" s="1"/>
  <c r="H181" i="39"/>
  <c r="P180" i="39"/>
  <c r="L180" i="39"/>
  <c r="M180" i="39" s="1"/>
  <c r="J180" i="39"/>
  <c r="K180" i="39" s="1"/>
  <c r="H180" i="39"/>
  <c r="P179" i="39"/>
  <c r="L179" i="39"/>
  <c r="M179" i="39" s="1"/>
  <c r="J179" i="39"/>
  <c r="K179" i="39" s="1"/>
  <c r="H179" i="39"/>
  <c r="P178" i="39"/>
  <c r="L178" i="39"/>
  <c r="M178" i="39" s="1"/>
  <c r="J178" i="39"/>
  <c r="K178" i="39" s="1"/>
  <c r="H178" i="39"/>
  <c r="P177" i="39"/>
  <c r="L177" i="39"/>
  <c r="M177" i="39" s="1"/>
  <c r="J177" i="39"/>
  <c r="K177" i="39" s="1"/>
  <c r="H177" i="39"/>
  <c r="P176" i="39"/>
  <c r="L176" i="39"/>
  <c r="M176" i="39" s="1"/>
  <c r="J176" i="39"/>
  <c r="K176" i="39" s="1"/>
  <c r="H176" i="39"/>
  <c r="P175" i="39"/>
  <c r="L175" i="39"/>
  <c r="M175" i="39" s="1"/>
  <c r="J175" i="39"/>
  <c r="K175" i="39" s="1"/>
  <c r="H175" i="39"/>
  <c r="P174" i="39"/>
  <c r="L174" i="39"/>
  <c r="M174" i="39" s="1"/>
  <c r="J174" i="39"/>
  <c r="K174" i="39" s="1"/>
  <c r="H174" i="39"/>
  <c r="P173" i="39"/>
  <c r="L173" i="39"/>
  <c r="M173" i="39" s="1"/>
  <c r="J173" i="39"/>
  <c r="K173" i="39" s="1"/>
  <c r="H173" i="39"/>
  <c r="P172" i="39"/>
  <c r="L172" i="39"/>
  <c r="M172" i="39" s="1"/>
  <c r="J172" i="39"/>
  <c r="K172" i="39" s="1"/>
  <c r="H172" i="39"/>
  <c r="P171" i="39"/>
  <c r="O171" i="39"/>
  <c r="P170" i="39"/>
  <c r="L170" i="39"/>
  <c r="M170" i="39" s="1"/>
  <c r="J170" i="39"/>
  <c r="K170" i="39" s="1"/>
  <c r="H170" i="39"/>
  <c r="P169" i="39"/>
  <c r="L169" i="39"/>
  <c r="M169" i="39" s="1"/>
  <c r="J169" i="39"/>
  <c r="K169" i="39" s="1"/>
  <c r="H169" i="39"/>
  <c r="P168" i="39"/>
  <c r="L168" i="39"/>
  <c r="M168" i="39" s="1"/>
  <c r="J168" i="39"/>
  <c r="K168" i="39" s="1"/>
  <c r="H168" i="39"/>
  <c r="P167" i="39"/>
  <c r="O167" i="39"/>
  <c r="P165" i="39"/>
  <c r="P164" i="39"/>
  <c r="P163" i="39"/>
  <c r="O163" i="39"/>
  <c r="J163" i="39"/>
  <c r="K163" i="39" s="1"/>
  <c r="N162" i="39"/>
  <c r="O162" i="39" s="1"/>
  <c r="L162" i="39"/>
  <c r="M162" i="39" s="1"/>
  <c r="P161" i="39"/>
  <c r="P160" i="39"/>
  <c r="L158" i="39"/>
  <c r="G158" i="39"/>
  <c r="F147" i="39"/>
  <c r="F146" i="39"/>
  <c r="F144" i="39"/>
  <c r="F143" i="39"/>
  <c r="F142" i="39"/>
  <c r="F141" i="39"/>
  <c r="H139" i="39"/>
  <c r="F139" i="39"/>
  <c r="F138" i="39"/>
  <c r="F136" i="39"/>
  <c r="F135" i="39"/>
  <c r="F134" i="39"/>
  <c r="F133" i="39"/>
  <c r="F131" i="39"/>
  <c r="F130" i="39"/>
  <c r="F129" i="39"/>
  <c r="F128" i="39"/>
  <c r="F126" i="39"/>
  <c r="F125" i="39"/>
  <c r="F122" i="39"/>
  <c r="F121" i="39"/>
  <c r="P119" i="39"/>
  <c r="F117" i="39"/>
  <c r="F116" i="39"/>
  <c r="G115" i="39"/>
  <c r="F114" i="39"/>
  <c r="F113" i="39"/>
  <c r="F111" i="39"/>
  <c r="F110" i="39"/>
  <c r="F109" i="39"/>
  <c r="F108" i="39"/>
  <c r="F107" i="39"/>
  <c r="F106" i="39"/>
  <c r="F105" i="39"/>
  <c r="F104" i="39"/>
  <c r="F102" i="39"/>
  <c r="F101" i="39"/>
  <c r="F100" i="39"/>
  <c r="F99" i="39"/>
  <c r="F98" i="39"/>
  <c r="F97" i="39"/>
  <c r="F96" i="39"/>
  <c r="F95" i="39"/>
  <c r="H94" i="39"/>
  <c r="F94" i="39"/>
  <c r="H92" i="39"/>
  <c r="F92" i="39"/>
  <c r="F90" i="39"/>
  <c r="F88" i="39"/>
  <c r="F86" i="39"/>
  <c r="F85" i="39"/>
  <c r="F84" i="39"/>
  <c r="N78" i="39"/>
  <c r="H78" i="39"/>
  <c r="N77" i="39"/>
  <c r="F76" i="39"/>
  <c r="F75" i="39"/>
  <c r="F72" i="39"/>
  <c r="F71" i="39"/>
  <c r="F70" i="39"/>
  <c r="F67" i="39"/>
  <c r="F66" i="39"/>
  <c r="F65" i="39"/>
  <c r="F63" i="39"/>
  <c r="F62" i="39"/>
  <c r="F61" i="39"/>
  <c r="F59" i="39"/>
  <c r="F58" i="39"/>
  <c r="F56" i="39"/>
  <c r="F55" i="39"/>
  <c r="F54" i="39"/>
  <c r="F53" i="39"/>
  <c r="F51" i="39"/>
  <c r="F50" i="39"/>
  <c r="F49" i="39"/>
  <c r="F48" i="39"/>
  <c r="F47" i="39"/>
  <c r="F46" i="39"/>
  <c r="F44" i="39"/>
  <c r="F41" i="39"/>
  <c r="F40" i="39"/>
  <c r="F37" i="39"/>
  <c r="F35" i="39"/>
  <c r="F34" i="39"/>
  <c r="N32" i="39"/>
  <c r="F31" i="39"/>
  <c r="F30" i="39"/>
  <c r="F28" i="39"/>
  <c r="F27" i="39"/>
  <c r="F25" i="39"/>
  <c r="F24" i="39"/>
  <c r="F23" i="39"/>
  <c r="F22" i="39"/>
  <c r="F21" i="39"/>
  <c r="F20" i="39"/>
  <c r="F19" i="39"/>
  <c r="F18" i="39"/>
  <c r="F17" i="39"/>
  <c r="F15" i="39"/>
  <c r="F14" i="39"/>
  <c r="L9" i="4" l="1"/>
  <c r="I77" i="39"/>
  <c r="I78" i="39"/>
  <c r="H189" i="39"/>
  <c r="I189" i="39"/>
  <c r="H234" i="39"/>
  <c r="H36" i="39"/>
  <c r="H44" i="39"/>
  <c r="H13" i="39"/>
  <c r="H19" i="39"/>
  <c r="H128" i="39"/>
  <c r="M235" i="39"/>
  <c r="M158" i="39"/>
  <c r="L157" i="39"/>
  <c r="M157" i="39" s="1"/>
  <c r="H152" i="39"/>
  <c r="H149" i="39" s="1"/>
  <c r="M304" i="39"/>
  <c r="M246" i="39"/>
  <c r="M256" i="39"/>
  <c r="O246" i="39"/>
  <c r="O250" i="39"/>
  <c r="M252" i="39"/>
  <c r="M285" i="39"/>
  <c r="O292" i="39"/>
  <c r="O247" i="39"/>
  <c r="O252" i="39"/>
  <c r="O256" i="39"/>
  <c r="O285" i="39"/>
  <c r="R167" i="39"/>
  <c r="M280" i="39"/>
  <c r="R181" i="39"/>
  <c r="M247" i="39"/>
  <c r="R180" i="39"/>
  <c r="M290" i="39"/>
  <c r="M306" i="39"/>
  <c r="O290" i="39"/>
  <c r="O294" i="39"/>
  <c r="M255" i="39"/>
  <c r="M284" i="39"/>
  <c r="O251" i="39"/>
  <c r="O255" i="39"/>
  <c r="O284" i="39"/>
  <c r="M291" i="39"/>
  <c r="M260" i="39"/>
  <c r="M294" i="39"/>
  <c r="O291" i="39"/>
  <c r="M248" i="39"/>
  <c r="M244" i="39"/>
  <c r="O248" i="39"/>
  <c r="M266" i="39"/>
  <c r="O244" i="39"/>
  <c r="M292" i="39"/>
  <c r="R172" i="39"/>
  <c r="O249" i="39"/>
  <c r="M289" i="39"/>
  <c r="O293" i="39"/>
  <c r="M254" i="39"/>
  <c r="O282" i="39"/>
  <c r="M253" i="39"/>
  <c r="M249" i="39"/>
  <c r="O253" i="39"/>
  <c r="M245" i="39"/>
  <c r="M258" i="39"/>
  <c r="O258" i="39"/>
  <c r="K258" i="39"/>
  <c r="M303" i="39"/>
  <c r="O245" i="39"/>
  <c r="M293" i="39"/>
  <c r="M282" i="39"/>
  <c r="M250" i="39"/>
  <c r="O254" i="39"/>
  <c r="I221" i="39"/>
  <c r="I220" i="39" s="1"/>
  <c r="M32" i="54"/>
  <c r="M261" i="39"/>
  <c r="M277" i="39"/>
  <c r="M276" i="39"/>
  <c r="M275" i="39"/>
  <c r="M305" i="39"/>
  <c r="M191" i="39"/>
  <c r="N63" i="39"/>
  <c r="L63" i="39"/>
  <c r="N16" i="39"/>
  <c r="N17" i="39"/>
  <c r="P201" i="39"/>
  <c r="P238" i="39"/>
  <c r="P237" i="39" s="1"/>
  <c r="P236" i="39" s="1"/>
  <c r="P271" i="39"/>
  <c r="P276" i="39"/>
  <c r="P51" i="39"/>
  <c r="P146" i="39"/>
  <c r="P272" i="39"/>
  <c r="P58" i="54"/>
  <c r="I301" i="39"/>
  <c r="P278" i="39"/>
  <c r="P280" i="39"/>
  <c r="P70" i="39"/>
  <c r="P108" i="39"/>
  <c r="P270" i="39"/>
  <c r="I242" i="39"/>
  <c r="P287" i="39"/>
  <c r="P275" i="39"/>
  <c r="P135" i="39"/>
  <c r="P198" i="39"/>
  <c r="P279" i="39"/>
  <c r="P286" i="39"/>
  <c r="L28" i="39"/>
  <c r="L53" i="39"/>
  <c r="I104" i="39"/>
  <c r="I135" i="39"/>
  <c r="L35" i="39"/>
  <c r="I138" i="39"/>
  <c r="L36" i="39"/>
  <c r="I90" i="39"/>
  <c r="I139" i="39"/>
  <c r="L58" i="39"/>
  <c r="L59" i="39"/>
  <c r="I63" i="39"/>
  <c r="I136" i="39"/>
  <c r="L37" i="39"/>
  <c r="I92" i="39"/>
  <c r="I113" i="39"/>
  <c r="M113" i="39" s="1"/>
  <c r="L39" i="39"/>
  <c r="I114" i="39"/>
  <c r="M114" i="39" s="1"/>
  <c r="I141" i="39"/>
  <c r="L30" i="39"/>
  <c r="L47" i="39"/>
  <c r="L71" i="39"/>
  <c r="I98" i="39"/>
  <c r="I122" i="39"/>
  <c r="I148" i="39"/>
  <c r="L78" i="39"/>
  <c r="I154" i="39"/>
  <c r="I93" i="39"/>
  <c r="I152" i="39"/>
  <c r="I149" i="39" s="1"/>
  <c r="I115" i="39"/>
  <c r="M115" i="39" s="1"/>
  <c r="I118" i="39"/>
  <c r="M118" i="39" s="1"/>
  <c r="I119" i="39"/>
  <c r="M119" i="39" s="1"/>
  <c r="I16" i="39"/>
  <c r="L16" i="39"/>
  <c r="J16" i="39"/>
  <c r="I68" i="39"/>
  <c r="L52" i="39"/>
  <c r="L48" i="39"/>
  <c r="L72" i="39"/>
  <c r="I99" i="39"/>
  <c r="L54" i="39"/>
  <c r="L49" i="39"/>
  <c r="L75" i="39"/>
  <c r="I100" i="39"/>
  <c r="I133" i="39"/>
  <c r="I134" i="39"/>
  <c r="L40" i="39"/>
  <c r="I94" i="39"/>
  <c r="L66" i="39"/>
  <c r="I143" i="39"/>
  <c r="L44" i="39"/>
  <c r="I117" i="39"/>
  <c r="M117" i="39" s="1"/>
  <c r="I201" i="39"/>
  <c r="M201" i="39" s="1"/>
  <c r="L46" i="39"/>
  <c r="I97" i="39"/>
  <c r="I25" i="39"/>
  <c r="L50" i="39"/>
  <c r="L76" i="39"/>
  <c r="I101" i="39"/>
  <c r="L230" i="39"/>
  <c r="M230" i="39" s="1"/>
  <c r="L31" i="39"/>
  <c r="I84" i="39"/>
  <c r="L65" i="39"/>
  <c r="I142" i="39"/>
  <c r="L41" i="39"/>
  <c r="I116" i="39"/>
  <c r="M116" i="39" s="1"/>
  <c r="L67" i="39"/>
  <c r="I95" i="39"/>
  <c r="I144" i="39"/>
  <c r="L45" i="39"/>
  <c r="I96" i="39"/>
  <c r="L70" i="39"/>
  <c r="I121" i="39"/>
  <c r="I120" i="39" s="1"/>
  <c r="L27" i="39"/>
  <c r="L51" i="39"/>
  <c r="I102" i="39"/>
  <c r="I34" i="39"/>
  <c r="L34" i="39"/>
  <c r="I61" i="39"/>
  <c r="L61" i="39"/>
  <c r="L13" i="39"/>
  <c r="J13" i="39"/>
  <c r="I62" i="39"/>
  <c r="L62" i="39"/>
  <c r="I14" i="39"/>
  <c r="L14" i="39"/>
  <c r="I19" i="39"/>
  <c r="L19" i="39"/>
  <c r="I20" i="39"/>
  <c r="L20" i="39"/>
  <c r="I22" i="39"/>
  <c r="L22" i="39"/>
  <c r="I15" i="39"/>
  <c r="L15" i="39"/>
  <c r="I17" i="39"/>
  <c r="L17" i="39"/>
  <c r="I23" i="39"/>
  <c r="L23" i="39"/>
  <c r="I18" i="39"/>
  <c r="L18" i="39"/>
  <c r="I24" i="39"/>
  <c r="L24" i="39"/>
  <c r="I21" i="39"/>
  <c r="L21" i="39"/>
  <c r="L77" i="39"/>
  <c r="L189" i="39"/>
  <c r="I55" i="39"/>
  <c r="I45" i="39"/>
  <c r="I46" i="39"/>
  <c r="I47" i="39"/>
  <c r="I49" i="39"/>
  <c r="I52" i="39"/>
  <c r="I53" i="39"/>
  <c r="I56" i="39"/>
  <c r="I44" i="39"/>
  <c r="I48" i="39"/>
  <c r="I50" i="39"/>
  <c r="I51" i="39"/>
  <c r="I54" i="39"/>
  <c r="I13" i="39"/>
  <c r="I35" i="39"/>
  <c r="I59" i="39"/>
  <c r="I40" i="39"/>
  <c r="I39" i="39"/>
  <c r="I66" i="39"/>
  <c r="I58" i="39"/>
  <c r="I65" i="39"/>
  <c r="I67" i="39"/>
  <c r="I70" i="39"/>
  <c r="I71" i="39"/>
  <c r="I72" i="39"/>
  <c r="I75" i="39"/>
  <c r="I37" i="39"/>
  <c r="I147" i="39"/>
  <c r="L232" i="39"/>
  <c r="M232" i="39" s="1"/>
  <c r="H16" i="39"/>
  <c r="I85" i="39"/>
  <c r="L231" i="39"/>
  <c r="M231" i="39" s="1"/>
  <c r="I128" i="39"/>
  <c r="I88" i="39"/>
  <c r="I87" i="39" s="1"/>
  <c r="I106" i="39"/>
  <c r="I86" i="39"/>
  <c r="I129" i="39"/>
  <c r="I105" i="39"/>
  <c r="I130" i="39"/>
  <c r="I111" i="39"/>
  <c r="I125" i="39"/>
  <c r="I110" i="39"/>
  <c r="I146" i="39"/>
  <c r="I126" i="39"/>
  <c r="I108" i="39"/>
  <c r="I131" i="39"/>
  <c r="I107" i="39"/>
  <c r="I109" i="39"/>
  <c r="I31" i="39"/>
  <c r="I76" i="39"/>
  <c r="I36" i="39"/>
  <c r="I41" i="39"/>
  <c r="I32" i="39"/>
  <c r="I34" i="54"/>
  <c r="I9" i="54" s="1"/>
  <c r="H17" i="39"/>
  <c r="J17" i="39"/>
  <c r="R60" i="54"/>
  <c r="N299" i="39"/>
  <c r="O299" i="39" s="1"/>
  <c r="O60" i="54"/>
  <c r="P195" i="39"/>
  <c r="P55" i="39"/>
  <c r="P154" i="39"/>
  <c r="P208" i="39"/>
  <c r="P136" i="39"/>
  <c r="P211" i="39"/>
  <c r="P25" i="39"/>
  <c r="P46" i="39"/>
  <c r="P58" i="39"/>
  <c r="P18" i="39"/>
  <c r="P129" i="39"/>
  <c r="P133" i="39"/>
  <c r="P138" i="39"/>
  <c r="P137" i="39" s="1"/>
  <c r="P13" i="39"/>
  <c r="P37" i="39"/>
  <c r="P41" i="39"/>
  <c r="P78" i="39"/>
  <c r="P148" i="39"/>
  <c r="P152" i="39"/>
  <c r="P149" i="39" s="1"/>
  <c r="P189" i="39"/>
  <c r="P118" i="39"/>
  <c r="P130" i="39"/>
  <c r="P134" i="39"/>
  <c r="P14" i="39"/>
  <c r="P31" i="39"/>
  <c r="P36" i="39"/>
  <c r="P44" i="39"/>
  <c r="P48" i="39"/>
  <c r="P77" i="39"/>
  <c r="P99" i="39"/>
  <c r="P131" i="39"/>
  <c r="P17" i="39"/>
  <c r="P230" i="39"/>
  <c r="P288" i="39"/>
  <c r="P277" i="39"/>
  <c r="P231" i="39"/>
  <c r="P22" i="39"/>
  <c r="P76" i="39"/>
  <c r="P299" i="39"/>
  <c r="R299" i="39" s="1"/>
  <c r="P260" i="39"/>
  <c r="P242" i="39" s="1"/>
  <c r="Q11" i="35"/>
  <c r="R11" i="35" s="1"/>
  <c r="Q186" i="39"/>
  <c r="P305" i="39"/>
  <c r="P302" i="39"/>
  <c r="P306" i="39"/>
  <c r="R306" i="39" s="1"/>
  <c r="P303" i="39"/>
  <c r="P304" i="39"/>
  <c r="P268" i="39"/>
  <c r="P128" i="39"/>
  <c r="H277" i="39"/>
  <c r="H288" i="39"/>
  <c r="H302" i="39"/>
  <c r="H301" i="39" s="1"/>
  <c r="H279" i="39"/>
  <c r="H280" i="39"/>
  <c r="H287" i="39"/>
  <c r="H299" i="39"/>
  <c r="L9" i="54"/>
  <c r="N261" i="39"/>
  <c r="O261" i="39" s="1"/>
  <c r="H236" i="39"/>
  <c r="H231" i="39"/>
  <c r="H201" i="39"/>
  <c r="H230" i="39"/>
  <c r="H55" i="39"/>
  <c r="H77" i="39"/>
  <c r="J11" i="35"/>
  <c r="K11" i="35" s="1"/>
  <c r="Q268" i="39"/>
  <c r="N266" i="39"/>
  <c r="O266" i="39" s="1"/>
  <c r="R36" i="54"/>
  <c r="R38" i="54"/>
  <c r="R40" i="54"/>
  <c r="P205" i="39"/>
  <c r="N289" i="39"/>
  <c r="O289" i="39" s="1"/>
  <c r="N275" i="39"/>
  <c r="O275" i="39" s="1"/>
  <c r="Q239" i="39"/>
  <c r="R239" i="39" s="1"/>
  <c r="O180" i="39"/>
  <c r="I268" i="39"/>
  <c r="M268" i="39" s="1"/>
  <c r="N59" i="54"/>
  <c r="M59" i="54"/>
  <c r="H58" i="54"/>
  <c r="H34" i="54" s="1"/>
  <c r="H9" i="54" s="1"/>
  <c r="H322" i="39" s="1"/>
  <c r="O177" i="39"/>
  <c r="N211" i="39"/>
  <c r="O211" i="39" s="1"/>
  <c r="N279" i="39"/>
  <c r="I98" i="37"/>
  <c r="I270" i="39"/>
  <c r="M270" i="39" s="1"/>
  <c r="H98" i="37"/>
  <c r="I273" i="39"/>
  <c r="M273" i="39" s="1"/>
  <c r="L288" i="39"/>
  <c r="M288" i="39" s="1"/>
  <c r="I287" i="39"/>
  <c r="M287" i="39" s="1"/>
  <c r="L198" i="39"/>
  <c r="M198" i="39" s="1"/>
  <c r="Q286" i="39"/>
  <c r="L199" i="39"/>
  <c r="M199" i="39" s="1"/>
  <c r="L278" i="39"/>
  <c r="M278" i="39" s="1"/>
  <c r="L272" i="39"/>
  <c r="M272" i="39" s="1"/>
  <c r="I104" i="37"/>
  <c r="H105" i="37"/>
  <c r="I271" i="39"/>
  <c r="I279" i="39"/>
  <c r="M279" i="39" s="1"/>
  <c r="Q270" i="39"/>
  <c r="H270" i="39"/>
  <c r="I286" i="39"/>
  <c r="M286" i="39" s="1"/>
  <c r="I97" i="37"/>
  <c r="H104" i="37"/>
  <c r="I105" i="37"/>
  <c r="O183" i="39"/>
  <c r="I101" i="37"/>
  <c r="O176" i="39"/>
  <c r="L271" i="39"/>
  <c r="O185" i="39"/>
  <c r="J270" i="39"/>
  <c r="I102" i="37"/>
  <c r="L152" i="39"/>
  <c r="L149" i="39" s="1"/>
  <c r="Q280" i="39"/>
  <c r="Q277" i="39"/>
  <c r="I96" i="37"/>
  <c r="P35" i="54"/>
  <c r="Q170" i="39"/>
  <c r="R170" i="39" s="1"/>
  <c r="Q176" i="39"/>
  <c r="R176" i="39" s="1"/>
  <c r="Q182" i="39"/>
  <c r="R182" i="39" s="1"/>
  <c r="Q187" i="39"/>
  <c r="R187" i="39" s="1"/>
  <c r="Q178" i="39"/>
  <c r="R178" i="39" s="1"/>
  <c r="Q184" i="39"/>
  <c r="R184" i="39" s="1"/>
  <c r="Q168" i="39"/>
  <c r="R168" i="39" s="1"/>
  <c r="Q174" i="39"/>
  <c r="R174" i="39" s="1"/>
  <c r="O35" i="54"/>
  <c r="Q175" i="39"/>
  <c r="R175" i="39" s="1"/>
  <c r="O184" i="39"/>
  <c r="Q183" i="39"/>
  <c r="R183" i="39" s="1"/>
  <c r="N187" i="39"/>
  <c r="O187" i="39" s="1"/>
  <c r="Q171" i="39"/>
  <c r="R171" i="39" s="1"/>
  <c r="O168" i="39"/>
  <c r="Q173" i="39"/>
  <c r="R173" i="39" s="1"/>
  <c r="Q169" i="39"/>
  <c r="R169" i="39" s="1"/>
  <c r="Q179" i="39"/>
  <c r="R179" i="39" s="1"/>
  <c r="Q177" i="39"/>
  <c r="R177" i="39" s="1"/>
  <c r="Q185" i="39"/>
  <c r="R185" i="39" s="1"/>
  <c r="O178" i="39"/>
  <c r="O169" i="39"/>
  <c r="O181" i="39"/>
  <c r="M58" i="54"/>
  <c r="H242" i="39"/>
  <c r="M35" i="54"/>
  <c r="N32" i="54"/>
  <c r="O32" i="54" s="1"/>
  <c r="O170" i="39"/>
  <c r="O182" i="39"/>
  <c r="O172" i="39"/>
  <c r="L242" i="39"/>
  <c r="O174" i="39"/>
  <c r="O175" i="39"/>
  <c r="N260" i="39"/>
  <c r="R41" i="54"/>
  <c r="R37" i="54"/>
  <c r="O173" i="39"/>
  <c r="O179" i="39"/>
  <c r="R39" i="54"/>
  <c r="N35" i="35"/>
  <c r="O35" i="35" s="1"/>
  <c r="H186" i="39"/>
  <c r="H194" i="39"/>
  <c r="N34" i="35"/>
  <c r="O34" i="35" s="1"/>
  <c r="N61" i="35"/>
  <c r="O61" i="35" s="1"/>
  <c r="N205" i="39"/>
  <c r="O205" i="39" s="1"/>
  <c r="L206" i="39"/>
  <c r="M206" i="39" s="1"/>
  <c r="Q302" i="39"/>
  <c r="N304" i="39"/>
  <c r="O304" i="39" s="1"/>
  <c r="Q305" i="39"/>
  <c r="H206" i="39"/>
  <c r="O186" i="39"/>
  <c r="L302" i="39"/>
  <c r="M302" i="39" s="1"/>
  <c r="N305" i="39"/>
  <c r="O305" i="39" s="1"/>
  <c r="L195" i="39"/>
  <c r="M195" i="39" s="1"/>
  <c r="N306" i="39"/>
  <c r="O306" i="39" s="1"/>
  <c r="L166" i="39"/>
  <c r="M166" i="39" s="1"/>
  <c r="L99" i="39"/>
  <c r="H70" i="39"/>
  <c r="N34" i="39"/>
  <c r="H72" i="39"/>
  <c r="N86" i="39"/>
  <c r="L147" i="39"/>
  <c r="N115" i="39"/>
  <c r="N142" i="39"/>
  <c r="N13" i="39"/>
  <c r="L108" i="39"/>
  <c r="L136" i="39"/>
  <c r="L111" i="39"/>
  <c r="N58" i="39"/>
  <c r="H30" i="39"/>
  <c r="N50" i="39"/>
  <c r="N72" i="39"/>
  <c r="N101" i="39"/>
  <c r="H119" i="39"/>
  <c r="H28" i="39"/>
  <c r="H58" i="39"/>
  <c r="N28" i="39"/>
  <c r="H41" i="39"/>
  <c r="H45" i="39"/>
  <c r="N49" i="39"/>
  <c r="N51" i="39"/>
  <c r="N53" i="39"/>
  <c r="H61" i="39"/>
  <c r="N62" i="39"/>
  <c r="N92" i="39"/>
  <c r="N98" i="39"/>
  <c r="N105" i="39"/>
  <c r="N121" i="39"/>
  <c r="N128" i="39"/>
  <c r="N136" i="39"/>
  <c r="L141" i="39"/>
  <c r="N146" i="39"/>
  <c r="L154" i="39"/>
  <c r="H47" i="39"/>
  <c r="H50" i="39"/>
  <c r="N47" i="39"/>
  <c r="N100" i="39"/>
  <c r="N106" i="39"/>
  <c r="N118" i="39"/>
  <c r="N129" i="39"/>
  <c r="L142" i="39"/>
  <c r="N148" i="39"/>
  <c r="H15" i="39"/>
  <c r="H49" i="39"/>
  <c r="H51" i="39"/>
  <c r="H53" i="39"/>
  <c r="H54" i="39"/>
  <c r="H75" i="39"/>
  <c r="H309" i="39"/>
  <c r="H39" i="39"/>
  <c r="I30" i="39"/>
  <c r="H37" i="39"/>
  <c r="N41" i="39"/>
  <c r="N45" i="39"/>
  <c r="H59" i="39"/>
  <c r="N61" i="39"/>
  <c r="N76" i="39"/>
  <c r="L88" i="39"/>
  <c r="L93" i="39"/>
  <c r="L95" i="39"/>
  <c r="H106" i="39"/>
  <c r="L109" i="39"/>
  <c r="N113" i="39"/>
  <c r="N122" i="39"/>
  <c r="L130" i="39"/>
  <c r="N138" i="39"/>
  <c r="N189" i="39"/>
  <c r="H71" i="39"/>
  <c r="H95" i="39"/>
  <c r="H18" i="39"/>
  <c r="H20" i="39"/>
  <c r="N54" i="39"/>
  <c r="N66" i="39"/>
  <c r="N88" i="39"/>
  <c r="N125" i="39"/>
  <c r="L143" i="39"/>
  <c r="H31" i="39"/>
  <c r="H67" i="39"/>
  <c r="N30" i="39"/>
  <c r="N35" i="39"/>
  <c r="N40" i="39"/>
  <c r="N84" i="39"/>
  <c r="L90" i="39"/>
  <c r="N96" i="39"/>
  <c r="N102" i="39"/>
  <c r="N116" i="39"/>
  <c r="L133" i="39"/>
  <c r="I203" i="39"/>
  <c r="N93" i="39"/>
  <c r="H22" i="39"/>
  <c r="H62" i="39"/>
  <c r="N131" i="39"/>
  <c r="N18" i="39"/>
  <c r="L97" i="39"/>
  <c r="N110" i="39"/>
  <c r="L203" i="39"/>
  <c r="H154" i="39"/>
  <c r="H35" i="39"/>
  <c r="H76" i="39"/>
  <c r="H111" i="39"/>
  <c r="N70" i="39"/>
  <c r="N139" i="39"/>
  <c r="H23" i="39"/>
  <c r="H66" i="39"/>
  <c r="N15" i="39"/>
  <c r="N37" i="39"/>
  <c r="N59" i="39"/>
  <c r="N67" i="39"/>
  <c r="H90" i="39"/>
  <c r="L104" i="39"/>
  <c r="L107" i="39"/>
  <c r="N119" i="39"/>
  <c r="L134" i="39"/>
  <c r="N210" i="39"/>
  <c r="I28" i="39"/>
  <c r="H34" i="39"/>
  <c r="N71" i="39"/>
  <c r="N75" i="39"/>
  <c r="H85" i="39"/>
  <c r="N90" i="39"/>
  <c r="L94" i="39"/>
  <c r="N97" i="39"/>
  <c r="N104" i="39"/>
  <c r="N108" i="39"/>
  <c r="L146" i="39"/>
  <c r="N203" i="39"/>
  <c r="H21" i="39"/>
  <c r="H46" i="39"/>
  <c r="H14" i="39"/>
  <c r="H27" i="39"/>
  <c r="N27" i="39"/>
  <c r="H40" i="39"/>
  <c r="H48" i="39"/>
  <c r="H52" i="39"/>
  <c r="H65" i="39"/>
  <c r="H115" i="39"/>
  <c r="N201" i="39"/>
  <c r="L85" i="39"/>
  <c r="H107" i="39"/>
  <c r="N109" i="39"/>
  <c r="N134" i="39"/>
  <c r="H136" i="39"/>
  <c r="H96" i="39"/>
  <c r="H117" i="39"/>
  <c r="L139" i="39"/>
  <c r="N144" i="39"/>
  <c r="H97" i="39"/>
  <c r="H84" i="39"/>
  <c r="H88" i="39"/>
  <c r="H116" i="39"/>
  <c r="N117" i="39"/>
  <c r="L92" i="39"/>
  <c r="L96" i="39"/>
  <c r="H105" i="39"/>
  <c r="H110" i="39"/>
  <c r="L126" i="39"/>
  <c r="L129" i="39"/>
  <c r="H135" i="39"/>
  <c r="N141" i="39"/>
  <c r="N143" i="39"/>
  <c r="H121" i="39"/>
  <c r="H142" i="39"/>
  <c r="H98" i="39"/>
  <c r="H100" i="39"/>
  <c r="H102" i="39"/>
  <c r="L84" i="39"/>
  <c r="H86" i="39"/>
  <c r="L98" i="39"/>
  <c r="L100" i="39"/>
  <c r="L102" i="39"/>
  <c r="L105" i="39"/>
  <c r="H118" i="39"/>
  <c r="L122" i="39"/>
  <c r="N126" i="39"/>
  <c r="H114" i="39"/>
  <c r="H133" i="39"/>
  <c r="H126" i="39"/>
  <c r="L86" i="39"/>
  <c r="L110" i="39"/>
  <c r="H101" i="39"/>
  <c r="H109" i="39"/>
  <c r="H113" i="39"/>
  <c r="H131" i="39"/>
  <c r="H130" i="39"/>
  <c r="H138" i="39"/>
  <c r="H137" i="39" s="1"/>
  <c r="L121" i="39"/>
  <c r="L128" i="39"/>
  <c r="L148" i="39"/>
  <c r="H141" i="39"/>
  <c r="H99" i="39"/>
  <c r="N95" i="39"/>
  <c r="H104" i="39"/>
  <c r="N99" i="39"/>
  <c r="H108" i="39"/>
  <c r="N107" i="39"/>
  <c r="H125" i="39"/>
  <c r="H134" i="39"/>
  <c r="L131" i="39"/>
  <c r="H144" i="39"/>
  <c r="L125" i="39"/>
  <c r="H122" i="39"/>
  <c r="H129" i="39"/>
  <c r="H146" i="39"/>
  <c r="H147" i="39"/>
  <c r="H148" i="39"/>
  <c r="N310" i="39"/>
  <c r="O310" i="39" s="1"/>
  <c r="Q244" i="39"/>
  <c r="R244" i="39" s="1"/>
  <c r="Q246" i="39"/>
  <c r="R246" i="39" s="1"/>
  <c r="Q248" i="39"/>
  <c r="R248" i="39" s="1"/>
  <c r="H307" i="39"/>
  <c r="N308" i="39"/>
  <c r="O308" i="39" s="1"/>
  <c r="N147" i="39"/>
  <c r="N154" i="39"/>
  <c r="N39" i="39"/>
  <c r="N36" i="39"/>
  <c r="H143" i="39"/>
  <c r="N31" i="39"/>
  <c r="L106" i="39"/>
  <c r="N135" i="39"/>
  <c r="N48" i="39"/>
  <c r="N94" i="39"/>
  <c r="N44" i="39"/>
  <c r="N56" i="39"/>
  <c r="N65" i="39"/>
  <c r="L101" i="39"/>
  <c r="N111" i="39"/>
  <c r="N130" i="39"/>
  <c r="L135" i="39"/>
  <c r="H308" i="39"/>
  <c r="N14" i="39"/>
  <c r="N46" i="39"/>
  <c r="N85" i="39"/>
  <c r="L144" i="39"/>
  <c r="N55" i="39"/>
  <c r="N158" i="39"/>
  <c r="N157" i="39" s="1"/>
  <c r="N114" i="39"/>
  <c r="N133" i="39"/>
  <c r="I27" i="39"/>
  <c r="N52" i="39"/>
  <c r="Q25" i="39"/>
  <c r="H68" i="39"/>
  <c r="L138" i="39"/>
  <c r="Q247" i="39"/>
  <c r="R247" i="39" s="1"/>
  <c r="Q245" i="39"/>
  <c r="R245" i="39" s="1"/>
  <c r="L120" i="39" l="1"/>
  <c r="N120" i="39"/>
  <c r="H120" i="39"/>
  <c r="M149" i="39"/>
  <c r="N9" i="54"/>
  <c r="I322" i="39"/>
  <c r="H229" i="39"/>
  <c r="H43" i="39"/>
  <c r="I43" i="39"/>
  <c r="O260" i="39"/>
  <c r="N242" i="39"/>
  <c r="O242" i="39" s="1"/>
  <c r="O210" i="39"/>
  <c r="N207" i="39"/>
  <c r="O207" i="39" s="1"/>
  <c r="K16" i="39"/>
  <c r="O40" i="39"/>
  <c r="M40" i="39"/>
  <c r="M78" i="39"/>
  <c r="O78" i="39"/>
  <c r="M27" i="39"/>
  <c r="O27" i="39"/>
  <c r="K17" i="39"/>
  <c r="O71" i="39"/>
  <c r="M71" i="39"/>
  <c r="M59" i="39"/>
  <c r="O59" i="39"/>
  <c r="M44" i="39"/>
  <c r="O44" i="39"/>
  <c r="O55" i="39"/>
  <c r="M55" i="39"/>
  <c r="M24" i="39"/>
  <c r="M15" i="39"/>
  <c r="O15" i="39"/>
  <c r="M14" i="39"/>
  <c r="O14" i="39"/>
  <c r="M34" i="39"/>
  <c r="O34" i="39"/>
  <c r="M28" i="39"/>
  <c r="O28" i="39"/>
  <c r="O39" i="39"/>
  <c r="M39" i="39"/>
  <c r="M17" i="39"/>
  <c r="O17" i="39"/>
  <c r="M30" i="39"/>
  <c r="O30" i="39"/>
  <c r="M70" i="39"/>
  <c r="O70" i="39"/>
  <c r="M35" i="39"/>
  <c r="O35" i="39"/>
  <c r="O56" i="39"/>
  <c r="M56" i="39"/>
  <c r="K68" i="39"/>
  <c r="M68" i="39"/>
  <c r="M50" i="39"/>
  <c r="O50" i="39"/>
  <c r="M67" i="39"/>
  <c r="O67" i="39"/>
  <c r="M53" i="39"/>
  <c r="O53" i="39"/>
  <c r="M18" i="39"/>
  <c r="O18" i="39"/>
  <c r="M22" i="39"/>
  <c r="M62" i="39"/>
  <c r="O62" i="39"/>
  <c r="O63" i="39"/>
  <c r="M63" i="39"/>
  <c r="M76" i="39"/>
  <c r="O76" i="39"/>
  <c r="M46" i="39"/>
  <c r="O46" i="39"/>
  <c r="M19" i="39"/>
  <c r="M45" i="39"/>
  <c r="O45" i="39"/>
  <c r="O32" i="39"/>
  <c r="M32" i="39"/>
  <c r="M65" i="39"/>
  <c r="O65" i="39"/>
  <c r="M13" i="39"/>
  <c r="O13" i="39"/>
  <c r="M52" i="39"/>
  <c r="O52" i="39"/>
  <c r="K13" i="39"/>
  <c r="M21" i="39"/>
  <c r="O72" i="39"/>
  <c r="M72" i="39"/>
  <c r="M41" i="39"/>
  <c r="O41" i="39"/>
  <c r="M58" i="39"/>
  <c r="O58" i="39"/>
  <c r="M54" i="39"/>
  <c r="O54" i="39"/>
  <c r="M49" i="39"/>
  <c r="O49" i="39"/>
  <c r="M77" i="39"/>
  <c r="O77" i="39"/>
  <c r="M23" i="39"/>
  <c r="M20" i="39"/>
  <c r="O16" i="39"/>
  <c r="M16" i="39"/>
  <c r="M75" i="39"/>
  <c r="O75" i="39"/>
  <c r="M61" i="39"/>
  <c r="O61" i="39"/>
  <c r="O31" i="39"/>
  <c r="M31" i="39"/>
  <c r="O48" i="39"/>
  <c r="M48" i="39"/>
  <c r="M36" i="39"/>
  <c r="O36" i="39"/>
  <c r="M37" i="39"/>
  <c r="O37" i="39"/>
  <c r="M66" i="39"/>
  <c r="O66" i="39"/>
  <c r="M51" i="39"/>
  <c r="O51" i="39"/>
  <c r="O47" i="39"/>
  <c r="M47" i="39"/>
  <c r="M25" i="39"/>
  <c r="P34" i="54"/>
  <c r="P9" i="54" s="1"/>
  <c r="R286" i="39"/>
  <c r="R280" i="39"/>
  <c r="O114" i="39"/>
  <c r="O110" i="39"/>
  <c r="O113" i="39"/>
  <c r="O92" i="39"/>
  <c r="M92" i="39"/>
  <c r="O128" i="39"/>
  <c r="M221" i="39"/>
  <c r="R302" i="39"/>
  <c r="M101" i="39"/>
  <c r="O133" i="39"/>
  <c r="M138" i="39"/>
  <c r="M133" i="39"/>
  <c r="O111" i="39"/>
  <c r="M109" i="39"/>
  <c r="O109" i="39"/>
  <c r="O101" i="39"/>
  <c r="M131" i="39"/>
  <c r="O131" i="39"/>
  <c r="M135" i="39"/>
  <c r="O95" i="39"/>
  <c r="O117" i="39"/>
  <c r="R59" i="54"/>
  <c r="R268" i="39"/>
  <c r="M134" i="39"/>
  <c r="O100" i="39"/>
  <c r="M100" i="39"/>
  <c r="M128" i="39"/>
  <c r="M98" i="39"/>
  <c r="M84" i="39"/>
  <c r="O136" i="39"/>
  <c r="M136" i="39"/>
  <c r="O98" i="39"/>
  <c r="R270" i="39"/>
  <c r="O135" i="39"/>
  <c r="O84" i="39"/>
  <c r="O122" i="39"/>
  <c r="K270" i="39"/>
  <c r="R25" i="39"/>
  <c r="O85" i="39"/>
  <c r="R305" i="39"/>
  <c r="O130" i="39"/>
  <c r="O144" i="39"/>
  <c r="M85" i="39"/>
  <c r="M144" i="39"/>
  <c r="M126" i="39"/>
  <c r="M142" i="39"/>
  <c r="M105" i="39"/>
  <c r="O93" i="39"/>
  <c r="O134" i="39"/>
  <c r="M129" i="39"/>
  <c r="O189" i="39"/>
  <c r="M110" i="39"/>
  <c r="O115" i="39"/>
  <c r="M95" i="39"/>
  <c r="M93" i="39"/>
  <c r="M102" i="39"/>
  <c r="M107" i="39"/>
  <c r="O102" i="39"/>
  <c r="M130" i="39"/>
  <c r="O107" i="39"/>
  <c r="O125" i="39"/>
  <c r="M125" i="39"/>
  <c r="O105" i="39"/>
  <c r="R277" i="39"/>
  <c r="O279" i="39"/>
  <c r="M271" i="39"/>
  <c r="M111" i="39"/>
  <c r="M148" i="39"/>
  <c r="M122" i="39"/>
  <c r="O90" i="39"/>
  <c r="M96" i="39"/>
  <c r="M97" i="39"/>
  <c r="O118" i="39"/>
  <c r="O97" i="39"/>
  <c r="M90" i="39"/>
  <c r="O157" i="39"/>
  <c r="O158" i="39"/>
  <c r="O119" i="39"/>
  <c r="M99" i="39"/>
  <c r="O203" i="39"/>
  <c r="M203" i="39"/>
  <c r="M147" i="39"/>
  <c r="O201" i="39"/>
  <c r="O96" i="39"/>
  <c r="M86" i="39"/>
  <c r="M121" i="39"/>
  <c r="O147" i="39"/>
  <c r="O126" i="39"/>
  <c r="O121" i="39"/>
  <c r="M104" i="39"/>
  <c r="O86" i="39"/>
  <c r="M189" i="39"/>
  <c r="N137" i="39"/>
  <c r="O138" i="39"/>
  <c r="M106" i="39"/>
  <c r="O148" i="39"/>
  <c r="M154" i="39"/>
  <c r="O99" i="39"/>
  <c r="M146" i="39"/>
  <c r="O139" i="39"/>
  <c r="O129" i="39"/>
  <c r="O146" i="39"/>
  <c r="M242" i="39"/>
  <c r="L87" i="39"/>
  <c r="M87" i="39" s="1"/>
  <c r="M88" i="39"/>
  <c r="O94" i="39"/>
  <c r="M139" i="39"/>
  <c r="O108" i="39"/>
  <c r="O116" i="39"/>
  <c r="M141" i="39"/>
  <c r="O143" i="39"/>
  <c r="O104" i="39"/>
  <c r="O106" i="39"/>
  <c r="M108" i="39"/>
  <c r="M152" i="39"/>
  <c r="N87" i="39"/>
  <c r="O87" i="39" s="1"/>
  <c r="O88" i="39"/>
  <c r="O154" i="39"/>
  <c r="O141" i="39"/>
  <c r="M143" i="39"/>
  <c r="M94" i="39"/>
  <c r="O142" i="39"/>
  <c r="I89" i="39"/>
  <c r="L26" i="39"/>
  <c r="L74" i="39"/>
  <c r="P16" i="37"/>
  <c r="R16" i="37" s="1"/>
  <c r="K33" i="54"/>
  <c r="N68" i="39"/>
  <c r="O68" i="39" s="1"/>
  <c r="I132" i="39"/>
  <c r="I112" i="39"/>
  <c r="L64" i="39"/>
  <c r="L38" i="39"/>
  <c r="I137" i="39"/>
  <c r="L57" i="39"/>
  <c r="L29" i="39"/>
  <c r="L33" i="39"/>
  <c r="L69" i="39"/>
  <c r="L43" i="39"/>
  <c r="L12" i="39"/>
  <c r="L60" i="39"/>
  <c r="I12" i="39"/>
  <c r="L229" i="39"/>
  <c r="M229" i="39" s="1"/>
  <c r="L188" i="39"/>
  <c r="L156" i="39" s="1"/>
  <c r="I188" i="39"/>
  <c r="I156" i="39" s="1"/>
  <c r="I83" i="39"/>
  <c r="I74" i="39"/>
  <c r="I73" i="39" s="1"/>
  <c r="I145" i="39"/>
  <c r="I103" i="39"/>
  <c r="I64" i="39"/>
  <c r="I57" i="39"/>
  <c r="H12" i="39"/>
  <c r="I38" i="39"/>
  <c r="I33" i="39"/>
  <c r="I69" i="39"/>
  <c r="I60" i="39"/>
  <c r="I124" i="39"/>
  <c r="I29" i="39"/>
  <c r="I140" i="39"/>
  <c r="R53" i="54"/>
  <c r="N34" i="54"/>
  <c r="O34" i="54" s="1"/>
  <c r="N268" i="39"/>
  <c r="O268" i="39" s="1"/>
  <c r="O59" i="54"/>
  <c r="P186" i="39"/>
  <c r="R186" i="39" s="1"/>
  <c r="P206" i="39"/>
  <c r="P194" i="39"/>
  <c r="P209" i="39"/>
  <c r="P207" i="39" s="1"/>
  <c r="P47" i="39"/>
  <c r="P21" i="39"/>
  <c r="P62" i="39"/>
  <c r="P66" i="39"/>
  <c r="P65" i="39"/>
  <c r="P110" i="39"/>
  <c r="P72" i="39"/>
  <c r="P56" i="39"/>
  <c r="P24" i="39"/>
  <c r="P67" i="39"/>
  <c r="P39" i="39"/>
  <c r="P54" i="39"/>
  <c r="P40" i="39"/>
  <c r="P71" i="39"/>
  <c r="P49" i="39"/>
  <c r="P30" i="39"/>
  <c r="P29" i="39" s="1"/>
  <c r="P100" i="39"/>
  <c r="P50" i="39"/>
  <c r="P94" i="39"/>
  <c r="P85" i="39"/>
  <c r="P68" i="39"/>
  <c r="R68" i="39" s="1"/>
  <c r="P52" i="39"/>
  <c r="P34" i="39"/>
  <c r="P96" i="39"/>
  <c r="P111" i="39"/>
  <c r="P113" i="39"/>
  <c r="P88" i="39"/>
  <c r="P87" i="39" s="1"/>
  <c r="P75" i="39"/>
  <c r="P74" i="39" s="1"/>
  <c r="P73" i="39" s="1"/>
  <c r="P109" i="39"/>
  <c r="P15" i="39"/>
  <c r="P107" i="39"/>
  <c r="P86" i="39"/>
  <c r="P105" i="39"/>
  <c r="P97" i="39"/>
  <c r="P115" i="39"/>
  <c r="P53" i="39"/>
  <c r="P59" i="39"/>
  <c r="P57" i="39" s="1"/>
  <c r="P27" i="39"/>
  <c r="P114" i="39"/>
  <c r="P125" i="39"/>
  <c r="P122" i="39"/>
  <c r="P23" i="39"/>
  <c r="P98" i="39"/>
  <c r="P95" i="39"/>
  <c r="P116" i="39"/>
  <c r="P93" i="39"/>
  <c r="P106" i="39"/>
  <c r="P61" i="39"/>
  <c r="P28" i="39"/>
  <c r="P20" i="39"/>
  <c r="P35" i="39"/>
  <c r="P19" i="39"/>
  <c r="P104" i="39"/>
  <c r="P121" i="39"/>
  <c r="P102" i="39"/>
  <c r="P45" i="39"/>
  <c r="P220" i="39"/>
  <c r="P90" i="39"/>
  <c r="P101" i="39"/>
  <c r="P234" i="39"/>
  <c r="P229" i="39" s="1"/>
  <c r="P45" i="37"/>
  <c r="P273" i="39"/>
  <c r="P269" i="39" s="1"/>
  <c r="P289" i="39"/>
  <c r="R289" i="39" s="1"/>
  <c r="P147" i="39"/>
  <c r="P145" i="39" s="1"/>
  <c r="P126" i="39"/>
  <c r="P158" i="39"/>
  <c r="P157" i="39" s="1"/>
  <c r="Q37" i="37"/>
  <c r="R37" i="37" s="1"/>
  <c r="P274" i="39"/>
  <c r="P301" i="39"/>
  <c r="Q238" i="39"/>
  <c r="R238" i="39" s="1"/>
  <c r="Q24" i="39"/>
  <c r="H274" i="39"/>
  <c r="Q41" i="37"/>
  <c r="P132" i="39"/>
  <c r="P50" i="37"/>
  <c r="R50" i="37" s="1"/>
  <c r="J68" i="54"/>
  <c r="J60" i="54"/>
  <c r="J52" i="54"/>
  <c r="J44" i="54"/>
  <c r="J36" i="54"/>
  <c r="J69" i="54"/>
  <c r="K69" i="54" s="1"/>
  <c r="J67" i="54"/>
  <c r="J59" i="54"/>
  <c r="J51" i="54"/>
  <c r="J43" i="54"/>
  <c r="J38" i="54"/>
  <c r="J66" i="54"/>
  <c r="J58" i="54"/>
  <c r="J50" i="54"/>
  <c r="J42" i="54"/>
  <c r="J70" i="54"/>
  <c r="K70" i="54" s="1"/>
  <c r="J53" i="54"/>
  <c r="K53" i="54" s="1"/>
  <c r="J65" i="54"/>
  <c r="J57" i="54"/>
  <c r="J49" i="54"/>
  <c r="J41" i="54"/>
  <c r="J62" i="54"/>
  <c r="J61" i="54"/>
  <c r="J72" i="54"/>
  <c r="K72" i="54" s="1"/>
  <c r="J64" i="54"/>
  <c r="J56" i="54"/>
  <c r="J48" i="54"/>
  <c r="J40" i="54"/>
  <c r="J54" i="54"/>
  <c r="J45" i="54"/>
  <c r="J63" i="54"/>
  <c r="J55" i="54"/>
  <c r="J47" i="54"/>
  <c r="J39" i="54"/>
  <c r="J46" i="54"/>
  <c r="J37" i="54"/>
  <c r="H166" i="39"/>
  <c r="H269" i="39"/>
  <c r="H87" i="39"/>
  <c r="J186" i="39"/>
  <c r="Q29" i="37"/>
  <c r="R29" i="37" s="1"/>
  <c r="Q35" i="35"/>
  <c r="R35" i="35" s="1"/>
  <c r="Q33" i="35"/>
  <c r="R33" i="35" s="1"/>
  <c r="N33" i="35"/>
  <c r="O33" i="35" s="1"/>
  <c r="Q261" i="39"/>
  <c r="R261" i="39" s="1"/>
  <c r="Q273" i="39"/>
  <c r="M34" i="54"/>
  <c r="N234" i="39"/>
  <c r="Q13" i="39"/>
  <c r="R13" i="39" s="1"/>
  <c r="Q14" i="39"/>
  <c r="R14" i="39" s="1"/>
  <c r="Q18" i="39"/>
  <c r="R18" i="39" s="1"/>
  <c r="N309" i="39"/>
  <c r="O309" i="39" s="1"/>
  <c r="N152" i="39"/>
  <c r="N149" i="39" s="1"/>
  <c r="N46" i="35"/>
  <c r="O46" i="35" s="1"/>
  <c r="Q205" i="39"/>
  <c r="R205" i="39" s="1"/>
  <c r="Q55" i="35"/>
  <c r="R55" i="35" s="1"/>
  <c r="H99" i="37"/>
  <c r="J273" i="39"/>
  <c r="K273" i="39" s="1"/>
  <c r="Q287" i="39"/>
  <c r="R287" i="39" s="1"/>
  <c r="I274" i="39"/>
  <c r="I269" i="39"/>
  <c r="L274" i="39"/>
  <c r="Q276" i="39"/>
  <c r="R276" i="39" s="1"/>
  <c r="L269" i="39"/>
  <c r="N198" i="39"/>
  <c r="O198" i="39" s="1"/>
  <c r="Q279" i="39"/>
  <c r="R279" i="39" s="1"/>
  <c r="N287" i="39"/>
  <c r="O287" i="39" s="1"/>
  <c r="N278" i="39"/>
  <c r="O278" i="39" s="1"/>
  <c r="J278" i="39"/>
  <c r="K278" i="39" s="1"/>
  <c r="Q288" i="39"/>
  <c r="R288" i="39" s="1"/>
  <c r="J275" i="39"/>
  <c r="K275" i="39" s="1"/>
  <c r="I99" i="37"/>
  <c r="H107" i="37"/>
  <c r="N276" i="39"/>
  <c r="O276" i="39" s="1"/>
  <c r="J279" i="39"/>
  <c r="K279" i="39" s="1"/>
  <c r="J272" i="39"/>
  <c r="K272" i="39" s="1"/>
  <c r="J198" i="39"/>
  <c r="K198" i="39" s="1"/>
  <c r="J286" i="39"/>
  <c r="K286" i="39" s="1"/>
  <c r="H199" i="39"/>
  <c r="N280" i="39"/>
  <c r="O280" i="39" s="1"/>
  <c r="Q271" i="39"/>
  <c r="R271" i="39" s="1"/>
  <c r="N237" i="39"/>
  <c r="N238" i="39"/>
  <c r="O238" i="39" s="1"/>
  <c r="N288" i="39"/>
  <c r="O288" i="39" s="1"/>
  <c r="J280" i="39"/>
  <c r="K280" i="39" s="1"/>
  <c r="N286" i="39"/>
  <c r="O286" i="39" s="1"/>
  <c r="I109" i="37"/>
  <c r="I110" i="37" s="1"/>
  <c r="I106" i="37"/>
  <c r="Q278" i="39"/>
  <c r="R278" i="39" s="1"/>
  <c r="N273" i="39"/>
  <c r="O273" i="39" s="1"/>
  <c r="J271" i="39"/>
  <c r="K271" i="39" s="1"/>
  <c r="I103" i="37"/>
  <c r="J276" i="39"/>
  <c r="K276" i="39" s="1"/>
  <c r="J277" i="39"/>
  <c r="K277" i="39" s="1"/>
  <c r="Q61" i="37"/>
  <c r="N272" i="39"/>
  <c r="O272" i="39" s="1"/>
  <c r="N271" i="39"/>
  <c r="O271" i="39" s="1"/>
  <c r="Q272" i="39"/>
  <c r="R272" i="39" s="1"/>
  <c r="N277" i="39"/>
  <c r="O277" i="39" s="1"/>
  <c r="N270" i="39"/>
  <c r="O270" i="39" s="1"/>
  <c r="Q275" i="39"/>
  <c r="R275" i="39" s="1"/>
  <c r="N235" i="39"/>
  <c r="O235" i="39" s="1"/>
  <c r="R64" i="54"/>
  <c r="R62" i="54"/>
  <c r="L322" i="39"/>
  <c r="Q285" i="39"/>
  <c r="R285" i="39" s="1"/>
  <c r="Q166" i="39"/>
  <c r="O191" i="39"/>
  <c r="N37" i="35"/>
  <c r="O37" i="35" s="1"/>
  <c r="N166" i="39"/>
  <c r="O166" i="39" s="1"/>
  <c r="Q61" i="35"/>
  <c r="R61" i="35" s="1"/>
  <c r="H191" i="39"/>
  <c r="N195" i="39"/>
  <c r="O195" i="39" s="1"/>
  <c r="L301" i="39"/>
  <c r="M301" i="39" s="1"/>
  <c r="N302" i="39"/>
  <c r="O302" i="39" s="1"/>
  <c r="Q303" i="39"/>
  <c r="R303" i="39" s="1"/>
  <c r="Q304" i="39"/>
  <c r="R304" i="39" s="1"/>
  <c r="N303" i="39"/>
  <c r="O303" i="39" s="1"/>
  <c r="H60" i="39"/>
  <c r="H29" i="39"/>
  <c r="Q19" i="39"/>
  <c r="Q22" i="39"/>
  <c r="R22" i="39" s="1"/>
  <c r="Q17" i="39"/>
  <c r="R17" i="39" s="1"/>
  <c r="N145" i="39"/>
  <c r="N60" i="39"/>
  <c r="H38" i="39"/>
  <c r="H26" i="39"/>
  <c r="H57" i="39"/>
  <c r="N74" i="39"/>
  <c r="H83" i="39"/>
  <c r="N26" i="39"/>
  <c r="H74" i="39"/>
  <c r="H69" i="39"/>
  <c r="H132" i="39"/>
  <c r="L137" i="39"/>
  <c r="I26" i="39"/>
  <c r="N83" i="39"/>
  <c r="N57" i="39"/>
  <c r="H33" i="39"/>
  <c r="L112" i="39"/>
  <c r="N140" i="39"/>
  <c r="N124" i="39"/>
  <c r="L145" i="39"/>
  <c r="N29" i="39"/>
  <c r="H64" i="39"/>
  <c r="N112" i="39"/>
  <c r="L83" i="39"/>
  <c r="N69" i="39"/>
  <c r="N33" i="39"/>
  <c r="H124" i="39"/>
  <c r="H112" i="39"/>
  <c r="H103" i="39"/>
  <c r="H89" i="39"/>
  <c r="H145" i="39"/>
  <c r="L124" i="39"/>
  <c r="H140" i="39"/>
  <c r="Q27" i="39"/>
  <c r="Q31" i="39"/>
  <c r="R31" i="39" s="1"/>
  <c r="Q15" i="39"/>
  <c r="Q21" i="39"/>
  <c r="Q23" i="39"/>
  <c r="Q20" i="39"/>
  <c r="L89" i="39"/>
  <c r="L140" i="39"/>
  <c r="Q30" i="39"/>
  <c r="R12" i="4"/>
  <c r="Q28" i="39"/>
  <c r="N89" i="39"/>
  <c r="N103" i="39"/>
  <c r="N43" i="39"/>
  <c r="N132" i="39"/>
  <c r="L132" i="39"/>
  <c r="L103" i="39"/>
  <c r="N38" i="39"/>
  <c r="R41" i="37" l="1"/>
  <c r="Q40" i="37"/>
  <c r="R45" i="37"/>
  <c r="P44" i="37"/>
  <c r="P40" i="37" s="1"/>
  <c r="P120" i="39"/>
  <c r="S12" i="4"/>
  <c r="H188" i="39"/>
  <c r="H156" i="39" s="1"/>
  <c r="O237" i="39"/>
  <c r="N236" i="39"/>
  <c r="O236" i="39" s="1"/>
  <c r="P14" i="37"/>
  <c r="R14" i="37" s="1"/>
  <c r="Q54" i="35"/>
  <c r="R54" i="35" s="1"/>
  <c r="N80" i="39"/>
  <c r="O152" i="39"/>
  <c r="O149" i="39"/>
  <c r="P322" i="39"/>
  <c r="M9" i="54"/>
  <c r="N307" i="39"/>
  <c r="O307" i="39" s="1"/>
  <c r="M64" i="39"/>
  <c r="M29" i="39"/>
  <c r="O29" i="39"/>
  <c r="M57" i="39"/>
  <c r="O57" i="39"/>
  <c r="M38" i="39"/>
  <c r="O38" i="39"/>
  <c r="M43" i="39"/>
  <c r="O43" i="39"/>
  <c r="M12" i="39"/>
  <c r="M60" i="39"/>
  <c r="O60" i="39"/>
  <c r="M69" i="39"/>
  <c r="O69" i="39"/>
  <c r="M74" i="39"/>
  <c r="O74" i="39"/>
  <c r="M26" i="39"/>
  <c r="O26" i="39"/>
  <c r="M33" i="39"/>
  <c r="O33" i="39"/>
  <c r="I80" i="39"/>
  <c r="H80" i="39"/>
  <c r="O83" i="39"/>
  <c r="L80" i="39"/>
  <c r="M156" i="39"/>
  <c r="R23" i="39"/>
  <c r="R21" i="39"/>
  <c r="R19" i="39"/>
  <c r="O124" i="39"/>
  <c r="R30" i="39"/>
  <c r="R273" i="39"/>
  <c r="R20" i="39"/>
  <c r="R15" i="39"/>
  <c r="R27" i="39"/>
  <c r="N229" i="39"/>
  <c r="O229" i="39" s="1"/>
  <c r="O234" i="39"/>
  <c r="M103" i="39"/>
  <c r="M124" i="39"/>
  <c r="O103" i="39"/>
  <c r="O145" i="39"/>
  <c r="M145" i="39"/>
  <c r="R28" i="39"/>
  <c r="R24" i="39"/>
  <c r="O120" i="39"/>
  <c r="M120" i="39"/>
  <c r="M83" i="39"/>
  <c r="M112" i="39"/>
  <c r="O112" i="39"/>
  <c r="M89" i="39"/>
  <c r="O89" i="39"/>
  <c r="M137" i="39"/>
  <c r="L73" i="39"/>
  <c r="M140" i="39"/>
  <c r="O140" i="39"/>
  <c r="M274" i="39"/>
  <c r="M188" i="39"/>
  <c r="N64" i="39"/>
  <c r="O64" i="39" s="1"/>
  <c r="M132" i="39"/>
  <c r="N73" i="39"/>
  <c r="O132" i="39"/>
  <c r="M269" i="39"/>
  <c r="O137" i="39"/>
  <c r="J166" i="39"/>
  <c r="K186" i="39"/>
  <c r="I267" i="39"/>
  <c r="I241" i="39" s="1"/>
  <c r="L42" i="39"/>
  <c r="L11" i="39"/>
  <c r="I42" i="39"/>
  <c r="I11" i="39"/>
  <c r="H11" i="39"/>
  <c r="R61" i="54"/>
  <c r="P166" i="39"/>
  <c r="R166" i="39" s="1"/>
  <c r="P320" i="39"/>
  <c r="P191" i="39"/>
  <c r="P26" i="39"/>
  <c r="P64" i="39"/>
  <c r="P38" i="39"/>
  <c r="P60" i="39"/>
  <c r="P69" i="39"/>
  <c r="P33" i="39"/>
  <c r="P12" i="39"/>
  <c r="P83" i="39"/>
  <c r="P103" i="39"/>
  <c r="P112" i="39"/>
  <c r="P43" i="39"/>
  <c r="P89" i="39"/>
  <c r="P124" i="39"/>
  <c r="Q237" i="39"/>
  <c r="R237" i="39" s="1"/>
  <c r="Q198" i="39"/>
  <c r="R198" i="39" s="1"/>
  <c r="P267" i="39"/>
  <c r="P241" i="39" s="1"/>
  <c r="J32" i="54"/>
  <c r="K32" i="54" s="1"/>
  <c r="H267" i="39"/>
  <c r="H241" i="39" s="1"/>
  <c r="J35" i="54"/>
  <c r="N221" i="39"/>
  <c r="J260" i="39"/>
  <c r="K260" i="39" s="1"/>
  <c r="Q195" i="39"/>
  <c r="R195" i="39" s="1"/>
  <c r="N206" i="39"/>
  <c r="O206" i="39" s="1"/>
  <c r="H73" i="39"/>
  <c r="J285" i="39"/>
  <c r="K285" i="39" s="1"/>
  <c r="K63" i="54"/>
  <c r="K61" i="54"/>
  <c r="J282" i="39"/>
  <c r="K282" i="39" s="1"/>
  <c r="K65" i="54"/>
  <c r="J291" i="39"/>
  <c r="K291" i="39" s="1"/>
  <c r="K64" i="54"/>
  <c r="J290" i="39"/>
  <c r="K290" i="39" s="1"/>
  <c r="K49" i="54"/>
  <c r="J256" i="39"/>
  <c r="K256" i="39" s="1"/>
  <c r="J284" i="39"/>
  <c r="K284" i="39" s="1"/>
  <c r="K62" i="54"/>
  <c r="J294" i="39"/>
  <c r="K294" i="39" s="1"/>
  <c r="K68" i="54"/>
  <c r="K66" i="54"/>
  <c r="J292" i="39"/>
  <c r="K292" i="39" s="1"/>
  <c r="K67" i="54"/>
  <c r="J293" i="39"/>
  <c r="K293" i="39" s="1"/>
  <c r="Q206" i="39"/>
  <c r="R206" i="39" s="1"/>
  <c r="Q194" i="39"/>
  <c r="R194" i="39" s="1"/>
  <c r="Q282" i="39"/>
  <c r="R282" i="39" s="1"/>
  <c r="H11" i="37"/>
  <c r="H321" i="39" s="1"/>
  <c r="L267" i="39"/>
  <c r="N199" i="39"/>
  <c r="O199" i="39" s="1"/>
  <c r="N274" i="39"/>
  <c r="O274" i="39" s="1"/>
  <c r="J269" i="39"/>
  <c r="K269" i="39" s="1"/>
  <c r="I107" i="37"/>
  <c r="Q269" i="39"/>
  <c r="R269" i="39" s="1"/>
  <c r="J199" i="39"/>
  <c r="K199" i="39" s="1"/>
  <c r="Q274" i="39"/>
  <c r="R274" i="39" s="1"/>
  <c r="J274" i="39"/>
  <c r="K274" i="39" s="1"/>
  <c r="N269" i="39"/>
  <c r="O269" i="39" s="1"/>
  <c r="Q290" i="39"/>
  <c r="R290" i="39" s="1"/>
  <c r="Q284" i="39"/>
  <c r="R284" i="39" s="1"/>
  <c r="M322" i="39"/>
  <c r="R63" i="54"/>
  <c r="Q191" i="39"/>
  <c r="N301" i="39"/>
  <c r="O301" i="39" s="1"/>
  <c r="Q301" i="39"/>
  <c r="R301" i="39" s="1"/>
  <c r="Q20" i="35"/>
  <c r="R20" i="35" s="1"/>
  <c r="H42" i="39"/>
  <c r="Q12" i="39"/>
  <c r="Q26" i="39"/>
  <c r="R44" i="37" l="1"/>
  <c r="Q53" i="35"/>
  <c r="R53" i="35" s="1"/>
  <c r="H10" i="39"/>
  <c r="H9" i="39" s="1"/>
  <c r="M42" i="39"/>
  <c r="O80" i="39"/>
  <c r="M73" i="39"/>
  <c r="O73" i="39"/>
  <c r="M11" i="39"/>
  <c r="M80" i="39"/>
  <c r="K166" i="39"/>
  <c r="R191" i="39"/>
  <c r="J91" i="39"/>
  <c r="K91" i="39" s="1"/>
  <c r="N42" i="39"/>
  <c r="O42" i="39" s="1"/>
  <c r="N220" i="39"/>
  <c r="O220" i="39" s="1"/>
  <c r="O221" i="39"/>
  <c r="R26" i="39"/>
  <c r="L241" i="39"/>
  <c r="M241" i="39" s="1"/>
  <c r="M267" i="39"/>
  <c r="R12" i="39"/>
  <c r="O9" i="54"/>
  <c r="N322" i="39"/>
  <c r="O322" i="39" s="1"/>
  <c r="L10" i="39"/>
  <c r="I10" i="39"/>
  <c r="I9" i="39" s="1"/>
  <c r="R196" i="4"/>
  <c r="R194" i="4"/>
  <c r="Q10" i="35"/>
  <c r="R10" i="35" s="1"/>
  <c r="J288" i="39"/>
  <c r="K288" i="39" s="1"/>
  <c r="P11" i="39"/>
  <c r="P42" i="39"/>
  <c r="P80" i="39"/>
  <c r="Q236" i="39"/>
  <c r="R236" i="39" s="1"/>
  <c r="H324" i="39"/>
  <c r="J238" i="39"/>
  <c r="K238" i="39" s="1"/>
  <c r="Q199" i="39"/>
  <c r="I11" i="37"/>
  <c r="R40" i="37"/>
  <c r="Q57" i="54"/>
  <c r="N267" i="39"/>
  <c r="L9" i="35"/>
  <c r="N9" i="35" s="1"/>
  <c r="M319" i="39"/>
  <c r="M11" i="37" l="1"/>
  <c r="K11" i="37"/>
  <c r="N11" i="37"/>
  <c r="O11" i="37" s="1"/>
  <c r="S194" i="4"/>
  <c r="S196" i="4"/>
  <c r="H328" i="39"/>
  <c r="BL65" i="142"/>
  <c r="O267" i="39"/>
  <c r="N241" i="39"/>
  <c r="O241" i="39" s="1"/>
  <c r="M10" i="39"/>
  <c r="Q9" i="35"/>
  <c r="R9" i="35" s="1"/>
  <c r="N320" i="39"/>
  <c r="Q231" i="39"/>
  <c r="R231" i="39" s="1"/>
  <c r="J127" i="39"/>
  <c r="K127" i="39" s="1"/>
  <c r="J79" i="39"/>
  <c r="K79" i="39" s="1"/>
  <c r="J222" i="39"/>
  <c r="K222" i="39" s="1"/>
  <c r="J193" i="39"/>
  <c r="K193" i="39" s="1"/>
  <c r="J213" i="39"/>
  <c r="K213" i="39" s="1"/>
  <c r="J233" i="39"/>
  <c r="K233" i="39" s="1"/>
  <c r="J196" i="39"/>
  <c r="K196" i="39" s="1"/>
  <c r="J289" i="39"/>
  <c r="K289" i="39" s="1"/>
  <c r="J262" i="39"/>
  <c r="K262" i="39" s="1"/>
  <c r="J237" i="39"/>
  <c r="J234" i="39"/>
  <c r="K234" i="39" s="1"/>
  <c r="J232" i="39"/>
  <c r="K232" i="39" s="1"/>
  <c r="J231" i="39"/>
  <c r="K231" i="39" s="1"/>
  <c r="J230" i="39"/>
  <c r="K230" i="39" s="1"/>
  <c r="J225" i="39"/>
  <c r="K225" i="39" s="1"/>
  <c r="M9" i="35"/>
  <c r="J208" i="39"/>
  <c r="J192" i="39"/>
  <c r="K192" i="39" s="1"/>
  <c r="Q12" i="37"/>
  <c r="J214" i="39"/>
  <c r="K214" i="39" s="1"/>
  <c r="P10" i="39"/>
  <c r="P319" i="39"/>
  <c r="L321" i="39"/>
  <c r="J261" i="39"/>
  <c r="K261" i="39" s="1"/>
  <c r="Q33" i="37"/>
  <c r="R33" i="37" s="1"/>
  <c r="J44" i="37"/>
  <c r="K44" i="37" s="1"/>
  <c r="J235" i="39"/>
  <c r="K235" i="39" s="1"/>
  <c r="Q228" i="39"/>
  <c r="R228" i="39" s="1"/>
  <c r="J287" i="39"/>
  <c r="K287" i="39" s="1"/>
  <c r="I321" i="39"/>
  <c r="Q46" i="54"/>
  <c r="R69" i="54"/>
  <c r="Q50" i="54"/>
  <c r="Q42" i="54"/>
  <c r="Q52" i="54"/>
  <c r="Q55" i="54"/>
  <c r="Q56" i="54"/>
  <c r="Q44" i="54"/>
  <c r="Q47" i="54"/>
  <c r="Q49" i="54"/>
  <c r="Q51" i="54"/>
  <c r="Q45" i="54"/>
  <c r="Q54" i="54"/>
  <c r="Q43" i="54"/>
  <c r="Q48" i="54"/>
  <c r="K54" i="54"/>
  <c r="K56" i="54"/>
  <c r="K52" i="54"/>
  <c r="K58" i="54"/>
  <c r="Q72" i="54"/>
  <c r="R72" i="54" s="1"/>
  <c r="K55" i="54"/>
  <c r="K51" i="54"/>
  <c r="L320" i="39"/>
  <c r="I320" i="39"/>
  <c r="J119" i="39"/>
  <c r="K119" i="39" s="1"/>
  <c r="O319" i="39"/>
  <c r="I324" i="39" l="1"/>
  <c r="I328" i="39" s="1"/>
  <c r="K208" i="39"/>
  <c r="R32" i="54"/>
  <c r="Q320" i="39"/>
  <c r="R320" i="39" s="1"/>
  <c r="J236" i="39"/>
  <c r="K236" i="39" s="1"/>
  <c r="K237" i="39"/>
  <c r="L324" i="39"/>
  <c r="H326" i="39"/>
  <c r="H327" i="39"/>
  <c r="J229" i="39"/>
  <c r="K229" i="39" s="1"/>
  <c r="N22" i="39"/>
  <c r="O22" i="39" s="1"/>
  <c r="N24" i="39"/>
  <c r="O24" i="39" s="1"/>
  <c r="N25" i="39"/>
  <c r="O25" i="39" s="1"/>
  <c r="N19" i="39"/>
  <c r="O19" i="39" s="1"/>
  <c r="Q58" i="54"/>
  <c r="R58" i="54" s="1"/>
  <c r="Q11" i="37"/>
  <c r="H325" i="39"/>
  <c r="L220" i="39"/>
  <c r="M220" i="39" s="1"/>
  <c r="Q227" i="39"/>
  <c r="R227" i="39" s="1"/>
  <c r="M321" i="39"/>
  <c r="R49" i="54"/>
  <c r="Q256" i="39"/>
  <c r="R256" i="39" s="1"/>
  <c r="R42" i="54"/>
  <c r="Q249" i="39"/>
  <c r="R249" i="39" s="1"/>
  <c r="Q35" i="54"/>
  <c r="K59" i="54"/>
  <c r="J268" i="39"/>
  <c r="K268" i="39" s="1"/>
  <c r="K44" i="54"/>
  <c r="J251" i="39"/>
  <c r="K251" i="39" s="1"/>
  <c r="R54" i="54"/>
  <c r="Q263" i="39"/>
  <c r="R263" i="39" s="1"/>
  <c r="Q254" i="39"/>
  <c r="R254" i="39" s="1"/>
  <c r="R47" i="54"/>
  <c r="K41" i="54"/>
  <c r="J248" i="39"/>
  <c r="K248" i="39" s="1"/>
  <c r="K50" i="54"/>
  <c r="J257" i="39"/>
  <c r="K257" i="39" s="1"/>
  <c r="K57" i="54"/>
  <c r="J266" i="39"/>
  <c r="K266" i="39" s="1"/>
  <c r="R65" i="54"/>
  <c r="Q291" i="39"/>
  <c r="R291" i="39" s="1"/>
  <c r="Q252" i="39"/>
  <c r="R252" i="39" s="1"/>
  <c r="R45" i="54"/>
  <c r="R44" i="54"/>
  <c r="Q251" i="39"/>
  <c r="R251" i="39" s="1"/>
  <c r="Q293" i="39"/>
  <c r="R293" i="39" s="1"/>
  <c r="R67" i="54"/>
  <c r="J247" i="39"/>
  <c r="K247" i="39" s="1"/>
  <c r="K40" i="54"/>
  <c r="K47" i="54"/>
  <c r="J254" i="39"/>
  <c r="K254" i="39" s="1"/>
  <c r="R48" i="54"/>
  <c r="Q255" i="39"/>
  <c r="R255" i="39" s="1"/>
  <c r="R51" i="54"/>
  <c r="Q258" i="39"/>
  <c r="R258" i="39" s="1"/>
  <c r="Q265" i="39"/>
  <c r="R265" i="39" s="1"/>
  <c r="R56" i="54"/>
  <c r="R50" i="54"/>
  <c r="Q257" i="39"/>
  <c r="R257" i="39" s="1"/>
  <c r="Q260" i="39"/>
  <c r="R260" i="39" s="1"/>
  <c r="J243" i="39"/>
  <c r="K243" i="39" s="1"/>
  <c r="K36" i="54"/>
  <c r="J244" i="39"/>
  <c r="K244" i="39" s="1"/>
  <c r="K37" i="54"/>
  <c r="K45" i="54"/>
  <c r="J252" i="39"/>
  <c r="K252" i="39" s="1"/>
  <c r="K43" i="54"/>
  <c r="J250" i="39"/>
  <c r="K250" i="39" s="1"/>
  <c r="K42" i="54"/>
  <c r="J249" i="39"/>
  <c r="K249" i="39" s="1"/>
  <c r="R55" i="54"/>
  <c r="Q264" i="39"/>
  <c r="R264" i="39" s="1"/>
  <c r="R46" i="54"/>
  <c r="Q253" i="39"/>
  <c r="R253" i="39" s="1"/>
  <c r="J255" i="39"/>
  <c r="K255" i="39" s="1"/>
  <c r="K48" i="54"/>
  <c r="R68" i="54"/>
  <c r="Q294" i="39"/>
  <c r="R294" i="39" s="1"/>
  <c r="J246" i="39"/>
  <c r="K246" i="39" s="1"/>
  <c r="K39" i="54"/>
  <c r="K38" i="54"/>
  <c r="J245" i="39"/>
  <c r="K245" i="39" s="1"/>
  <c r="K46" i="54"/>
  <c r="J253" i="39"/>
  <c r="K253" i="39" s="1"/>
  <c r="K60" i="54"/>
  <c r="J299" i="39"/>
  <c r="K299" i="39" s="1"/>
  <c r="R43" i="54"/>
  <c r="Q250" i="39"/>
  <c r="R250" i="39" s="1"/>
  <c r="Q266" i="39"/>
  <c r="R266" i="39" s="1"/>
  <c r="R57" i="54"/>
  <c r="R52" i="54"/>
  <c r="Q259" i="39"/>
  <c r="R259" i="39" s="1"/>
  <c r="R66" i="54"/>
  <c r="Q292" i="39"/>
  <c r="R292" i="39" s="1"/>
  <c r="O9" i="35"/>
  <c r="M320" i="39"/>
  <c r="Q34" i="54" l="1"/>
  <c r="Q9" i="54" s="1"/>
  <c r="N321" i="39"/>
  <c r="K321" i="39"/>
  <c r="Q321" i="39"/>
  <c r="N194" i="39"/>
  <c r="S321" i="39"/>
  <c r="Q267" i="39"/>
  <c r="R267" i="39" s="1"/>
  <c r="J34" i="54"/>
  <c r="K35" i="54"/>
  <c r="R35" i="54"/>
  <c r="Q242" i="39"/>
  <c r="R242" i="39" s="1"/>
  <c r="M324" i="39"/>
  <c r="O320" i="39"/>
  <c r="O321" i="39" l="1"/>
  <c r="N324" i="39"/>
  <c r="O194" i="39"/>
  <c r="N188" i="39"/>
  <c r="N156" i="39" s="1"/>
  <c r="J9" i="54"/>
  <c r="K9" i="54" s="1"/>
  <c r="K34" i="54"/>
  <c r="L9" i="39"/>
  <c r="Q241" i="39"/>
  <c r="R241" i="39" s="1"/>
  <c r="R9" i="54"/>
  <c r="R34" i="54"/>
  <c r="L328" i="39" l="1"/>
  <c r="L327" i="39"/>
  <c r="O188" i="39"/>
  <c r="O156" i="39"/>
  <c r="O324" i="39"/>
  <c r="L326" i="39"/>
  <c r="J322" i="39"/>
  <c r="Q322" i="39"/>
  <c r="R322" i="39" s="1"/>
  <c r="L325" i="39" l="1"/>
  <c r="S322" i="39"/>
  <c r="K322" i="39"/>
  <c r="J19" i="39" l="1"/>
  <c r="K19" i="39" s="1"/>
  <c r="J18" i="39" l="1"/>
  <c r="K18" i="39" s="1"/>
  <c r="J15" i="39" l="1"/>
  <c r="K15" i="39" s="1"/>
  <c r="J14" i="39" l="1"/>
  <c r="K14" i="39" s="1"/>
  <c r="P199" i="39" l="1"/>
  <c r="R199" i="39" s="1"/>
  <c r="P12" i="37" l="1"/>
  <c r="R12" i="37" s="1"/>
  <c r="P188" i="39"/>
  <c r="P156" i="39" s="1"/>
  <c r="J211" i="39" l="1"/>
  <c r="K211" i="39" s="1"/>
  <c r="Q158" i="39"/>
  <c r="R158" i="39" s="1"/>
  <c r="Q136" i="39"/>
  <c r="R136" i="39" s="1"/>
  <c r="Q58" i="39"/>
  <c r="R58" i="39" s="1"/>
  <c r="Q44" i="39"/>
  <c r="R44" i="39" s="1"/>
  <c r="Q78" i="39"/>
  <c r="R78" i="39" s="1"/>
  <c r="Q135" i="39"/>
  <c r="R135" i="39" s="1"/>
  <c r="Q230" i="39"/>
  <c r="R230" i="39" s="1"/>
  <c r="Q133" i="39"/>
  <c r="R133" i="39" s="1"/>
  <c r="Q134" i="39"/>
  <c r="R134" i="39" s="1"/>
  <c r="Q95" i="39"/>
  <c r="R95" i="39" s="1"/>
  <c r="Q234" i="39"/>
  <c r="R234" i="39" s="1"/>
  <c r="Q97" i="39"/>
  <c r="R97" i="39" s="1"/>
  <c r="Q54" i="39"/>
  <c r="R54" i="39" s="1"/>
  <c r="Q96" i="39"/>
  <c r="R96" i="39" s="1"/>
  <c r="Q154" i="39"/>
  <c r="R154" i="39" s="1"/>
  <c r="Q99" i="39"/>
  <c r="R99" i="39" s="1"/>
  <c r="Q86" i="39"/>
  <c r="R86" i="39" s="1"/>
  <c r="Q46" i="39"/>
  <c r="R46" i="39" s="1"/>
  <c r="Q93" i="39"/>
  <c r="R93" i="39" s="1"/>
  <c r="Q106" i="39"/>
  <c r="R106" i="39" s="1"/>
  <c r="R35" i="39"/>
  <c r="Q122" i="39"/>
  <c r="R122" i="39" s="1"/>
  <c r="Q308" i="39"/>
  <c r="Q147" i="39"/>
  <c r="R147" i="39" s="1"/>
  <c r="Q161" i="39"/>
  <c r="R161" i="39" s="1"/>
  <c r="Q107" i="39"/>
  <c r="R107" i="39" s="1"/>
  <c r="Q128" i="39"/>
  <c r="R128" i="39" s="1"/>
  <c r="Q144" i="39"/>
  <c r="R144" i="39" s="1"/>
  <c r="Q203" i="39"/>
  <c r="R203" i="39" s="1"/>
  <c r="Q105" i="39"/>
  <c r="R105" i="39" s="1"/>
  <c r="Q119" i="39"/>
  <c r="R119" i="39" s="1"/>
  <c r="Q125" i="39"/>
  <c r="R125" i="39" s="1"/>
  <c r="Q118" i="39"/>
  <c r="R118" i="39" s="1"/>
  <c r="Q75" i="39"/>
  <c r="R75" i="39" s="1"/>
  <c r="Q37" i="39"/>
  <c r="R37" i="39" s="1"/>
  <c r="Q197" i="39"/>
  <c r="R197" i="39" s="1"/>
  <c r="Q309" i="39"/>
  <c r="R309" i="39" s="1"/>
  <c r="Q51" i="39"/>
  <c r="R51" i="39" s="1"/>
  <c r="Q41" i="39"/>
  <c r="R41" i="39" s="1"/>
  <c r="Q146" i="39"/>
  <c r="R146" i="39" s="1"/>
  <c r="Q116" i="39"/>
  <c r="R116" i="39" s="1"/>
  <c r="Q92" i="39"/>
  <c r="R92" i="39" s="1"/>
  <c r="Q49" i="39"/>
  <c r="R49" i="39" s="1"/>
  <c r="Q189" i="39"/>
  <c r="R189" i="39" s="1"/>
  <c r="Q59" i="39"/>
  <c r="R59" i="39" s="1"/>
  <c r="Q88" i="39"/>
  <c r="Q148" i="39"/>
  <c r="R148" i="39" s="1"/>
  <c r="Q102" i="39"/>
  <c r="R102" i="39" s="1"/>
  <c r="Q212" i="39"/>
  <c r="R212" i="39" s="1"/>
  <c r="Q130" i="39"/>
  <c r="R130" i="39" s="1"/>
  <c r="Q53" i="39"/>
  <c r="R53" i="39" s="1"/>
  <c r="Q190" i="39"/>
  <c r="R190" i="39" s="1"/>
  <c r="Q193" i="39"/>
  <c r="R193" i="39" s="1"/>
  <c r="Q32" i="39"/>
  <c r="R32" i="39" s="1"/>
  <c r="Q70" i="39"/>
  <c r="R70" i="39" s="1"/>
  <c r="Q152" i="39"/>
  <c r="Q149" i="39" s="1"/>
  <c r="R149" i="39" s="1"/>
  <c r="Q164" i="39"/>
  <c r="R164" i="39" s="1"/>
  <c r="Q94" i="39"/>
  <c r="R94" i="39" s="1"/>
  <c r="Q165" i="39"/>
  <c r="R165" i="39" s="1"/>
  <c r="Q40" i="39"/>
  <c r="R40" i="39" s="1"/>
  <c r="Q55" i="39"/>
  <c r="R55" i="39" s="1"/>
  <c r="Q101" i="39"/>
  <c r="R101" i="39" s="1"/>
  <c r="Q310" i="39"/>
  <c r="R310" i="39" s="1"/>
  <c r="Q221" i="39"/>
  <c r="R221" i="39" s="1"/>
  <c r="Q117" i="39"/>
  <c r="R117" i="39" s="1"/>
  <c r="Q76" i="39"/>
  <c r="R76" i="39" s="1"/>
  <c r="Q109" i="39"/>
  <c r="R109" i="39" s="1"/>
  <c r="Q48" i="39"/>
  <c r="R48" i="39" s="1"/>
  <c r="Q113" i="39"/>
  <c r="R113" i="39" s="1"/>
  <c r="Q111" i="39"/>
  <c r="R111" i="39" s="1"/>
  <c r="Q61" i="39"/>
  <c r="R61" i="39" s="1"/>
  <c r="Q67" i="39"/>
  <c r="R67" i="39" s="1"/>
  <c r="Q110" i="39"/>
  <c r="R110" i="39" s="1"/>
  <c r="Q62" i="39"/>
  <c r="R62" i="39" s="1"/>
  <c r="Q129" i="39"/>
  <c r="R129" i="39" s="1"/>
  <c r="J34" i="39"/>
  <c r="K34" i="39" s="1"/>
  <c r="J76" i="39"/>
  <c r="K76" i="39" s="1"/>
  <c r="J190" i="39"/>
  <c r="K190" i="39" s="1"/>
  <c r="J130" i="39"/>
  <c r="K130" i="39" s="1"/>
  <c r="J37" i="39"/>
  <c r="K37" i="39" s="1"/>
  <c r="J162" i="39"/>
  <c r="K162" i="39" s="1"/>
  <c r="J55" i="39"/>
  <c r="K55" i="39" s="1"/>
  <c r="J93" i="39"/>
  <c r="K93" i="39" s="1"/>
  <c r="J146" i="39"/>
  <c r="K146" i="39" s="1"/>
  <c r="J135" i="39"/>
  <c r="K135" i="39" s="1"/>
  <c r="J102" i="39"/>
  <c r="K102" i="39" s="1"/>
  <c r="J56" i="39"/>
  <c r="K56" i="39" s="1"/>
  <c r="J131" i="39"/>
  <c r="K131" i="39" s="1"/>
  <c r="J77" i="39"/>
  <c r="K77" i="39" s="1"/>
  <c r="J32" i="39"/>
  <c r="K32" i="39" s="1"/>
  <c r="J106" i="39"/>
  <c r="K106" i="39" s="1"/>
  <c r="J107" i="39"/>
  <c r="K107" i="39" s="1"/>
  <c r="J98" i="39"/>
  <c r="K98" i="39" s="1"/>
  <c r="J104" i="39"/>
  <c r="K104" i="39" s="1"/>
  <c r="J45" i="39"/>
  <c r="K45" i="39" s="1"/>
  <c r="J126" i="39"/>
  <c r="K126" i="39" s="1"/>
  <c r="J99" i="39"/>
  <c r="K99" i="39" s="1"/>
  <c r="J134" i="39"/>
  <c r="K134" i="39" s="1"/>
  <c r="J100" i="39"/>
  <c r="K100" i="39" s="1"/>
  <c r="J209" i="39"/>
  <c r="J86" i="39"/>
  <c r="K86" i="39" s="1"/>
  <c r="J96" i="39"/>
  <c r="K96" i="39" s="1"/>
  <c r="J58" i="39"/>
  <c r="K58" i="39" s="1"/>
  <c r="J105" i="39"/>
  <c r="K105" i="39" s="1"/>
  <c r="J212" i="39"/>
  <c r="K212" i="39" s="1"/>
  <c r="J125" i="39"/>
  <c r="K125" i="39" s="1"/>
  <c r="J51" i="39"/>
  <c r="K51" i="39" s="1"/>
  <c r="J309" i="39"/>
  <c r="K309" i="39" s="1"/>
  <c r="J109" i="39"/>
  <c r="K109" i="39" s="1"/>
  <c r="J50" i="39"/>
  <c r="K50" i="39" s="1"/>
  <c r="R83" i="4"/>
  <c r="R120" i="4"/>
  <c r="J31" i="39"/>
  <c r="K31" i="39" s="1"/>
  <c r="J65" i="39"/>
  <c r="K65" i="39" s="1"/>
  <c r="J61" i="39"/>
  <c r="K61" i="39" s="1"/>
  <c r="J142" i="39"/>
  <c r="K142" i="39" s="1"/>
  <c r="J25" i="39"/>
  <c r="K25" i="39" s="1"/>
  <c r="J53" i="39"/>
  <c r="K53" i="39" s="1"/>
  <c r="J128" i="39"/>
  <c r="K128" i="39" s="1"/>
  <c r="J85" i="39"/>
  <c r="K85" i="39" s="1"/>
  <c r="J54" i="39"/>
  <c r="K54" i="39" s="1"/>
  <c r="J113" i="39"/>
  <c r="K113" i="39" s="1"/>
  <c r="J116" i="39"/>
  <c r="K116" i="39" s="1"/>
  <c r="J72" i="39"/>
  <c r="K72" i="39" s="1"/>
  <c r="J59" i="39"/>
  <c r="K59" i="39" s="1"/>
  <c r="J67" i="39"/>
  <c r="K67" i="39" s="1"/>
  <c r="J114" i="39"/>
  <c r="K114" i="39" s="1"/>
  <c r="J118" i="39"/>
  <c r="K118" i="39" s="1"/>
  <c r="J39" i="39"/>
  <c r="K39" i="39" s="1"/>
  <c r="Q211" i="39"/>
  <c r="R211" i="39" s="1"/>
  <c r="J101" i="39"/>
  <c r="K101" i="39" s="1"/>
  <c r="J95" i="39"/>
  <c r="K95" i="39" s="1"/>
  <c r="J147" i="39"/>
  <c r="K147" i="39" s="1"/>
  <c r="R43" i="4"/>
  <c r="R74" i="4"/>
  <c r="J70" i="39"/>
  <c r="K70" i="39" s="1"/>
  <c r="J66" i="39"/>
  <c r="K66" i="39" s="1"/>
  <c r="Q52" i="39"/>
  <c r="R52" i="39" s="1"/>
  <c r="Q39" i="39"/>
  <c r="R39" i="39" s="1"/>
  <c r="Q210" i="39"/>
  <c r="R210" i="39" s="1"/>
  <c r="J88" i="39"/>
  <c r="K88" i="39" s="1"/>
  <c r="Q47" i="39"/>
  <c r="R47" i="39" s="1"/>
  <c r="J21" i="39"/>
  <c r="K21" i="39" s="1"/>
  <c r="J111" i="39"/>
  <c r="K111" i="39" s="1"/>
  <c r="J143" i="39"/>
  <c r="K143" i="39" s="1"/>
  <c r="J129" i="39"/>
  <c r="K129" i="39" s="1"/>
  <c r="J46" i="39"/>
  <c r="K46" i="39" s="1"/>
  <c r="J78" i="39"/>
  <c r="K78" i="39" s="1"/>
  <c r="Q232" i="39"/>
  <c r="R232" i="39" s="1"/>
  <c r="J30" i="39"/>
  <c r="K30" i="39" s="1"/>
  <c r="Q85" i="39"/>
  <c r="R85" i="39" s="1"/>
  <c r="Q65" i="39"/>
  <c r="R65" i="39" s="1"/>
  <c r="Q108" i="39"/>
  <c r="R108" i="39" s="1"/>
  <c r="Q72" i="39"/>
  <c r="R72" i="39" s="1"/>
  <c r="Q142" i="39"/>
  <c r="R142" i="39" s="1"/>
  <c r="Q84" i="39"/>
  <c r="R84" i="39" s="1"/>
  <c r="J141" i="39"/>
  <c r="K141" i="39" s="1"/>
  <c r="Q114" i="39"/>
  <c r="R114" i="39" s="1"/>
  <c r="J71" i="39"/>
  <c r="K71" i="39" s="1"/>
  <c r="J35" i="39"/>
  <c r="K35" i="39" s="1"/>
  <c r="J121" i="39"/>
  <c r="Q56" i="39"/>
  <c r="R56" i="39" s="1"/>
  <c r="J24" i="39"/>
  <c r="K24" i="39" s="1"/>
  <c r="J122" i="39"/>
  <c r="K122" i="39" s="1"/>
  <c r="Q162" i="39"/>
  <c r="R162" i="39" s="1"/>
  <c r="J189" i="39"/>
  <c r="K189" i="39" s="1"/>
  <c r="Q50" i="39"/>
  <c r="R50" i="39" s="1"/>
  <c r="J148" i="39"/>
  <c r="K148" i="39" s="1"/>
  <c r="J94" i="39"/>
  <c r="K94" i="39" s="1"/>
  <c r="Q100" i="39"/>
  <c r="R100" i="39" s="1"/>
  <c r="J203" i="39"/>
  <c r="K203" i="39" s="1"/>
  <c r="Q63" i="39"/>
  <c r="R63" i="39" s="1"/>
  <c r="J28" i="39"/>
  <c r="K28" i="39" s="1"/>
  <c r="J20" i="39"/>
  <c r="K20" i="39" s="1"/>
  <c r="Q138" i="39"/>
  <c r="R138" i="39" s="1"/>
  <c r="J23" i="39"/>
  <c r="K23" i="39" s="1"/>
  <c r="R103" i="4"/>
  <c r="Q104" i="39"/>
  <c r="R104" i="39" s="1"/>
  <c r="R89" i="4"/>
  <c r="Q90" i="39"/>
  <c r="R90" i="39" s="1"/>
  <c r="Q233" i="39"/>
  <c r="R233" i="39" s="1"/>
  <c r="Q141" i="39"/>
  <c r="R141" i="39" s="1"/>
  <c r="R145" i="4"/>
  <c r="J97" i="39"/>
  <c r="K97" i="39" s="1"/>
  <c r="J52" i="39"/>
  <c r="K52" i="39" s="1"/>
  <c r="J63" i="39"/>
  <c r="K63" i="39" s="1"/>
  <c r="J84" i="39"/>
  <c r="K84" i="39" s="1"/>
  <c r="R69" i="4"/>
  <c r="R165" i="4"/>
  <c r="R38" i="4"/>
  <c r="J41" i="39"/>
  <c r="K41" i="39" s="1"/>
  <c r="J47" i="39"/>
  <c r="K47" i="39" s="1"/>
  <c r="J108" i="39"/>
  <c r="K108" i="39" s="1"/>
  <c r="J75" i="39"/>
  <c r="K75" i="39" s="1"/>
  <c r="Q115" i="39"/>
  <c r="R115" i="39" s="1"/>
  <c r="Q121" i="39"/>
  <c r="R121" i="39" s="1"/>
  <c r="J144" i="39"/>
  <c r="K144" i="39" s="1"/>
  <c r="J22" i="39"/>
  <c r="K22" i="39" s="1"/>
  <c r="Q139" i="39"/>
  <c r="R139" i="39" s="1"/>
  <c r="J44" i="39"/>
  <c r="K44" i="39" s="1"/>
  <c r="J154" i="39"/>
  <c r="K154" i="39" s="1"/>
  <c r="Q71" i="39"/>
  <c r="R71" i="39" s="1"/>
  <c r="J92" i="39"/>
  <c r="K92" i="39" s="1"/>
  <c r="J138" i="39"/>
  <c r="K138" i="39" s="1"/>
  <c r="J90" i="39"/>
  <c r="K90" i="39" s="1"/>
  <c r="J158" i="39"/>
  <c r="J48" i="39"/>
  <c r="K48" i="39" s="1"/>
  <c r="J115" i="39"/>
  <c r="K115" i="39" s="1"/>
  <c r="J62" i="39"/>
  <c r="K62" i="39" s="1"/>
  <c r="Q192" i="39"/>
  <c r="R192" i="39" s="1"/>
  <c r="Q66" i="39"/>
  <c r="R66" i="39" s="1"/>
  <c r="Q202" i="39"/>
  <c r="R202" i="39" s="1"/>
  <c r="Q126" i="39"/>
  <c r="R126" i="39" s="1"/>
  <c r="Q209" i="39"/>
  <c r="R209" i="39" s="1"/>
  <c r="Q98" i="39"/>
  <c r="R98" i="39" s="1"/>
  <c r="J40" i="39"/>
  <c r="K40" i="39" s="1"/>
  <c r="J136" i="39"/>
  <c r="K136" i="39" s="1"/>
  <c r="Q160" i="39"/>
  <c r="R160" i="39" s="1"/>
  <c r="R34" i="39"/>
  <c r="J110" i="39"/>
  <c r="K110" i="39" s="1"/>
  <c r="J49" i="39"/>
  <c r="K49" i="39" s="1"/>
  <c r="R33" i="4"/>
  <c r="R36" i="39"/>
  <c r="Q163" i="39"/>
  <c r="R163" i="39" s="1"/>
  <c r="J27" i="39"/>
  <c r="K27" i="39" s="1"/>
  <c r="J308" i="39"/>
  <c r="K308" i="39" s="1"/>
  <c r="Q208" i="39"/>
  <c r="Q201" i="39"/>
  <c r="R201" i="39" s="1"/>
  <c r="Q143" i="39"/>
  <c r="R143" i="39" s="1"/>
  <c r="J133" i="39"/>
  <c r="K133" i="39" s="1"/>
  <c r="Q77" i="39"/>
  <c r="R77" i="39" s="1"/>
  <c r="R64" i="4"/>
  <c r="Q45" i="39"/>
  <c r="R45" i="39" s="1"/>
  <c r="J117" i="39"/>
  <c r="K117" i="39" s="1"/>
  <c r="J36" i="39"/>
  <c r="K36" i="39" s="1"/>
  <c r="Q155" i="39"/>
  <c r="R155" i="39" s="1"/>
  <c r="Q131" i="39"/>
  <c r="R131" i="39" s="1"/>
  <c r="J139" i="39"/>
  <c r="K139" i="39" s="1"/>
  <c r="J201" i="39"/>
  <c r="K201" i="39" s="1"/>
  <c r="K121" i="39" l="1"/>
  <c r="J120" i="39"/>
  <c r="K120" i="39" s="1"/>
  <c r="S33" i="4"/>
  <c r="S38" i="4"/>
  <c r="S69" i="4"/>
  <c r="S89" i="4"/>
  <c r="S43" i="4"/>
  <c r="S165" i="4"/>
  <c r="S103" i="4"/>
  <c r="S120" i="4"/>
  <c r="S64" i="4"/>
  <c r="S145" i="4"/>
  <c r="S74" i="4"/>
  <c r="S83" i="4"/>
  <c r="K209" i="39"/>
  <c r="J207" i="39"/>
  <c r="K207" i="39" s="1"/>
  <c r="R208" i="39"/>
  <c r="Q207" i="39"/>
  <c r="R207" i="39" s="1"/>
  <c r="R308" i="39"/>
  <c r="Q307" i="39"/>
  <c r="K158" i="39"/>
  <c r="J157" i="39"/>
  <c r="K157" i="39" s="1"/>
  <c r="R11" i="4"/>
  <c r="R152" i="39"/>
  <c r="Q87" i="39"/>
  <c r="R87" i="39" s="1"/>
  <c r="R88" i="39"/>
  <c r="J124" i="39"/>
  <c r="K124" i="39" s="1"/>
  <c r="J12" i="39"/>
  <c r="K12" i="39" s="1"/>
  <c r="N20" i="39"/>
  <c r="O20" i="39" s="1"/>
  <c r="N23" i="39"/>
  <c r="O23" i="39" s="1"/>
  <c r="N21" i="39"/>
  <c r="O21" i="39" s="1"/>
  <c r="Q220" i="39"/>
  <c r="Q157" i="39"/>
  <c r="R157" i="39" s="1"/>
  <c r="Q132" i="39"/>
  <c r="R132" i="39" s="1"/>
  <c r="Q29" i="39"/>
  <c r="R29" i="39" s="1"/>
  <c r="Q145" i="39"/>
  <c r="R145" i="39" s="1"/>
  <c r="Q57" i="39"/>
  <c r="R57" i="39" s="1"/>
  <c r="Q74" i="39"/>
  <c r="R73" i="4"/>
  <c r="Q43" i="39"/>
  <c r="R43" i="39" s="1"/>
  <c r="Q60" i="39"/>
  <c r="R60" i="39" s="1"/>
  <c r="J152" i="39"/>
  <c r="J149" i="39" s="1"/>
  <c r="K149" i="39" s="1"/>
  <c r="J64" i="39"/>
  <c r="K64" i="39" s="1"/>
  <c r="Q38" i="39"/>
  <c r="R38" i="39" s="1"/>
  <c r="J57" i="39"/>
  <c r="K57" i="39" s="1"/>
  <c r="J87" i="39"/>
  <c r="K87" i="39" s="1"/>
  <c r="J69" i="39"/>
  <c r="K69" i="39" s="1"/>
  <c r="J33" i="39"/>
  <c r="K33" i="39" s="1"/>
  <c r="Q83" i="39"/>
  <c r="R83" i="39" s="1"/>
  <c r="J145" i="39"/>
  <c r="K145" i="39" s="1"/>
  <c r="J29" i="39"/>
  <c r="K29" i="39" s="1"/>
  <c r="Q124" i="39"/>
  <c r="R124" i="39" s="1"/>
  <c r="J140" i="39"/>
  <c r="K140" i="39" s="1"/>
  <c r="Q69" i="39"/>
  <c r="R69" i="39" s="1"/>
  <c r="J242" i="39"/>
  <c r="J38" i="39"/>
  <c r="K38" i="39" s="1"/>
  <c r="J26" i="39"/>
  <c r="K26" i="39" s="1"/>
  <c r="J60" i="39"/>
  <c r="K60" i="39" s="1"/>
  <c r="J112" i="39"/>
  <c r="K112" i="39" s="1"/>
  <c r="Q112" i="39"/>
  <c r="R112" i="39" s="1"/>
  <c r="J137" i="39"/>
  <c r="K137" i="39" s="1"/>
  <c r="Q103" i="39"/>
  <c r="R103" i="39" s="1"/>
  <c r="R80" i="4"/>
  <c r="Q64" i="39"/>
  <c r="R64" i="39" s="1"/>
  <c r="Q137" i="39"/>
  <c r="R137" i="39" s="1"/>
  <c r="Q120" i="39"/>
  <c r="R120" i="39" s="1"/>
  <c r="J89" i="39"/>
  <c r="K89" i="39" s="1"/>
  <c r="J74" i="39"/>
  <c r="K74" i="39" s="1"/>
  <c r="R156" i="4"/>
  <c r="Q140" i="39"/>
  <c r="R140" i="39" s="1"/>
  <c r="J103" i="39"/>
  <c r="K103" i="39" s="1"/>
  <c r="J132" i="39"/>
  <c r="K132" i="39" s="1"/>
  <c r="Q33" i="39"/>
  <c r="R33" i="39" s="1"/>
  <c r="J43" i="39"/>
  <c r="K43" i="39" s="1"/>
  <c r="Q89" i="39"/>
  <c r="R89" i="39" s="1"/>
  <c r="Q188" i="39"/>
  <c r="R188" i="39" s="1"/>
  <c r="J83" i="39"/>
  <c r="Q229" i="39"/>
  <c r="R229" i="39" s="1"/>
  <c r="S80" i="4" l="1"/>
  <c r="S73" i="4"/>
  <c r="S11" i="4"/>
  <c r="S156" i="4"/>
  <c r="K83" i="39"/>
  <c r="J80" i="39"/>
  <c r="K80" i="39" s="1"/>
  <c r="R10" i="4"/>
  <c r="Q73" i="39"/>
  <c r="R73" i="39" s="1"/>
  <c r="R74" i="39"/>
  <c r="K152" i="39"/>
  <c r="K242" i="39"/>
  <c r="J73" i="39"/>
  <c r="K73" i="39" s="1"/>
  <c r="J11" i="39"/>
  <c r="K11" i="39" s="1"/>
  <c r="N12" i="39"/>
  <c r="O12" i="39" s="1"/>
  <c r="J42" i="39"/>
  <c r="K42" i="39" s="1"/>
  <c r="Q42" i="39"/>
  <c r="R42" i="39" s="1"/>
  <c r="Q11" i="39"/>
  <c r="Q156" i="39"/>
  <c r="R156" i="39" s="1"/>
  <c r="Q80" i="39"/>
  <c r="R80" i="39" s="1"/>
  <c r="S10" i="4" l="1"/>
  <c r="R9" i="4"/>
  <c r="Q10" i="39"/>
  <c r="Q9" i="39" s="1"/>
  <c r="M9" i="39"/>
  <c r="M328" i="39" s="1"/>
  <c r="I327" i="39"/>
  <c r="R11" i="39"/>
  <c r="I326" i="39"/>
  <c r="I325" i="39"/>
  <c r="N11" i="39"/>
  <c r="J10" i="39"/>
  <c r="O11" i="39" l="1"/>
  <c r="N10" i="39"/>
  <c r="N9" i="39" s="1"/>
  <c r="N328" i="39" s="1"/>
  <c r="R10" i="39"/>
  <c r="AK154" i="140"/>
  <c r="K10" i="39"/>
  <c r="M327" i="39"/>
  <c r="Q319" i="39"/>
  <c r="S9" i="4"/>
  <c r="M325" i="39"/>
  <c r="M326" i="39"/>
  <c r="J319" i="39"/>
  <c r="S319" i="39" s="1"/>
  <c r="R319" i="39" l="1"/>
  <c r="Q324" i="39"/>
  <c r="Q328" i="39" s="1"/>
  <c r="O10" i="39"/>
  <c r="K319" i="39"/>
  <c r="O9" i="39" l="1"/>
  <c r="O328" i="39" s="1"/>
  <c r="Q327" i="39"/>
  <c r="N327" i="39"/>
  <c r="N326" i="39"/>
  <c r="N325" i="39"/>
  <c r="Q326" i="39"/>
  <c r="Q325" i="39"/>
  <c r="O327" i="39" l="1"/>
  <c r="O326" i="39"/>
  <c r="O325" i="39"/>
  <c r="S54" i="35"/>
  <c r="J44" i="35"/>
  <c r="K44" i="35" s="1"/>
  <c r="J38" i="35"/>
  <c r="K38" i="35" s="1"/>
  <c r="J35" i="35"/>
  <c r="K35" i="35" s="1"/>
  <c r="J32" i="35"/>
  <c r="K32" i="35" s="1"/>
  <c r="J41" i="35"/>
  <c r="K41" i="35" s="1"/>
  <c r="J61" i="35"/>
  <c r="K61" i="35" s="1"/>
  <c r="J57" i="35"/>
  <c r="K57" i="35" s="1"/>
  <c r="J36" i="35"/>
  <c r="K36" i="35" s="1"/>
  <c r="J43" i="35"/>
  <c r="K43" i="35" s="1"/>
  <c r="J50" i="35"/>
  <c r="K50" i="35" s="1"/>
  <c r="J51" i="35"/>
  <c r="K51" i="35" s="1"/>
  <c r="J60" i="35"/>
  <c r="K60" i="35" s="1"/>
  <c r="J40" i="35"/>
  <c r="K40" i="35" s="1"/>
  <c r="J55" i="35"/>
  <c r="K55" i="35" s="1"/>
  <c r="J37" i="35"/>
  <c r="K37" i="35" s="1"/>
  <c r="J49" i="35"/>
  <c r="K49" i="35" s="1"/>
  <c r="J62" i="35"/>
  <c r="K62" i="35" s="1"/>
  <c r="J33" i="35"/>
  <c r="K33" i="35" s="1"/>
  <c r="J52" i="35"/>
  <c r="K52" i="35" s="1"/>
  <c r="J42" i="35"/>
  <c r="K42" i="35" s="1"/>
  <c r="J39" i="35"/>
  <c r="K39" i="35" s="1"/>
  <c r="J63" i="35"/>
  <c r="K63" i="35" s="1"/>
  <c r="J58" i="35"/>
  <c r="K58" i="35" s="1"/>
  <c r="J34" i="35"/>
  <c r="K34" i="35" s="1"/>
  <c r="J59" i="35"/>
  <c r="K59" i="35" s="1"/>
  <c r="J53" i="35"/>
  <c r="K53" i="35" s="1"/>
  <c r="J48" i="35"/>
  <c r="K48" i="35" s="1"/>
  <c r="J20" i="35"/>
  <c r="K20" i="35" s="1"/>
  <c r="J56" i="35"/>
  <c r="K56" i="35" s="1"/>
  <c r="J195" i="39" l="1"/>
  <c r="K195" i="39" s="1"/>
  <c r="J311" i="39"/>
  <c r="K311" i="39" s="1"/>
  <c r="J205" i="39"/>
  <c r="K205" i="39" s="1"/>
  <c r="J304" i="39"/>
  <c r="K304" i="39" s="1"/>
  <c r="J226" i="39"/>
  <c r="K226" i="39" s="1"/>
  <c r="J307" i="39"/>
  <c r="K307" i="39" s="1"/>
  <c r="J302" i="39"/>
  <c r="K302" i="39" s="1"/>
  <c r="J47" i="35"/>
  <c r="K47" i="35" s="1"/>
  <c r="J10" i="35"/>
  <c r="K10" i="35" s="1"/>
  <c r="J223" i="39"/>
  <c r="K223" i="39" s="1"/>
  <c r="J54" i="35"/>
  <c r="K54" i="35" s="1"/>
  <c r="J217" i="39"/>
  <c r="J306" i="39"/>
  <c r="K306" i="39" s="1"/>
  <c r="J303" i="39"/>
  <c r="K303" i="39" s="1"/>
  <c r="J191" i="39"/>
  <c r="J305" i="39"/>
  <c r="K305" i="39" s="1"/>
  <c r="J206" i="39"/>
  <c r="K206" i="39" s="1"/>
  <c r="J224" i="39"/>
  <c r="K224" i="39" s="1"/>
  <c r="J46" i="35" l="1"/>
  <c r="K46" i="35" s="1"/>
  <c r="J216" i="39"/>
  <c r="K216" i="39" s="1"/>
  <c r="K217" i="39"/>
  <c r="K191" i="39"/>
  <c r="J188" i="39"/>
  <c r="J301" i="39"/>
  <c r="J9" i="35" l="1"/>
  <c r="K9" i="35" s="1"/>
  <c r="J220" i="39"/>
  <c r="K220" i="39" s="1"/>
  <c r="J221" i="39"/>
  <c r="K221" i="39" s="1"/>
  <c r="K301" i="39"/>
  <c r="J267" i="39"/>
  <c r="J156" i="39"/>
  <c r="K188" i="39"/>
  <c r="J320" i="39" l="1"/>
  <c r="S320" i="39" s="1"/>
  <c r="K156" i="39"/>
  <c r="J241" i="39"/>
  <c r="K241" i="39" s="1"/>
  <c r="K267" i="39"/>
  <c r="J324" i="39" l="1"/>
  <c r="S324" i="39" s="1"/>
  <c r="S326" i="39" s="1"/>
  <c r="K320" i="39"/>
  <c r="J9" i="39"/>
  <c r="K324" i="39" l="1"/>
  <c r="J326" i="39"/>
  <c r="J328" i="39"/>
  <c r="J325" i="39"/>
  <c r="K9" i="39"/>
  <c r="J327" i="39"/>
  <c r="K325" i="39" l="1"/>
  <c r="K328" i="39"/>
  <c r="K326" i="39"/>
  <c r="K327" i="39"/>
  <c r="P61" i="37" l="1"/>
  <c r="R61" i="37" s="1"/>
  <c r="P311" i="39"/>
  <c r="P307" i="39" s="1"/>
  <c r="P11" i="37" l="1"/>
  <c r="R11" i="37" s="1"/>
  <c r="R311" i="39"/>
  <c r="P9" i="39"/>
  <c r="P321" i="39" l="1"/>
  <c r="P324" i="39" s="1"/>
  <c r="R324" i="39" s="1"/>
  <c r="R9" i="39"/>
  <c r="P327" i="39" l="1"/>
  <c r="P326" i="39"/>
  <c r="P325" i="39"/>
  <c r="P328" i="39"/>
  <c r="R321" i="39"/>
  <c r="R327" i="39"/>
  <c r="R328" i="39"/>
  <c r="R326" i="39"/>
  <c r="R325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P26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2021 Y 2022, CAMBIA NOMBRE DE IMPUTACION. P03 Y P05-06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J1" authorId="0" shapeId="0" xr:uid="{055CBC05-0FE6-48C9-8E0C-5ABAFC22CCE7}">
      <text>
        <r>
          <rPr>
            <b/>
            <sz val="9"/>
            <color indexed="81"/>
            <rFont val="Tahoma"/>
            <family val="2"/>
          </rPr>
          <t>INFLACTOR. 
3,0 DIC
1,2 ENERO
0,64 JUNIO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P8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SE AGREGAN m$ 800 QUE NO FUERON DISTRIBUIDOS AL MOMENTOS DE CIERRE DEL MES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H56" authorId="0" shapeId="0" xr:uid="{B3864467-17D0-430D-BA8D-EB60DB69011B}">
      <text>
        <r>
          <rPr>
            <sz val="9"/>
            <color indexed="81"/>
            <rFont val="Tahoma"/>
            <family val="2"/>
          </rPr>
          <t>Decreto N°3, rebajo esta linea durante el mes de enero
en M$70.960</t>
        </r>
      </text>
    </comment>
  </commentList>
</comments>
</file>

<file path=xl/sharedStrings.xml><?xml version="1.0" encoding="utf-8"?>
<sst xmlns="http://schemas.openxmlformats.org/spreadsheetml/2006/main" count="18538" uniqueCount="1160">
  <si>
    <t>ENERO</t>
  </si>
  <si>
    <t xml:space="preserve">24   </t>
  </si>
  <si>
    <t xml:space="preserve">  </t>
  </si>
  <si>
    <t xml:space="preserve"> A Otras Entidades Públicas </t>
  </si>
  <si>
    <t xml:space="preserve">33   </t>
  </si>
  <si>
    <t xml:space="preserve"> Al Gobierno Central </t>
  </si>
  <si>
    <t>MARZO</t>
  </si>
  <si>
    <t>ABRIL</t>
  </si>
  <si>
    <t>MAYO</t>
  </si>
  <si>
    <t>JUNIO</t>
  </si>
  <si>
    <t>AGOSTO</t>
  </si>
  <si>
    <t>SEPTIEMBRE</t>
  </si>
  <si>
    <t>OCTUBRE</t>
  </si>
  <si>
    <t>NOVIEMBRE</t>
  </si>
  <si>
    <t>DICIEMBRE</t>
  </si>
  <si>
    <t>BIENES Y SERVICIOS DE CONSUMO</t>
  </si>
  <si>
    <t>GASTOS EN PERSONAL</t>
  </si>
  <si>
    <t>Personal de Planta</t>
  </si>
  <si>
    <t>Sueldos y Sobresueldos</t>
  </si>
  <si>
    <t>Asignación de Antigüedad</t>
  </si>
  <si>
    <t>Asignación Profesional</t>
  </si>
  <si>
    <t>Asignación de Zona</t>
  </si>
  <si>
    <t>Gastos de Representación</t>
  </si>
  <si>
    <t>Asignación de Dirección Superior</t>
  </si>
  <si>
    <t>Asignaciones Compensatorias</t>
  </si>
  <si>
    <t>Asignaciones Sustitutivas</t>
  </si>
  <si>
    <t>Componente Base Asignación de Desempeño</t>
  </si>
  <si>
    <t>Asignación de Responsabilidad Superior</t>
  </si>
  <si>
    <t>Aportes del Empleador</t>
  </si>
  <si>
    <t>A Servicios de Bienestar</t>
  </si>
  <si>
    <t>Otras Cotizaciones Previsionales</t>
  </si>
  <si>
    <t>Asignaciones por Desempeño</t>
  </si>
  <si>
    <t>Desempeño Institucional</t>
  </si>
  <si>
    <t>Desempeño Colectivo</t>
  </si>
  <si>
    <t>Remuneraciones Variables</t>
  </si>
  <si>
    <t>Asignación por Desempeño de Funciones Críticas</t>
  </si>
  <si>
    <t>Trabajos Extraordinarios</t>
  </si>
  <si>
    <t>Comisiones de Servicios en el País</t>
  </si>
  <si>
    <t>Comisiones de Servicios en el Exterior</t>
  </si>
  <si>
    <t>Personal a Contrata</t>
  </si>
  <si>
    <t>Asignación Zonas Extremas</t>
  </si>
  <si>
    <t>Honorarios a Suma Alzada - Personas Naturales</t>
  </si>
  <si>
    <t>Honorarios a Suma Alzada-Honorarios</t>
  </si>
  <si>
    <t>Honorarios a Suma Alzada-Viaticos</t>
  </si>
  <si>
    <t>Textiles, Vestuario y Calzado</t>
  </si>
  <si>
    <t>Vestuario, Accesorios y Prendas Diversas</t>
  </si>
  <si>
    <t>Combustibles y Lubricantes</t>
  </si>
  <si>
    <t>Materiales de Uso o Consumo</t>
  </si>
  <si>
    <t>Insumos, Repuestos y Accesorios Computacionales</t>
  </si>
  <si>
    <t>Materiales para Mantenimiento y Reparaciones de Inmuebles</t>
  </si>
  <si>
    <t>Repuestos y Accesorios para Mantenimiento y Reparaciones de Vehículos</t>
  </si>
  <si>
    <t>Otros</t>
  </si>
  <si>
    <t>Servicios Básicos</t>
  </si>
  <si>
    <t>Electricidad</t>
  </si>
  <si>
    <t>Agua</t>
  </si>
  <si>
    <t>Gas</t>
  </si>
  <si>
    <t>Correo</t>
  </si>
  <si>
    <t>Telefonía Fija</t>
  </si>
  <si>
    <t>Telefonía Celular</t>
  </si>
  <si>
    <t>Acceso a Internet</t>
  </si>
  <si>
    <t>Enlaces de Telecomunicaciones</t>
  </si>
  <si>
    <t>Mantenimiento y Reparación de Vehículos</t>
  </si>
  <si>
    <t>Mantenimiento y Reparación de Máquinas y Equipos de Oficina</t>
  </si>
  <si>
    <t>Mantenimiento y Reparación de Equipos Informáticos</t>
  </si>
  <si>
    <t>Publicidad y Difusión</t>
  </si>
  <si>
    <t>Servicios de Publicidad</t>
  </si>
  <si>
    <t>Servicios de Impresión</t>
  </si>
  <si>
    <t>Servicios Generales</t>
  </si>
  <si>
    <t>Servicios de Aseo</t>
  </si>
  <si>
    <t>Servicios de Vigilancia</t>
  </si>
  <si>
    <t>Servicios de Suscripción y Similares</t>
  </si>
  <si>
    <t>Arriendo de Edificios</t>
  </si>
  <si>
    <t>Gastos Bancarios</t>
  </si>
  <si>
    <t>Servicios Técnicos y Profesionales</t>
  </si>
  <si>
    <t>Estudios e Investigaciones</t>
  </si>
  <si>
    <t>Cursos de Capacitación</t>
  </si>
  <si>
    <t>Otros Gastos en Bienes y Servicios de Consumo</t>
  </si>
  <si>
    <t>Gastos Menores</t>
  </si>
  <si>
    <t>Gastos de Representación, Protocolo y Ceremonial</t>
  </si>
  <si>
    <t>JULIO</t>
  </si>
  <si>
    <t>Programas Informáticos</t>
  </si>
  <si>
    <t>Equipos Informáticos</t>
  </si>
  <si>
    <t>CONSOLIDADO PROGRAMA 01</t>
  </si>
  <si>
    <t>SERVICIO DE LA DEUDA</t>
  </si>
  <si>
    <t>Amortizacion de la Deuda Externa</t>
  </si>
  <si>
    <t>Intereses Deuda Externa</t>
  </si>
  <si>
    <t>Al Gobierno Central</t>
  </si>
  <si>
    <t>A Otras Entidades Publicas</t>
  </si>
  <si>
    <t>Programa Inversión Regional Región Metropolitana</t>
  </si>
  <si>
    <t xml:space="preserve">02            </t>
  </si>
  <si>
    <t xml:space="preserve">04            </t>
  </si>
  <si>
    <t>Sub.</t>
  </si>
  <si>
    <t>Item.</t>
  </si>
  <si>
    <t>Asig.</t>
  </si>
  <si>
    <t>Sub</t>
  </si>
  <si>
    <t>Aguinaldos</t>
  </si>
  <si>
    <t>Bono de Escolaridad</t>
  </si>
  <si>
    <t xml:space="preserve">Bonos Especiales </t>
  </si>
  <si>
    <t>sueldos base</t>
  </si>
  <si>
    <t>Asignaciónes del DL N° 2.411, de 1978</t>
  </si>
  <si>
    <t>Asignaciónes del DL N° 3.551, de 1981</t>
  </si>
  <si>
    <t xml:space="preserve">Asignación de Responsabilidad Superior </t>
  </si>
  <si>
    <t xml:space="preserve">Otras Remuneraciones </t>
  </si>
  <si>
    <t xml:space="preserve">Para Vehículos </t>
  </si>
  <si>
    <t xml:space="preserve">Materiales de Oficina </t>
  </si>
  <si>
    <t xml:space="preserve">Materiales y útiles de Aseo </t>
  </si>
  <si>
    <t xml:space="preserve">Menaje para Oficina, Casino y Otros </t>
  </si>
  <si>
    <t xml:space="preserve">Otros Materiales, Repuestos y Útiles Diversos para Mantenimiento </t>
  </si>
  <si>
    <t xml:space="preserve">Equipos Menores </t>
  </si>
  <si>
    <t xml:space="preserve">Otros </t>
  </si>
  <si>
    <t>Mantenimiento y Reparaciones.</t>
  </si>
  <si>
    <t>Mantenimiento y Reparación de Edificaciones.</t>
  </si>
  <si>
    <t>Mantenimiento y Reparación de Mobiliarios y Otros.</t>
  </si>
  <si>
    <t>Pasajes, Fletes y Bodegaje.</t>
  </si>
  <si>
    <t>Salas Cunas y/o Jardines Infantiles.</t>
  </si>
  <si>
    <t>Arriendo</t>
  </si>
  <si>
    <t xml:space="preserve">Arriendo de Máquinas  y Equipos </t>
  </si>
  <si>
    <t>Arriendo de Equipos Informaticos</t>
  </si>
  <si>
    <t xml:space="preserve">Servicios Financieros y de Seguros </t>
  </si>
  <si>
    <t xml:space="preserve">Primas y Gastos de Seguros </t>
  </si>
  <si>
    <t>Sercicios Informáticos</t>
  </si>
  <si>
    <t>Provisión Incorporación Mayores Ingresos Propios</t>
  </si>
  <si>
    <t>Provisión Energización</t>
  </si>
  <si>
    <t>Sueldo Bases</t>
  </si>
  <si>
    <t>SALDO FINAL DE CAJA</t>
  </si>
  <si>
    <t>Calzado</t>
  </si>
  <si>
    <t>SI</t>
  </si>
  <si>
    <t>Deuda Flotante</t>
  </si>
  <si>
    <t>Asig. Del DL N° 3,551, de 1981</t>
  </si>
  <si>
    <t>[ 1 ]</t>
  </si>
  <si>
    <t>[ 2 ]</t>
  </si>
  <si>
    <t>[ 3 ]</t>
  </si>
  <si>
    <t>[ 3/2 ]</t>
  </si>
  <si>
    <t>[ 2/1 ]</t>
  </si>
  <si>
    <t>A Organismos Internacionales</t>
  </si>
  <si>
    <t>FEBRERO</t>
  </si>
  <si>
    <t>CONSOLIDADO PROGRAMA 02</t>
  </si>
  <si>
    <t>Programa Academia Capacitación Muncipal y Regional</t>
  </si>
  <si>
    <t xml:space="preserve">Deuda Flotante </t>
  </si>
  <si>
    <t>TOTAL</t>
  </si>
  <si>
    <t>Municipalidades</t>
  </si>
  <si>
    <t>CONSOLIDADO PROGRAMA 03</t>
  </si>
  <si>
    <t>PRESTAMOS</t>
  </si>
  <si>
    <t>De Fomento</t>
  </si>
  <si>
    <t>CONSOLIDADO PROGRAMAS</t>
  </si>
  <si>
    <t xml:space="preserve">TRANSFERENCIAS CORRIENTES </t>
  </si>
  <si>
    <t xml:space="preserve">PRESTAMOS </t>
  </si>
  <si>
    <t xml:space="preserve">TRANSFERENCIAS DE CAPITAL </t>
  </si>
  <si>
    <t>CONSOLIDADO POR PROGRAMA</t>
  </si>
  <si>
    <t>FRC</t>
  </si>
  <si>
    <t xml:space="preserve">Presupuesto inicial </t>
  </si>
  <si>
    <t>21.</t>
  </si>
  <si>
    <t>001.</t>
  </si>
  <si>
    <t>01.</t>
  </si>
  <si>
    <t>002.</t>
  </si>
  <si>
    <t>003.</t>
  </si>
  <si>
    <t>004.</t>
  </si>
  <si>
    <t>005.</t>
  </si>
  <si>
    <t>02.</t>
  </si>
  <si>
    <t>03.</t>
  </si>
  <si>
    <t>.02</t>
  </si>
  <si>
    <t>.002</t>
  </si>
  <si>
    <t>.003</t>
  </si>
  <si>
    <t>.03</t>
  </si>
  <si>
    <t>.04</t>
  </si>
  <si>
    <t>.001</t>
  </si>
  <si>
    <t>.007</t>
  </si>
  <si>
    <t>.008</t>
  </si>
  <si>
    <t>.009</t>
  </si>
  <si>
    <t>.010</t>
  </si>
  <si>
    <t>.011</t>
  </si>
  <si>
    <t>.012</t>
  </si>
  <si>
    <t>.013</t>
  </si>
  <si>
    <t>.999</t>
  </si>
  <si>
    <t>.05</t>
  </si>
  <si>
    <t>.004</t>
  </si>
  <si>
    <t>.005</t>
  </si>
  <si>
    <t>.006</t>
  </si>
  <si>
    <t>.06</t>
  </si>
  <si>
    <t>.07</t>
  </si>
  <si>
    <t>.08</t>
  </si>
  <si>
    <t>.09</t>
  </si>
  <si>
    <t>.10</t>
  </si>
  <si>
    <t>.11</t>
  </si>
  <si>
    <t>.12</t>
  </si>
  <si>
    <t>.110</t>
  </si>
  <si>
    <t>.111</t>
  </si>
  <si>
    <t>.014</t>
  </si>
  <si>
    <t>.015</t>
  </si>
  <si>
    <t>.017</t>
  </si>
  <si>
    <t>.021</t>
  </si>
  <si>
    <t>.024</t>
  </si>
  <si>
    <t>.025</t>
  </si>
  <si>
    <t>.130</t>
  </si>
  <si>
    <t>.190</t>
  </si>
  <si>
    <t>.418</t>
  </si>
  <si>
    <t>.421</t>
  </si>
  <si>
    <t>.426</t>
  </si>
  <si>
    <t>.429</t>
  </si>
  <si>
    <t>34.02</t>
  </si>
  <si>
    <t>34.04</t>
  </si>
  <si>
    <t>34.07</t>
  </si>
  <si>
    <t>21.01.004.007</t>
  </si>
  <si>
    <t>Productos Químicos</t>
  </si>
  <si>
    <t>Servicios Informáticos</t>
  </si>
  <si>
    <t>22.12.003</t>
  </si>
  <si>
    <t>TRANSFERENCIAS CORRIENTES</t>
  </si>
  <si>
    <t>A Otras Entidades Públicas</t>
  </si>
  <si>
    <t>29.06</t>
  </si>
  <si>
    <t>29.06.001</t>
  </si>
  <si>
    <t>Equipos Computacionales y Periféricos</t>
  </si>
  <si>
    <t>29.07</t>
  </si>
  <si>
    <t>Programas Computacionales</t>
  </si>
  <si>
    <t>24.03.026</t>
  </si>
  <si>
    <t>Buscador</t>
  </si>
  <si>
    <t>24.03.403</t>
  </si>
  <si>
    <t>Municipalidades (Compensación por Predios Exentos)</t>
  </si>
  <si>
    <t>33.03.110</t>
  </si>
  <si>
    <t>Municipalidades (Fondo de Incentivo al Mejoramiento de la Gestión Municipal)</t>
  </si>
  <si>
    <t>32.04.002</t>
  </si>
  <si>
    <t>.026</t>
  </si>
  <si>
    <t>.403</t>
  </si>
  <si>
    <t>.016</t>
  </si>
  <si>
    <t>24.02.101</t>
  </si>
  <si>
    <t>24.02.103</t>
  </si>
  <si>
    <t>24.02.104</t>
  </si>
  <si>
    <t>24.02.105</t>
  </si>
  <si>
    <t>24.02.106</t>
  </si>
  <si>
    <t>24.02.107</t>
  </si>
  <si>
    <t>24.02.108</t>
  </si>
  <si>
    <t>24.02.109</t>
  </si>
  <si>
    <t>24.02.110</t>
  </si>
  <si>
    <t>24.02.111</t>
  </si>
  <si>
    <t>24.02.112</t>
  </si>
  <si>
    <t>24.02.113</t>
  </si>
  <si>
    <t>24.02.114</t>
  </si>
  <si>
    <t>24.02.115</t>
  </si>
  <si>
    <t>Capacitación en Desarrollo Regional y Comunal</t>
  </si>
  <si>
    <t>Capacitacion en Desarrollo Regional y Comunal</t>
  </si>
  <si>
    <t>24.07.002</t>
  </si>
  <si>
    <t>CONSOLIDADO POR SUBTITULO PROGRAMA 05</t>
  </si>
  <si>
    <t>Provisión Fondo Nacional de Desarrollo Regional</t>
  </si>
  <si>
    <t>Provisión Programa Infraestructura Rural</t>
  </si>
  <si>
    <t>Provisión Puesta en Valor del Patrimonio</t>
  </si>
  <si>
    <t>Provisión de Apoyo a la Gestión Subnacional</t>
  </si>
  <si>
    <t>Provisión Programa Saneamiento Sanitario</t>
  </si>
  <si>
    <t>Provisión Programa Residuos Sólidos</t>
  </si>
  <si>
    <t>PROGRAMA 02 - SUBNACIONAL</t>
  </si>
  <si>
    <t>PROGRAMA 03 - DESARROLLO LOCAL</t>
  </si>
  <si>
    <t>Municipalidades (Programa Esterilización y Atención Sanitaria de Animales de Compañía)</t>
  </si>
  <si>
    <t>.406</t>
  </si>
  <si>
    <t>24.03.406</t>
  </si>
  <si>
    <t>.409</t>
  </si>
  <si>
    <t>.415</t>
  </si>
  <si>
    <t>.427</t>
  </si>
  <si>
    <t>.428</t>
  </si>
  <si>
    <t>Oficina Revitalización de Barrios e Infraestructural Patrimonial</t>
  </si>
  <si>
    <t>Oficina de Donación Española</t>
  </si>
  <si>
    <t xml:space="preserve">Programa de Apoyo a la Acreditación de Calidad de Servicios Municipales </t>
  </si>
  <si>
    <t>Municipalidades (Prevención y Mitigación de Riesgos)</t>
  </si>
  <si>
    <t>33.03.111</t>
  </si>
  <si>
    <t>Provisión Regiones Extremas</t>
  </si>
  <si>
    <t>Provisión Territorios Rezagados</t>
  </si>
  <si>
    <t>.500</t>
  </si>
  <si>
    <t>OK</t>
  </si>
  <si>
    <t>Capacitación Directiva o Diplomados</t>
  </si>
  <si>
    <t>Capacitación Alianzas Estratégica Contingente Acción de Apoyo</t>
  </si>
  <si>
    <t>Transferencias - Programa Esterilización</t>
  </si>
  <si>
    <t>Honorarios - Programa Esterilización</t>
  </si>
  <si>
    <t>Viaticos - Programa Esterilización</t>
  </si>
  <si>
    <t>Otros Gastos - Programa Esterilización</t>
  </si>
  <si>
    <t>PRESTACIONES DE SEGURIDAD SOCIAL</t>
  </si>
  <si>
    <t>Fondo Retiro Funcionarios Públicos Ley N° 19.882</t>
  </si>
  <si>
    <t>23.03.003</t>
  </si>
  <si>
    <t>CLASIFICACIÓN PRESUPUESTARIA</t>
  </si>
  <si>
    <t>FORTALECIMIENTO DE LA GESTIÓN SUBNACIONAL</t>
  </si>
  <si>
    <t>TRANSFERENCIAS A GOBIERNOS REGIONALES</t>
  </si>
  <si>
    <t>PROGRAMAS PRESUPUESTARIOS</t>
  </si>
  <si>
    <t>CONSOLIDADO PROGRAMA 05</t>
  </si>
  <si>
    <t>24.02.006</t>
  </si>
  <si>
    <t>OTROS GASTOS CORRIENTES</t>
  </si>
  <si>
    <t>Devoluciones</t>
  </si>
  <si>
    <t>.</t>
  </si>
  <si>
    <t>24.02.004</t>
  </si>
  <si>
    <t>A la Dirección de Arquitectura - MOP</t>
  </si>
  <si>
    <t> A Organismos Internacionales</t>
  </si>
  <si>
    <t>Otros Gastos Financieros Deuda Externa</t>
  </si>
  <si>
    <t>34.06</t>
  </si>
  <si>
    <t>Predios Exentos</t>
  </si>
  <si>
    <t xml:space="preserve">Sistema de Capacitación por Competencias </t>
  </si>
  <si>
    <t>Fondo Concursable Becas - Ley N° 20.742</t>
  </si>
  <si>
    <t>Honorarios Fondo de Becas</t>
  </si>
  <si>
    <t>Viaticos Fondo de Becas</t>
  </si>
  <si>
    <t>Otros Gastos Fondo de Becas</t>
  </si>
  <si>
    <t>Programa de Modernización Municipal</t>
  </si>
  <si>
    <t>24.03.033</t>
  </si>
  <si>
    <t>.033</t>
  </si>
  <si>
    <t>Fondo Concursable Becas - Ley N°20.742</t>
  </si>
  <si>
    <t>Al Sector Privado</t>
  </si>
  <si>
    <t>24.01.100</t>
  </si>
  <si>
    <t>.01</t>
  </si>
  <si>
    <t> Al Sector Privado</t>
  </si>
  <si>
    <t xml:space="preserve">Municipalidades (Compensación por Predios Exentos) </t>
  </si>
  <si>
    <t xml:space="preserve">A Otras Entidades Públicas </t>
  </si>
  <si>
    <t>ADQUISICIÓN DE ACTIVOS NO FINANCIEROS</t>
  </si>
  <si>
    <t>Al Consejo de Monumentos Nacionales</t>
  </si>
  <si>
    <t>24.01.101</t>
  </si>
  <si>
    <t>Alumnos en Práctica</t>
  </si>
  <si>
    <t>007</t>
  </si>
  <si>
    <t>26.01</t>
  </si>
  <si>
    <t>Pago por Servicio de Recolección de Basura</t>
  </si>
  <si>
    <t>Viáticos - Programa Esterilización</t>
  </si>
  <si>
    <t>Prevención y Mitigación de Riesgos</t>
  </si>
  <si>
    <t>Programa de Modernización</t>
  </si>
  <si>
    <t>.602</t>
  </si>
  <si>
    <t>24.07.003</t>
  </si>
  <si>
    <t>A Banco Interamericano de Desarrollo (BID)</t>
  </si>
  <si>
    <t>Otorgamiento de Becas - Aranceles</t>
  </si>
  <si>
    <t>Gastos en Personal - Honorarios</t>
  </si>
  <si>
    <t>Gastos en Personal - Viáticos</t>
  </si>
  <si>
    <t>Otros Gastos Administrativos</t>
  </si>
  <si>
    <t>Suplencias y Reemplazos</t>
  </si>
  <si>
    <t>Materiales y Útiles Quirúrgicos</t>
  </si>
  <si>
    <t>Municipalidades (Programa de Modernización)</t>
  </si>
  <si>
    <t>006</t>
  </si>
  <si>
    <t xml:space="preserve"> </t>
  </si>
  <si>
    <t>24.01.102</t>
  </si>
  <si>
    <t>Otorgamiento de Becas - Manutención</t>
  </si>
  <si>
    <t>Implementación Ley N 21.020</t>
  </si>
  <si>
    <t>Fondo Concursable</t>
  </si>
  <si>
    <t>Implementación Ley N 21.020 - Fondo Consursable</t>
  </si>
  <si>
    <t>Otorgamiento de Becas Aranceles</t>
  </si>
  <si>
    <t>Otorgamiento de Becas Manutención</t>
  </si>
  <si>
    <t xml:space="preserve">Sistema Información Financiera Municipal </t>
  </si>
  <si>
    <t xml:space="preserve">Gobierno Electrónico Local </t>
  </si>
  <si>
    <t>23.03</t>
  </si>
  <si>
    <t>Concepto Presupuestario</t>
  </si>
  <si>
    <t>Compromiso</t>
  </si>
  <si>
    <t>Devengado</t>
  </si>
  <si>
    <t>Trabajos  Extraordinarios</t>
  </si>
  <si>
    <t>Requerimiento</t>
  </si>
  <si>
    <t>2101002 Aportes del Empleador</t>
  </si>
  <si>
    <t>2101003002 Desempeño Colectivo</t>
  </si>
  <si>
    <t>2101004 Remuneraciones Variables</t>
  </si>
  <si>
    <t>2101005 Aguinaldos y Bonos</t>
  </si>
  <si>
    <t>2101005001 Aguinaldos</t>
  </si>
  <si>
    <t>2101005003 Bonos Especiales</t>
  </si>
  <si>
    <t>2102 Personal a Contrata</t>
  </si>
  <si>
    <t>2102001 Sueldos y Sobresueldos</t>
  </si>
  <si>
    <t>2102001001 Sueldos Bases</t>
  </si>
  <si>
    <t>2102001003 Asignación Profesional</t>
  </si>
  <si>
    <t>2102001004 Asignación de Zona</t>
  </si>
  <si>
    <t>2102002 Aportes del Empleador</t>
  </si>
  <si>
    <t>2102003002 Desempeño Colectivo</t>
  </si>
  <si>
    <t>2102004 Remuneraciones Variables</t>
  </si>
  <si>
    <t>2102005 Aguinaldos y Bonos</t>
  </si>
  <si>
    <t>2102005001 Aguinaldos</t>
  </si>
  <si>
    <t>2102005003 Bonos Especiales</t>
  </si>
  <si>
    <t>2103 Otras Remuneraciones</t>
  </si>
  <si>
    <t>2103005 Suplencias y Reemplazos</t>
  </si>
  <si>
    <t>2103007 Alumnos en Práctica</t>
  </si>
  <si>
    <t>22 BIENES Y SERVICIOS DE CONSUMO</t>
  </si>
  <si>
    <t>2202 Textiles, Vestuario y Calzado</t>
  </si>
  <si>
    <t>2202003 Calzado</t>
  </si>
  <si>
    <t>2204 Materiales de Uso o Consumo</t>
  </si>
  <si>
    <t>2204001 Materiales de Oficina</t>
  </si>
  <si>
    <t>2204003 Productos Químicos</t>
  </si>
  <si>
    <t>2204007 Materiales y Útiles de Aseo</t>
  </si>
  <si>
    <t>2204013 Equipos Menores</t>
  </si>
  <si>
    <t>2204999 Otros</t>
  </si>
  <si>
    <t>2205 Servicios Básicos</t>
  </si>
  <si>
    <t>2205001 Electricidad</t>
  </si>
  <si>
    <t>2205002 Agua</t>
  </si>
  <si>
    <t>2205003 Gas</t>
  </si>
  <si>
    <t>2205004 Correo</t>
  </si>
  <si>
    <t>2205005 Telefonía Fija</t>
  </si>
  <si>
    <t>2205006 Telefonía Celular</t>
  </si>
  <si>
    <t>2205007 Acceso a Internet</t>
  </si>
  <si>
    <t>2206 Mantenimiento y Reparaciones</t>
  </si>
  <si>
    <t>2206999 Otros</t>
  </si>
  <si>
    <t>2207 Publicidad y Difusión</t>
  </si>
  <si>
    <t>2207001 Servicios de Publicidad</t>
  </si>
  <si>
    <t>2207002 Servicios de Impresión</t>
  </si>
  <si>
    <t>2208 Servicios Generales</t>
  </si>
  <si>
    <t>2208001 Servicios de Aseo</t>
  </si>
  <si>
    <t>2208999 Otros</t>
  </si>
  <si>
    <t>2209 Arriendos</t>
  </si>
  <si>
    <t>2209002 Arriendo de Edificios</t>
  </si>
  <si>
    <t>2210002 Primas y Gastos de Seguros</t>
  </si>
  <si>
    <t>2211001 Estudios e Investigaciones</t>
  </si>
  <si>
    <t>2211002 Cursos de Capacitación</t>
  </si>
  <si>
    <t>2211003 Servicios Informáticos</t>
  </si>
  <si>
    <t>2211999 Otros</t>
  </si>
  <si>
    <t>2212002 Gastos Menores</t>
  </si>
  <si>
    <t>2212999 Otros</t>
  </si>
  <si>
    <t>24 TRANSFERENCIAS CORRIENTES</t>
  </si>
  <si>
    <t>2403 A Otras Entidades Públicas</t>
  </si>
  <si>
    <t>2906 Equipos Informáticos</t>
  </si>
  <si>
    <t>2907 Programas Informáticos</t>
  </si>
  <si>
    <t>34 SERVICIO DE LA DEUDA</t>
  </si>
  <si>
    <t>3402 Amortización Deuda Externa</t>
  </si>
  <si>
    <t>3402002 Empréstitos</t>
  </si>
  <si>
    <t>3404 Intereses Deuda Externa</t>
  </si>
  <si>
    <t>3404002 Empréstitos</t>
  </si>
  <si>
    <t>3407 Deuda Flotante</t>
  </si>
  <si>
    <t>Total</t>
  </si>
  <si>
    <t>Saldo por Comprometer</t>
  </si>
  <si>
    <t>Código Concepto</t>
  </si>
  <si>
    <t>Código Insumo</t>
  </si>
  <si>
    <t>Catálogo 01</t>
  </si>
  <si>
    <t>Monto Devengo</t>
  </si>
  <si>
    <t>2403026</t>
  </si>
  <si>
    <t>42426003</t>
  </si>
  <si>
    <t>Capac En Alianzas Estratégicas; Capac Contingente;</t>
  </si>
  <si>
    <t>2403033</t>
  </si>
  <si>
    <t>42433001</t>
  </si>
  <si>
    <t>42433002</t>
  </si>
  <si>
    <t>42433003</t>
  </si>
  <si>
    <t>2403602</t>
  </si>
  <si>
    <t>42402001</t>
  </si>
  <si>
    <t>02</t>
  </si>
  <si>
    <t>2403403</t>
  </si>
  <si>
    <t>42403002</t>
  </si>
  <si>
    <t>2403406</t>
  </si>
  <si>
    <t>42406002</t>
  </si>
  <si>
    <t>42406003</t>
  </si>
  <si>
    <t>Sin Insumo</t>
  </si>
  <si>
    <t>3303110</t>
  </si>
  <si>
    <t>1</t>
  </si>
  <si>
    <t>3204002</t>
  </si>
  <si>
    <t>3303111</t>
  </si>
  <si>
    <t>3407</t>
  </si>
  <si>
    <t>Descripción Concepto</t>
  </si>
  <si>
    <t>Programa Academia Capacitación Municipal y Regiona</t>
  </si>
  <si>
    <t>42426002</t>
  </si>
  <si>
    <t>Sistema de Capacitación por Competencias</t>
  </si>
  <si>
    <t>42426001</t>
  </si>
  <si>
    <t>42433004</t>
  </si>
  <si>
    <t>42433005</t>
  </si>
  <si>
    <t>42402004</t>
  </si>
  <si>
    <t>3303602001</t>
  </si>
  <si>
    <t>Municipalidades - Sistema Información Financiera M</t>
  </si>
  <si>
    <t>3303602002</t>
  </si>
  <si>
    <t>Municipalidades - Unidad de Gobierno Electrónico L</t>
  </si>
  <si>
    <t>Monto Requerimiento</t>
  </si>
  <si>
    <t>Municipalidades (Fondo de Incentivo al Mejoramient</t>
  </si>
  <si>
    <t>Municipalidades (Progr. Revital de Barrios e Infra</t>
  </si>
  <si>
    <t>42406004</t>
  </si>
  <si>
    <t>42406005</t>
  </si>
  <si>
    <t>Implementación Ley N 21.020 - Transferencia Munici</t>
  </si>
  <si>
    <t>42406001</t>
  </si>
  <si>
    <t>Textiles y Acabados Textiles</t>
  </si>
  <si>
    <t>2101001003 Asignación Profesional</t>
  </si>
  <si>
    <t>2101001001 Sueldos Bases</t>
  </si>
  <si>
    <t>2101001 Sueldos y Sobresueldos</t>
  </si>
  <si>
    <t>2101 Personal de Planta</t>
  </si>
  <si>
    <t>21 GASTOS EN PERSONAL</t>
  </si>
  <si>
    <t>2101005002 Bono de Escolaridad</t>
  </si>
  <si>
    <t>2102005002 Bono de Escolaridad</t>
  </si>
  <si>
    <t>2402102</t>
  </si>
  <si>
    <t>2402108</t>
  </si>
  <si>
    <t>2402111</t>
  </si>
  <si>
    <t>3303001</t>
  </si>
  <si>
    <t>Monto Compromiso</t>
  </si>
  <si>
    <t>42402002</t>
  </si>
  <si>
    <t>Fortalecimiento de la gestión financiera y presupu</t>
  </si>
  <si>
    <t>Fortalecimiento de la gestión financiera y presupuestaria</t>
  </si>
  <si>
    <t>Fortalecimiento de las Asociaciones Municipales</t>
  </si>
  <si>
    <t>2208002 Servicios de Vigilancia</t>
  </si>
  <si>
    <t>2209999 Otros</t>
  </si>
  <si>
    <t>2407 A Organismos Internacionales</t>
  </si>
  <si>
    <t>42403001</t>
  </si>
  <si>
    <t>42406006</t>
  </si>
  <si>
    <t>42402005</t>
  </si>
  <si>
    <t>42402003</t>
  </si>
  <si>
    <t>A Banco Mundial</t>
  </si>
  <si>
    <t>2203 Combustibles y Lubricantes</t>
  </si>
  <si>
    <t>2203001 Para Vehículos</t>
  </si>
  <si>
    <t>2210004 Gastos Bancarios</t>
  </si>
  <si>
    <t>Al Serviu VIII</t>
  </si>
  <si>
    <t>2403034</t>
  </si>
  <si>
    <t>Programa Inversión Regional Región de Ñuble</t>
  </si>
  <si>
    <t>Programa Inversión Regional Región de Coquimbo</t>
  </si>
  <si>
    <t>Programa Inversión Regional Región de Atacama</t>
  </si>
  <si>
    <t>Programa Inversión Regional Región de Antofagasta</t>
  </si>
  <si>
    <t>Programa Inversión Regional Región de Valparaíso</t>
  </si>
  <si>
    <t>Programa Inversión Regional Región del Maule</t>
  </si>
  <si>
    <t>Programa Inversión Regional Región de Magallanes y de la Antártica Chilena</t>
  </si>
  <si>
    <t>Programa Inversión Regional Región Metropolitana de Santiago</t>
  </si>
  <si>
    <t>Programa Inversión Regional Región de Los Ríos</t>
  </si>
  <si>
    <t>Programa Inversión Regional Región de Arica y Parinacota</t>
  </si>
  <si>
    <t>Programa Inversión Regional Región de Tarapaca</t>
  </si>
  <si>
    <t>Programa Inversión Regional Región del Bío Bío</t>
  </si>
  <si>
    <t>Programa Inversión Regional Región de Araucanía</t>
  </si>
  <si>
    <t>Programa Inversión Regional Región de Los Lagos</t>
  </si>
  <si>
    <t xml:space="preserve">Programa de Apoyo al Mejoramiento de la Gestión y </t>
  </si>
  <si>
    <t xml:space="preserve">Apoyo a la Acreditación de Calidad de Servicios Municipales </t>
  </si>
  <si>
    <t>24.03.034</t>
  </si>
  <si>
    <t>.034</t>
  </si>
  <si>
    <t>2403409 Oficina Revitalización de Barrios e Infraestructur</t>
  </si>
  <si>
    <t>Municipalidades Sistema Información Municipal (SIM)</t>
  </si>
  <si>
    <t>3303602003</t>
  </si>
  <si>
    <t xml:space="preserve">Descripción Insumo </t>
  </si>
  <si>
    <t>Subsecretaría de Desarrollo Regional y Administrat</t>
  </si>
  <si>
    <t>Municipalidades Sistema Información Municipal (SIM</t>
  </si>
  <si>
    <t>2401 Al Sector Privado</t>
  </si>
  <si>
    <t>A la Subsecretaría de Bienes Nacionales</t>
  </si>
  <si>
    <t>Al Servicio Nacional del Patrimonio Cultural</t>
  </si>
  <si>
    <t xml:space="preserve">Presupuesto vigente </t>
  </si>
  <si>
    <t>INGRESOS AL FISCO</t>
  </si>
  <si>
    <t>Otros Ingresos al Fisco</t>
  </si>
  <si>
    <t>Otros Íntegros al Fisco</t>
  </si>
  <si>
    <t>INTEGROS AL FISCO</t>
  </si>
  <si>
    <t>ProgramaPresupuestario - 03 P03-Programas de Desarrollo Local</t>
  </si>
  <si>
    <t>3303021 Provisión Puesta en Valor del Patrimonio</t>
  </si>
  <si>
    <t>3303025 Provisión de Apoyo a la Gestión Subnacional</t>
  </si>
  <si>
    <t>3303017 Provisión Programa Infraestructura Rural</t>
  </si>
  <si>
    <t>2101001002 Asignación de Antigüedad</t>
  </si>
  <si>
    <t>2101001007 Asignaciones del DL N ° 3.551, de 1981</t>
  </si>
  <si>
    <t>2101001012 Gastos de Representación</t>
  </si>
  <si>
    <t>2101001013 Asignación de Dirección Superior</t>
  </si>
  <si>
    <t>2101001014 Asignaciones Compensatorias</t>
  </si>
  <si>
    <t>2101001015 Asignaciones Sustitutivas</t>
  </si>
  <si>
    <t>2101001022 Componente Base Asignación de Desempeño</t>
  </si>
  <si>
    <t>2101001039 Asignación de Responsabilidad Superior</t>
  </si>
  <si>
    <t>2101002001 A Servicios de Bienestar</t>
  </si>
  <si>
    <t>2101002002 Otras Cotizaciones Previsionales</t>
  </si>
  <si>
    <t>2101003 Asignaciones por Desempeño</t>
  </si>
  <si>
    <t>2101003001 Desempeño Institucional</t>
  </si>
  <si>
    <t>2101004004 Asignación por Desempeño de Funciones Críticas</t>
  </si>
  <si>
    <t>2101004005 Trabajos  Extraordinarios</t>
  </si>
  <si>
    <t>2101004007 Comisiones de Servicios en el Exterior</t>
  </si>
  <si>
    <t>2102001002 Asignación de Antigüedad</t>
  </si>
  <si>
    <t>2102001006 Asignaciones del DL N ° 2.411, de 1978</t>
  </si>
  <si>
    <t>2102001007 Asignaciones del DL N ° 3.551, de 1981</t>
  </si>
  <si>
    <t>2102001013 Asignaciones Compensatorias</t>
  </si>
  <si>
    <t>2102001014 Asignaciones Sustitutivas</t>
  </si>
  <si>
    <t>2102001021 Componente Base Asignación de Desempeño</t>
  </si>
  <si>
    <t>2102001037 Asignación Zonas Extremas</t>
  </si>
  <si>
    <t>2102001038 Asignación de Responsabilidad Superior</t>
  </si>
  <si>
    <t>2102002001 A Servicios de Bienestar</t>
  </si>
  <si>
    <t>2102002002 Otras Cotizaciones Previsionales</t>
  </si>
  <si>
    <t>2102003 Asignaciones por Desempeño</t>
  </si>
  <si>
    <t>2102003001 Desempeño Institucional</t>
  </si>
  <si>
    <t>2102004004 Asignación por Desempeño de Funciones Críticas</t>
  </si>
  <si>
    <t>2102004005 Trabajos Extraordinarios</t>
  </si>
  <si>
    <t>2103001 Honorarios a Suma Alzada - Personas Naturales</t>
  </si>
  <si>
    <t>2103001001 Honorarios a Suma Alzada-Honorarios</t>
  </si>
  <si>
    <t>2103001002 Honorarios a Suma Alzada - Viáticos</t>
  </si>
  <si>
    <t>2202002 Vestuario, Accesorios y Prendas Diversas</t>
  </si>
  <si>
    <t>2204005 Materiales y Útiles Quirúrgicos</t>
  </si>
  <si>
    <t>2204008 Menaje para Oficina, Casino y Otros</t>
  </si>
  <si>
    <t>2204009 Insumos, Repuestos y Accesorios Computacionales</t>
  </si>
  <si>
    <t>2204010 Materiales para Mantenimiento y Reparaciones de In</t>
  </si>
  <si>
    <t>2204011 Repuestos y Accesorios para Mantenimiento y Repara</t>
  </si>
  <si>
    <t>2204012 Otros Materiales, Repuestos y Útiles Diversos para</t>
  </si>
  <si>
    <t>2205008 Enlaces de Telecomunicaciones</t>
  </si>
  <si>
    <t>2206001 Mantenimiento y Reparación de Edificaciones</t>
  </si>
  <si>
    <t>2206002 Mantenimiento y Reparación de Vehículos</t>
  </si>
  <si>
    <t>2206003 Mantenimiento y Reparación de Mobiliarios y Otros</t>
  </si>
  <si>
    <t>2206004 Mantenimiento y Reparación de Máquinas y Equipos d</t>
  </si>
  <si>
    <t>2206007 Mantenimiento y Reparación de Equipos Informáticos</t>
  </si>
  <si>
    <t>2208007 Pasajes, Fletes y Bodegajes</t>
  </si>
  <si>
    <t>2208008 Salas Cunas y/o Jardines Infantiles</t>
  </si>
  <si>
    <t>2208010 Servicios de Suscripción y Similares</t>
  </si>
  <si>
    <t>2209005 Arriendo de Máquinas y Equipos</t>
  </si>
  <si>
    <t>2209006 Arriendo de  Equipos Informáticos</t>
  </si>
  <si>
    <t>2210 Servicios Financieros y de Seguros</t>
  </si>
  <si>
    <t>2211 Servicios Técnicos y Profesionales</t>
  </si>
  <si>
    <t>2212 Otros Gastos en Bienes y Servicios de Consumo</t>
  </si>
  <si>
    <t>2212003 Gastos de Representación, Protocolo y Ceremonial</t>
  </si>
  <si>
    <t>23 PRESTACIONES DE SEGURIDAD SOCIAL</t>
  </si>
  <si>
    <t>2303 Prestaciones Sociales del Empleador</t>
  </si>
  <si>
    <t>2303003 Fondo Retiro Funcionarios Públicos Ley N° 19.882</t>
  </si>
  <si>
    <t>2403024 Capacitación en Desarrollo Regional y Comunal</t>
  </si>
  <si>
    <t>2407002 A Comisión Económica Para América Latina y el Cari</t>
  </si>
  <si>
    <t>2407007 Organización de las Naciones Unidas para la Alimen</t>
  </si>
  <si>
    <t>29 ADQUISICION DE ACTIVOS NO FINANCIEROS</t>
  </si>
  <si>
    <t>2906001 Equipos Computacionales y Periféricos</t>
  </si>
  <si>
    <t>2907001 Programas Computacionales</t>
  </si>
  <si>
    <t>3404002001 Intereses Deuda Pública</t>
  </si>
  <si>
    <t>2101004006 Comisiones de Servicios en el Pais</t>
  </si>
  <si>
    <t>2102004006 Comisiones de Servicios en el Pais</t>
  </si>
  <si>
    <t>Sueldos base</t>
  </si>
  <si>
    <t>.431</t>
  </si>
  <si>
    <t>Otros Gastos Academia</t>
  </si>
  <si>
    <t>42402006</t>
  </si>
  <si>
    <t>SIM - FIMU Corriente</t>
  </si>
  <si>
    <t>Mejora de la gestión en la provisión de servicios</t>
  </si>
  <si>
    <t>Fortalecimiento Institucional</t>
  </si>
  <si>
    <t>Fortalecimiento de la Participación Ciudadana y la</t>
  </si>
  <si>
    <t>Programa Gasto de Funcionamiento Región del Maule</t>
  </si>
  <si>
    <t>Programa Gastos de Funcionamiento Región de Ñuble</t>
  </si>
  <si>
    <t>Fondo de Desarrollo Local</t>
  </si>
  <si>
    <t>25 INTEGROS AL FISCO</t>
  </si>
  <si>
    <t>2599 Otros Íntegros al Fisco</t>
  </si>
  <si>
    <t>3303110 Municipalidades (Fondo de Incentivo al Mejoramient</t>
  </si>
  <si>
    <t>3303111 Municipalidades (Progr. Revital de Barrios e Infra</t>
  </si>
  <si>
    <t xml:space="preserve">Otros Integros Al Fisco </t>
  </si>
  <si>
    <t xml:space="preserve">INTEGROS AL FISCO </t>
  </si>
  <si>
    <t>Programa Gastos de Funcionamiento Región de Antofa</t>
  </si>
  <si>
    <t>Programa Gasto de Funcionamiento Región de Aysén d</t>
  </si>
  <si>
    <t>Universidad del Desarrollo</t>
  </si>
  <si>
    <t xml:space="preserve">Provisión Ley N° 20.378 - Fondo de Apoyo Regional </t>
  </si>
  <si>
    <t>Provisión Programas de Apoyo al Empleo</t>
  </si>
  <si>
    <t>Mantenimiento y Reparación de Máquinas y Equipos d</t>
  </si>
  <si>
    <t xml:space="preserve">CONSOLIDADO POR SUBTÍTULO </t>
  </si>
  <si>
    <t>Fundación Chile Descentralizado Desarrollado</t>
  </si>
  <si>
    <t>Aporte Reembolsable Especial a Municipalidades</t>
  </si>
  <si>
    <t xml:space="preserve">ADQUISICIÓN DE ACTIVOS FINANCIEROS </t>
  </si>
  <si>
    <t>Fondo de Emergencia Transitorio</t>
  </si>
  <si>
    <t>3303602004</t>
  </si>
  <si>
    <t>Plataforma Unidad de RRHH</t>
  </si>
  <si>
    <t>3303602005</t>
  </si>
  <si>
    <t>Servicios SINIM</t>
  </si>
  <si>
    <t>Tradicional (PMU)</t>
  </si>
  <si>
    <t>Emergencia (PMU)</t>
  </si>
  <si>
    <t>Cuenca del Carbón (PMU)</t>
  </si>
  <si>
    <t>Asistencia Técnica (PMB)</t>
  </si>
  <si>
    <t>Terrenos (PMB)</t>
  </si>
  <si>
    <t>Otras Transferencias (PMB)</t>
  </si>
  <si>
    <t>Estudios y diseños (PMB)</t>
  </si>
  <si>
    <t>IRAL Inversión Regional de Asignación Local (PMB)</t>
  </si>
  <si>
    <t>Obras (PMB)</t>
  </si>
  <si>
    <t>Fondo Recuperación de  (FRC)</t>
  </si>
  <si>
    <t>33.03.120.100</t>
  </si>
  <si>
    <t>Servicio Nacional del Patrimonio Cultural</t>
  </si>
  <si>
    <t>.020</t>
  </si>
  <si>
    <t xml:space="preserve">Aporte Reembolsable Compensación Ingresos Propios </t>
  </si>
  <si>
    <t xml:space="preserve">Al Serviu </t>
  </si>
  <si>
    <t>PROGRAMA 05 - TRANSFERENCIA GORES</t>
  </si>
  <si>
    <t>Fondo de Equidad Interregional</t>
  </si>
  <si>
    <t>.433</t>
  </si>
  <si>
    <t>3303432</t>
  </si>
  <si>
    <t>Fondo de Apoyo Contingencia Regional</t>
  </si>
  <si>
    <t>.432</t>
  </si>
  <si>
    <t>42426008</t>
  </si>
  <si>
    <t>Tecnologías de Información y Comunicaciones TIC</t>
  </si>
  <si>
    <t>Mantenimiento y Reparación de otras Máquinarias y Equipos</t>
  </si>
  <si>
    <t xml:space="preserve">PROGRAMA 01 - SUBSECRETARIA </t>
  </si>
  <si>
    <t>N° Decreto</t>
  </si>
  <si>
    <t>24.03.406.001</t>
  </si>
  <si>
    <t>24.03.406.002</t>
  </si>
  <si>
    <t>24.03.406.003</t>
  </si>
  <si>
    <t>24.03.406.004</t>
  </si>
  <si>
    <t>24.03.406.005</t>
  </si>
  <si>
    <t>24.03.406.006</t>
  </si>
  <si>
    <t>25.99</t>
  </si>
  <si>
    <t>33.03.120.005.01</t>
  </si>
  <si>
    <t>33.03.120.005.02</t>
  </si>
  <si>
    <t>33.03.120.005.05</t>
  </si>
  <si>
    <t>33.03.120.006.01</t>
  </si>
  <si>
    <t>33.03.120.006.03</t>
  </si>
  <si>
    <t>33.03.120.006.04</t>
  </si>
  <si>
    <t>33.03.120.006.05</t>
  </si>
  <si>
    <t>33.03.120.006.06</t>
  </si>
  <si>
    <t>33.03.120.006.07</t>
  </si>
  <si>
    <t>Programa Gastos de Funcionamiento Región de Tarapacá</t>
  </si>
  <si>
    <t>Programa Gastos de Funcionamiento Región de Atacama</t>
  </si>
  <si>
    <t>Programa Gastos de Funcionamiento Región de Coquimbo</t>
  </si>
  <si>
    <t>Programa Gasto de Funcionamiento Región de Valparaíso</t>
  </si>
  <si>
    <t>Programa Gasto de Funcionamiento Región del Libertador B. O'Higgins</t>
  </si>
  <si>
    <t>Programa Gastos de Funcionamiento Región de La Araucanía</t>
  </si>
  <si>
    <t>Programa Gasto de Funcionamiento Región de Los Lagos</t>
  </si>
  <si>
    <t>Programa Gasto de Funcionamiento Región de Magallanes</t>
  </si>
  <si>
    <t>Programa Gasto de Funcionamiento Región Metropolitana</t>
  </si>
  <si>
    <t>Programa Gastos de Funcionamiento Región de Los Ríos</t>
  </si>
  <si>
    <t>Programa Gastos de Funcionamiento Región de Arica Parinacota</t>
  </si>
  <si>
    <t>24.02.007</t>
  </si>
  <si>
    <t>24.02.914</t>
  </si>
  <si>
    <t>Programa Inversión Regional Región del Libertador General B. O' Higgins</t>
  </si>
  <si>
    <t>Programa Inversión Regional Región de Aysén del G. Carlos Ibañez del Campo</t>
  </si>
  <si>
    <t>24.01.103</t>
  </si>
  <si>
    <t xml:space="preserve">Universidad Adolfo Ibañez - Índice de bienestar </t>
  </si>
  <si>
    <t>Universidad Católica-Centro Latinoamericano</t>
  </si>
  <si>
    <t>24.07.006</t>
  </si>
  <si>
    <t>A Comisión Económica Para América Latina y el Caribe</t>
  </si>
  <si>
    <t>002</t>
  </si>
  <si>
    <t>003</t>
  </si>
  <si>
    <t>24.07.007</t>
  </si>
  <si>
    <t>A Organización de las Naciones Unidas para la Alimentación</t>
  </si>
  <si>
    <t>001</t>
  </si>
  <si>
    <t>.107</t>
  </si>
  <si>
    <t>.914</t>
  </si>
  <si>
    <t>.916</t>
  </si>
  <si>
    <t>3303010 Programa de Mejoramiento Urbano y Equipamiento Com</t>
  </si>
  <si>
    <t>3303020 Programa de Mejoramiento de Barrios FET-Covid-19</t>
  </si>
  <si>
    <t>Sistema Información Financiera Municipal</t>
  </si>
  <si>
    <t>Unidad de Gobierno Electrónico Local</t>
  </si>
  <si>
    <t>Sistema Información Municipal (SIM )</t>
  </si>
  <si>
    <t>PMU</t>
  </si>
  <si>
    <t>PMB</t>
  </si>
  <si>
    <t xml:space="preserve">Programa Gastos de Funcionamiento Región de Aysén del General Carlos Ibañez del Campo </t>
  </si>
  <si>
    <t>Programa Gastos de Funcionamiento Región del Bio Bio</t>
  </si>
  <si>
    <t>.105</t>
  </si>
  <si>
    <t>Programa Financiamiento Gobiernos Regionales</t>
  </si>
  <si>
    <t>Presupuesto Vigente</t>
  </si>
  <si>
    <t>Ejecución</t>
  </si>
  <si>
    <t>subtítulo</t>
  </si>
  <si>
    <t xml:space="preserve">06    </t>
  </si>
  <si>
    <t xml:space="preserve">07    </t>
  </si>
  <si>
    <t>24.02.116</t>
  </si>
  <si>
    <t>[ 4 ]</t>
  </si>
  <si>
    <t>[ 5 ]</t>
  </si>
  <si>
    <t>[ 4/2]</t>
  </si>
  <si>
    <t>[ 5/2]</t>
  </si>
  <si>
    <t xml:space="preserve"> Prestaciones Sociales del Empleador</t>
  </si>
  <si>
    <t>32.04.003</t>
  </si>
  <si>
    <t>Trabajos extraordinarios</t>
  </si>
  <si>
    <t>Valores</t>
  </si>
  <si>
    <t>Saldo por ejecutar M$</t>
  </si>
  <si>
    <t>[ 5-3]</t>
  </si>
  <si>
    <t>Saldo disponible M$</t>
  </si>
  <si>
    <t xml:space="preserve">% Saldo disponible </t>
  </si>
  <si>
    <t>% Presupuesto comprometido M$</t>
  </si>
  <si>
    <t>Presupuesto comprometido M$</t>
  </si>
  <si>
    <t>22.02.001</t>
  </si>
  <si>
    <t>Programa Inversión Regional Región I  Tarapacá</t>
  </si>
  <si>
    <t>Programa Inversión Regional Región II  Antofagasta</t>
  </si>
  <si>
    <t>Programa Inversión Regional Región III Atacama</t>
  </si>
  <si>
    <t>Programa Inversión Regional Región IV Coquimbo</t>
  </si>
  <si>
    <t>Programa Inversión Regional Región V Valparaíso</t>
  </si>
  <si>
    <t xml:space="preserve">Programa Inversión Regional Región VI del Libertador </t>
  </si>
  <si>
    <t>Programa Inversión Regional Región VII  Maule</t>
  </si>
  <si>
    <t>Programa Inversión Regional Región VIII  Bío Bío</t>
  </si>
  <si>
    <t>Programa Inversión Regional Región IX La Araucanía</t>
  </si>
  <si>
    <t>Programa Inversión Regional Región X  Los Lagos</t>
  </si>
  <si>
    <t>Programa Inversión Regional Región XI  Aysén</t>
  </si>
  <si>
    <t xml:space="preserve">Programa Inversión Regional Región XII Magallanes </t>
  </si>
  <si>
    <t>Programa Inversión Regional Región XIV Los Ríos</t>
  </si>
  <si>
    <t>Programa Inversión Regional Región XV  Arica y Parinacota</t>
  </si>
  <si>
    <t>Programa Inversión Regional Región XVI  Ñuble</t>
  </si>
  <si>
    <t>Subsecretaría de Desarrollo Regional y Administrativo</t>
  </si>
  <si>
    <t xml:space="preserve"> PROGRAMAS DE DESARROLLO LOCAL</t>
  </si>
  <si>
    <t xml:space="preserve"> Gastos de Representación, Protocolo y Ceremonial</t>
  </si>
  <si>
    <t>32.04.004</t>
  </si>
  <si>
    <t>Subtitulo</t>
  </si>
  <si>
    <t>nombre</t>
  </si>
  <si>
    <t>ACUMULADO A JULIO</t>
  </si>
  <si>
    <t>ACUMULADO AGOSTO</t>
  </si>
  <si>
    <t>ACUMULADO A AGOSTO</t>
  </si>
  <si>
    <t>Amortización de la Deuda Extterna</t>
  </si>
  <si>
    <t>Fortalecimiento y Apoyo Técnico a los Gobiernos Re</t>
  </si>
  <si>
    <t xml:space="preserve">Fortalecimiento de Capacidades de Intervención en </t>
  </si>
  <si>
    <t>22.06.004</t>
  </si>
  <si>
    <t>24.03.015</t>
  </si>
  <si>
    <t>2204004 Productos Farmacéuticos</t>
  </si>
  <si>
    <t>22.04.004</t>
  </si>
  <si>
    <t>Productos Farmacéuticos</t>
  </si>
  <si>
    <t>Ejecución.</t>
  </si>
  <si>
    <t>Saldo por ejecutar.</t>
  </si>
  <si>
    <t>Saldo disponible.</t>
  </si>
  <si>
    <t>Programa Gastos de Funcionamiento Región del Biobío</t>
  </si>
  <si>
    <t>Emergencia S.P.D.</t>
  </si>
  <si>
    <t>2407008 A Facultad Latinoamericana de Ciencias Sociales</t>
  </si>
  <si>
    <t>A Facultad Latinoamericana de Ciencias Sociales</t>
  </si>
  <si>
    <t xml:space="preserve">24.07.008 </t>
  </si>
  <si>
    <t>24.02.102</t>
  </si>
  <si>
    <t>ACUMULADO A NOVIEMBRE</t>
  </si>
  <si>
    <t>.018</t>
  </si>
  <si>
    <t>33.02.020</t>
  </si>
  <si>
    <t>33.02.018</t>
  </si>
  <si>
    <t>2907002 Sistemas de Información</t>
  </si>
  <si>
    <t>Universidad de Chile - Fortalecimiento Organizacio</t>
  </si>
  <si>
    <t>24.01.104</t>
  </si>
  <si>
    <t>24.01.105</t>
  </si>
  <si>
    <t>2101001999 Otras Asignaciones</t>
  </si>
  <si>
    <t>2102001999 Otras Asignaciones</t>
  </si>
  <si>
    <t>2903 Vehículos</t>
  </si>
  <si>
    <t>Otras Asignaciones</t>
  </si>
  <si>
    <t>Desempeño Individual</t>
  </si>
  <si>
    <t>Otras Indemnizaciones</t>
  </si>
  <si>
    <t>23.03.004</t>
  </si>
  <si>
    <t>.410</t>
  </si>
  <si>
    <t>Universidad de Chile - Fortalecimiento Organización</t>
  </si>
  <si>
    <t>Vehículos</t>
  </si>
  <si>
    <t>29.03</t>
  </si>
  <si>
    <t>.027</t>
  </si>
  <si>
    <t>Vehículo</t>
  </si>
  <si>
    <t>3303005001</t>
  </si>
  <si>
    <t>P.M.U. - Tradicional</t>
  </si>
  <si>
    <t>3303005002</t>
  </si>
  <si>
    <t>P.M.U. - Emergencia</t>
  </si>
  <si>
    <t>3303005005</t>
  </si>
  <si>
    <t>P.M.U. - Cuenca del Carbón</t>
  </si>
  <si>
    <t>3303005008</t>
  </si>
  <si>
    <t>P.M.U. - Emergencia - SPD</t>
  </si>
  <si>
    <t>3303006001</t>
  </si>
  <si>
    <t>P.M.B. - Asistencia Ténica</t>
  </si>
  <si>
    <t>3303006003</t>
  </si>
  <si>
    <t>P.M.B. - Terrenos</t>
  </si>
  <si>
    <t>3303006004</t>
  </si>
  <si>
    <t>P.M.B. - Otras Transferencias</t>
  </si>
  <si>
    <t>3303006005</t>
  </si>
  <si>
    <t>P.M.B. - Estudios y Diseños</t>
  </si>
  <si>
    <t>3303006006</t>
  </si>
  <si>
    <t>P.M.B. - IRAL- Inversión Regional de Asignación Lo</t>
  </si>
  <si>
    <t>3303006007</t>
  </si>
  <si>
    <t>P.M.B. - OBRA</t>
  </si>
  <si>
    <t>3303100</t>
  </si>
  <si>
    <t>Municipalidades (Fondo Recuperación de Ciudades)</t>
  </si>
  <si>
    <t>33.03.005.001</t>
  </si>
  <si>
    <t>33.03.005.002</t>
  </si>
  <si>
    <t>33.03.005.003</t>
  </si>
  <si>
    <t>33.03.005.008</t>
  </si>
  <si>
    <t>33.03.006.001</t>
  </si>
  <si>
    <t>33.03.006.002</t>
  </si>
  <si>
    <t>33.03.006.003</t>
  </si>
  <si>
    <t>33.03.006.004</t>
  </si>
  <si>
    <t>33.03.006.005</t>
  </si>
  <si>
    <t>33.03.100</t>
  </si>
  <si>
    <t>Programa 03 33-03-005 Decretos</t>
  </si>
  <si>
    <t>Ejecución Linea de Financiamiento</t>
  </si>
  <si>
    <t>Programa 03 33-03-006 Decretos</t>
  </si>
  <si>
    <t>Municipalidades (PMU)</t>
  </si>
  <si>
    <t>Municipalidades (PMB)</t>
  </si>
  <si>
    <t>.100</t>
  </si>
  <si>
    <t>Servicio Nacional de Prevención y Respuesta Ante D</t>
  </si>
  <si>
    <t xml:space="preserve">2101001998 Aplicación inciso 5to del Artículo 1 de la Ley N° </t>
  </si>
  <si>
    <t xml:space="preserve">2102001998 Aplicación inciso 5to del Artículo 1 de la Ley N° </t>
  </si>
  <si>
    <t>2102004007 Comisiones de Servicios en el Exterior</t>
  </si>
  <si>
    <t>2208003 Servicios de Mantención de Jardines</t>
  </si>
  <si>
    <t>26 OTROS GASTOS CORRIENTES</t>
  </si>
  <si>
    <t>2602 Compensaciones por Daños a Terceros y/o a la Propi</t>
  </si>
  <si>
    <t>2904 Mobiliario y Otros</t>
  </si>
  <si>
    <t xml:space="preserve">Aplicación inciso 5to del Artículo 1 de la Ley N° </t>
  </si>
  <si>
    <t>Mobiliario y Otros</t>
  </si>
  <si>
    <t>24.02.500</t>
  </si>
  <si>
    <t>ACUMULADO A MARZO</t>
  </si>
  <si>
    <t>Sistemas de Información</t>
  </si>
  <si>
    <t>29.07.002</t>
  </si>
  <si>
    <t>29.04</t>
  </si>
  <si>
    <t>3302025</t>
  </si>
  <si>
    <t>Gobiernos Regionales - Programas de Inversión</t>
  </si>
  <si>
    <t>2401010 Fundación para la Promoción y Desarrollo de la Muj</t>
  </si>
  <si>
    <t>ACUMULADO A MAYO</t>
  </si>
  <si>
    <t>Fundación para la Promoción y Desarrollo de la Muj</t>
  </si>
  <si>
    <t>24.01.010</t>
  </si>
  <si>
    <t xml:space="preserve">33  </t>
  </si>
  <si>
    <t>3303112</t>
  </si>
  <si>
    <t>Municipalidades (Programa Recuperación Espacios de</t>
  </si>
  <si>
    <t>33.03.112</t>
  </si>
  <si>
    <t>.112</t>
  </si>
  <si>
    <t>Prestaciones Sociales del Empleador</t>
  </si>
  <si>
    <t>2599001 Integros por Recuperación de Licencias Médicas</t>
  </si>
  <si>
    <t>ACUMULADO A JUNIO</t>
  </si>
  <si>
    <t>Integros por Recuperación de Licencias Médicas</t>
  </si>
  <si>
    <t xml:space="preserve">25.99.001 </t>
  </si>
  <si>
    <t>25.99.001</t>
  </si>
  <si>
    <t>2599201 Integros por Cobro de Pagos en Exceso</t>
  </si>
  <si>
    <t>2599202 Integros por Cobro de Pagos Duplicados</t>
  </si>
  <si>
    <t>2599999 Otros</t>
  </si>
  <si>
    <t>2599999</t>
  </si>
  <si>
    <t>Programa de Tenencia Responsable de Animales de Co</t>
  </si>
  <si>
    <t>25.99.999</t>
  </si>
  <si>
    <t>Integros por Cobro de Pagos en Exceso</t>
  </si>
  <si>
    <t>Integros por Cobro de Pagos Duplicados</t>
  </si>
  <si>
    <t>ACUMULADO A SEPTIEMBRE</t>
  </si>
  <si>
    <t>33.03.006</t>
  </si>
  <si>
    <t>33.03.005</t>
  </si>
  <si>
    <t xml:space="preserve">2403025 U. de Chile, Facultad de Gobierno - Actualización </t>
  </si>
  <si>
    <t xml:space="preserve">2403030 SUBPESCA - Consulta indígena área marina Rapa Nui </t>
  </si>
  <si>
    <t>2905 Máquinas y Equipos</t>
  </si>
  <si>
    <t>2905001 Máquinas y Equipos de Oficina</t>
  </si>
  <si>
    <t xml:space="preserve">U. de Chile, Facultad de Gobierno - Actualización </t>
  </si>
  <si>
    <t xml:space="preserve">SUBPESCA - Consulta indígena área marina Rapa Nui </t>
  </si>
  <si>
    <t>.030</t>
  </si>
  <si>
    <t>Máquinas y Equipos</t>
  </si>
  <si>
    <t>Máquinas y Equipos de Oficina</t>
  </si>
  <si>
    <t>29.05</t>
  </si>
  <si>
    <t>MOVIMIENTO AÑO 2024</t>
  </si>
  <si>
    <t>GASTO AÑO 2024</t>
  </si>
  <si>
    <t xml:space="preserve">Ley de Presupuestos </t>
  </si>
  <si>
    <t>33 TRANSFERENCIAS DE CAPITAL</t>
  </si>
  <si>
    <t>3302 Al Gobierno Central</t>
  </si>
  <si>
    <t>3302100 Recuperación Región del Maule</t>
  </si>
  <si>
    <t>TRANSFERENCIAS DE CAPITAL</t>
  </si>
  <si>
    <t>Recuperación Región del Maule</t>
  </si>
  <si>
    <t>Nivel Cruce</t>
  </si>
  <si>
    <t>2</t>
  </si>
  <si>
    <t>3</t>
  </si>
  <si>
    <t>4</t>
  </si>
  <si>
    <t>25.99.201</t>
  </si>
  <si>
    <t>25.99.202</t>
  </si>
  <si>
    <t>2599002</t>
  </si>
  <si>
    <t>Integros por Saldos No Utilizados de Transferencia</t>
  </si>
  <si>
    <t>25.99.002</t>
  </si>
  <si>
    <t>2403407</t>
  </si>
  <si>
    <t>Programa Servicios de Asistencia Técnica Especiali</t>
  </si>
  <si>
    <t>2024 ENERO</t>
  </si>
  <si>
    <t>Emergencia SPD (PMU)</t>
  </si>
  <si>
    <t>33.03.006.007</t>
  </si>
  <si>
    <t>.407</t>
  </si>
  <si>
    <t>24.03.407</t>
  </si>
  <si>
    <t>ENERO DE 2024</t>
  </si>
  <si>
    <t>Subt.</t>
  </si>
  <si>
    <t>CONSOLIDADO POR SUBTÍTULO PROGRAMA 01</t>
  </si>
  <si>
    <t>SUBSECRETARIA DE DESARROLLO REGIONAL Y ADMINISTRATIVO</t>
  </si>
  <si>
    <t>33.02.100</t>
  </si>
  <si>
    <t>04</t>
  </si>
  <si>
    <t>ACUMULADO A FEBRERO</t>
  </si>
  <si>
    <t>FEBRERO DE 2024</t>
  </si>
  <si>
    <t>ACUMULADO FEBRERO 2024</t>
  </si>
  <si>
    <t>2403027 Agencia para la Sustentabilidad y Cambio Climático</t>
  </si>
  <si>
    <t>2403043 UFRO - Red de expertos macro zona sur</t>
  </si>
  <si>
    <t>2407003 A Banco Interamericano de Desarrollo (BID)</t>
  </si>
  <si>
    <t>2407009 PNUD - Diálogos participativos regionales para ela</t>
  </si>
  <si>
    <t>m$ Requerimiento</t>
  </si>
  <si>
    <t>Agencia para la Sustentabilidad y Cambio Climático</t>
  </si>
  <si>
    <t>.043</t>
  </si>
  <si>
    <t>UFRO - Red de expertos macro zona sur</t>
  </si>
  <si>
    <t>24.03.043</t>
  </si>
  <si>
    <t>24.07.009</t>
  </si>
  <si>
    <t>Diálogos participativos regionales para ela</t>
  </si>
  <si>
    <t>M$ Monto Requerimiento</t>
  </si>
  <si>
    <t>24.03.602</t>
  </si>
  <si>
    <t>Municipalidades (Programa Revitalización de Barrios e Infraestructura Patrimonial Emblemática)</t>
  </si>
  <si>
    <t>Municipalidades (Programa Recuperación Espacios de Alto Valor Social)</t>
  </si>
  <si>
    <t>Servicios de Asistencia Técnica Especializada SATE</t>
  </si>
  <si>
    <t>M$ Monto Devengo</t>
  </si>
  <si>
    <t>M$ Monto Compromiso</t>
  </si>
  <si>
    <t>ACUMULADO A ABRIL</t>
  </si>
  <si>
    <t>M$ Compromiso</t>
  </si>
  <si>
    <t>M$ Devengado</t>
  </si>
  <si>
    <t>M$ Saldo por Comprometer</t>
  </si>
  <si>
    <t>M$ Requerimiento</t>
  </si>
  <si>
    <t>2906002 Equipos de Comunicaciones para Redes Informáticas</t>
  </si>
  <si>
    <t xml:space="preserve"> Equipos de Comunicaciones para Redes Informáticas</t>
  </si>
  <si>
    <t>M$  Monto Compromiso</t>
  </si>
  <si>
    <t>M$  Monto Devengo</t>
  </si>
  <si>
    <t>[ 4/2 ]</t>
  </si>
  <si>
    <t>[ 5/2 ]</t>
  </si>
  <si>
    <t>SIN INFORMACION SIGFE</t>
  </si>
  <si>
    <t>ACUMULADO A JULIO 2024</t>
  </si>
  <si>
    <t>Municipalidades Programa de Tenencia Responsable de Animales de Compañía</t>
  </si>
  <si>
    <t>Municipalidades (Programa de Mejoramiento Urbano y Equipamiento Comunal - PMU)</t>
  </si>
  <si>
    <t>Municipalidades (Programa Mejoramiento de Barrios - PMB)</t>
  </si>
  <si>
    <t xml:space="preserve">Municipalidades (Fondo Recuperación de Ciudades - FRC) </t>
  </si>
  <si>
    <t>Servicio Nacional de Prevención y Respuesta Ante Desastres</t>
  </si>
  <si>
    <t>2101003003 Desempeño Individual</t>
  </si>
  <si>
    <t>2102003003 Desempeño Individual</t>
  </si>
  <si>
    <t>2202001 Textiles y Acabados Textiles</t>
  </si>
  <si>
    <t xml:space="preserve">2206006 Mantenimiento y Reparación de Otras Maquinarias y </t>
  </si>
  <si>
    <t>2303004 Otras Indemnizaciones</t>
  </si>
  <si>
    <t>2401100 Universidad del Desarrollo</t>
  </si>
  <si>
    <t>2401101 Fundación Chile Descentralizado Desarrollado</t>
  </si>
  <si>
    <t>2401102 Universidad Adolfo Ibañez - Índice de bienestar te</t>
  </si>
  <si>
    <t>2401103 Universidad Católica-Centro Latinoamericano de Pol</t>
  </si>
  <si>
    <t>2401104 Fortalecimiento y Apoyo Técnico a los Gobiernos Re</t>
  </si>
  <si>
    <t xml:space="preserve">2401105 Fortalecimiento de Capacidades de Intervención en </t>
  </si>
  <si>
    <t xml:space="preserve">2403105 Fortalecimiento de Capacidades de Intervención en </t>
  </si>
  <si>
    <t>2403410 Universidad de Chile - Fortalecimiento Organizacio</t>
  </si>
  <si>
    <t>2403415 Oficina de Donación Española</t>
  </si>
  <si>
    <t>2407006 A Banco Mundial</t>
  </si>
  <si>
    <t>3406 Otros Gastos Financieros Deuda Externa</t>
  </si>
  <si>
    <t>35 SALDO FINAL DE CAJA</t>
  </si>
  <si>
    <t>M$Devengado</t>
  </si>
  <si>
    <t>2407010 PNUD: Plan Ercilla</t>
  </si>
  <si>
    <t>24.07.010</t>
  </si>
  <si>
    <t>PNUD: Plan Ercilla</t>
  </si>
  <si>
    <t>SEPTIEMBRE ACUMULADO</t>
  </si>
  <si>
    <t>ACUMULADO SEPTIEMBRE</t>
  </si>
  <si>
    <t>Octubre 2024</t>
  </si>
  <si>
    <t>Octubre  2024</t>
  </si>
  <si>
    <t>Aguinaldos y Bonos</t>
  </si>
  <si>
    <t>2101001004 Asignación de Zona</t>
  </si>
  <si>
    <t>Acumulado a Octubre</t>
  </si>
  <si>
    <t>Monto Requerimiento $M</t>
  </si>
  <si>
    <t>Monto Compromiso $M</t>
  </si>
  <si>
    <t>Monto Devengo $M</t>
  </si>
  <si>
    <t>Octubre</t>
  </si>
  <si>
    <t xml:space="preserve">Presupuesto Inicial </t>
  </si>
  <si>
    <t xml:space="preserve">Presupuesto Vigente </t>
  </si>
  <si>
    <t>Acemulado a Octubre</t>
  </si>
  <si>
    <t>2599002 Integros por Saldos No Utilizados de Transferencia</t>
  </si>
  <si>
    <t>noviembre</t>
  </si>
  <si>
    <t xml:space="preserve">M$ Ley de Presupuestos </t>
  </si>
  <si>
    <t>M$
Compromiso</t>
  </si>
  <si>
    <t>Noviembre</t>
  </si>
  <si>
    <t>acumulado a noviembre</t>
  </si>
  <si>
    <t>2103999 Otras</t>
  </si>
  <si>
    <t>Diciembre</t>
  </si>
  <si>
    <t>2204002 Textos y Otros Materiales de Enseñanza</t>
  </si>
  <si>
    <t>Acumulado a diciembre</t>
  </si>
  <si>
    <t>Otras</t>
  </si>
  <si>
    <t>Servicios de Mantención de Jardines</t>
  </si>
  <si>
    <t>Textos y Otros Materiales de Enseñanza</t>
  </si>
  <si>
    <t>2599201</t>
  </si>
  <si>
    <t xml:space="preserve">DICIEMBRE </t>
  </si>
  <si>
    <t>ACUMULADO A DICIEMBRE</t>
  </si>
  <si>
    <t>M$ Monto devengo</t>
  </si>
  <si>
    <t>acumulado a diciembre</t>
  </si>
  <si>
    <t>INGRESOS AL FISCO*</t>
  </si>
  <si>
    <t>Presupuesto Inicial 2025 M$</t>
  </si>
  <si>
    <t>Presupuesto  Vigente 2025 M$</t>
  </si>
  <si>
    <t>Ejecución al 31/01/2025 M$</t>
  </si>
  <si>
    <t>% de Ejecución 31/01/2025 M$</t>
  </si>
  <si>
    <t>Presupuesto  Vigente al 31/01/2024 M$</t>
  </si>
  <si>
    <t>Ejecución al 31/01/2024  M$</t>
  </si>
  <si>
    <t>%                            Ejecución al 31/01/2024  M$</t>
  </si>
  <si>
    <t>MOVIMIENTO AÑO 2025</t>
  </si>
  <si>
    <t>GASTO AÑO 2025</t>
  </si>
  <si>
    <t>2303001 Indemnización de Cargo Fiscal</t>
  </si>
  <si>
    <t>2409 A Unidades o Programas del Servicio</t>
  </si>
  <si>
    <t>2409409 Oficina Revitalización de Barrios e Infraestructur</t>
  </si>
  <si>
    <t>Indemnización de Cargo Fiscal</t>
  </si>
  <si>
    <t>A Unidades o Programas del Servicio</t>
  </si>
  <si>
    <t>Oficina Revitalización de Barrios e Infraestructur</t>
  </si>
  <si>
    <t>23.03.001</t>
  </si>
  <si>
    <t>24.09.409</t>
  </si>
  <si>
    <t>Distribución Inicial al 31.01.2024</t>
  </si>
  <si>
    <t>29.06.002</t>
  </si>
  <si>
    <t>22.04.002</t>
  </si>
  <si>
    <t>22.08.003</t>
  </si>
  <si>
    <t>21.03.001</t>
  </si>
  <si>
    <t>2401030</t>
  </si>
  <si>
    <t>2409034</t>
  </si>
  <si>
    <t>2599001</t>
  </si>
  <si>
    <t>2599202</t>
  </si>
  <si>
    <t>ENERO DE 2025</t>
  </si>
  <si>
    <t>24.01.030</t>
  </si>
  <si>
    <t>Programa de Apoyo al Mejoramiento de la Gestión y de Servicios Municipales</t>
  </si>
  <si>
    <t>24.09.034</t>
  </si>
  <si>
    <t>m$ Monto Requerimiento</t>
  </si>
  <si>
    <t>m$ Monto Compromiso</t>
  </si>
  <si>
    <t>m$ Monto Devengo</t>
  </si>
  <si>
    <t>2409407</t>
  </si>
  <si>
    <t>Servicio Asistencia Técnica Especializada SATE</t>
  </si>
  <si>
    <t>42447001</t>
  </si>
  <si>
    <t>Gastos de Honorarios</t>
  </si>
  <si>
    <t>Municipalidades (Programa Revitalización de Barrio</t>
  </si>
  <si>
    <t>35</t>
  </si>
  <si>
    <t>La Ley de Presupuesto del año 2025 introduce una modificación en la imputación presupuestaria de la Oficina de Revitalización de Barrios e Infraestructura Patrimonial, actualizando su clasificación. El ítem presupuestario cambia de '03 A Otras Entidades Públicas' a '09 A Unidades o Programas del Servicio'</t>
  </si>
  <si>
    <t>La Ley de Presupuesto del año 2025 introduce una modificación en la imputación presupuestaria de la Fondo Concursable Becas - Ley N°20.742 actualizando su clasificación. El ítem presupuestario cambia de '03 A Otras Entidades Públicas' a '09 A Unidades o Programas del Servicio'</t>
  </si>
  <si>
    <t>Decreto N°3 Reg. 0086EE TT 23.01.2025</t>
  </si>
  <si>
    <t>(Todas)</t>
  </si>
  <si>
    <t>Etiquetas de fila</t>
  </si>
  <si>
    <t>Total general</t>
  </si>
  <si>
    <t>% Ejecución 2025.</t>
  </si>
  <si>
    <t>% Ejecución 2024.</t>
  </si>
  <si>
    <t>(Varios elementos)</t>
  </si>
  <si>
    <t>Presupuesto Inicial 2025.</t>
  </si>
  <si>
    <t>Presupuesto Vigente.</t>
  </si>
  <si>
    <t>24.09.407</t>
  </si>
  <si>
    <t>2201 Alimentos y Bebidas</t>
  </si>
  <si>
    <t>2201001 Para Personas</t>
  </si>
  <si>
    <t>Alimentos y Bebidas</t>
  </si>
  <si>
    <t>Para Personas</t>
  </si>
  <si>
    <t>FEBRERO ACUMULADO</t>
  </si>
  <si>
    <t>FEBRERO DE 2025</t>
  </si>
  <si>
    <t>42447002</t>
  </si>
  <si>
    <t>Viaticos</t>
  </si>
  <si>
    <t>FEBRERO ACUMULADO 2025</t>
  </si>
  <si>
    <t>MARZO DE 2025</t>
  </si>
  <si>
    <t>2407011  Banco Interamericano de Desarrollo (BID) Llanquihue</t>
  </si>
  <si>
    <t>Banco Interamericano de Desarrollo (BID) Llanquihue</t>
  </si>
  <si>
    <t>24.07.011</t>
  </si>
  <si>
    <t>total</t>
  </si>
  <si>
    <t>rev</t>
  </si>
  <si>
    <t>ACUMULADO A MARZO 2024</t>
  </si>
  <si>
    <t>MARZO DE 2024</t>
  </si>
  <si>
    <t>MARZO, 2025</t>
  </si>
  <si>
    <t>ACUMULADO A MARZO, 2025</t>
  </si>
  <si>
    <t>ACUMULADO MARZO, 2025</t>
  </si>
  <si>
    <t>ACUMULADO A MARZO, DE 2024</t>
  </si>
  <si>
    <t>3302012</t>
  </si>
  <si>
    <t>Programa Inversión Regional Región de Magallanes y</t>
  </si>
  <si>
    <t>3302013</t>
  </si>
  <si>
    <t>ACUMULADO A MARZO 2025</t>
  </si>
  <si>
    <t>ABRIL DE 2025</t>
  </si>
  <si>
    <t>2407011 Banco Interamericano de Desarrollo (BID) Llanquihu</t>
  </si>
  <si>
    <t>M$Monto Devengo</t>
  </si>
  <si>
    <t xml:space="preserve">ACUMULADO A ABRIL </t>
  </si>
  <si>
    <t>SIN MOVIMIENTO</t>
  </si>
  <si>
    <t>ACUMULADO A ABRIL DE 2025</t>
  </si>
  <si>
    <t>MAYO 2025.</t>
  </si>
  <si>
    <t>ACUMULADO MAYO 2025</t>
  </si>
  <si>
    <t>42447003</t>
  </si>
  <si>
    <t>Gasto de Bienes y Consumo</t>
  </si>
  <si>
    <t>2402106</t>
  </si>
  <si>
    <t>Programa Gastos de Funcionamiento Región del Liber</t>
  </si>
  <si>
    <t>3302003</t>
  </si>
  <si>
    <t>Programa Inversión Regional Región Atacama</t>
  </si>
  <si>
    <t>3302010</t>
  </si>
  <si>
    <t>3302011</t>
  </si>
  <si>
    <t>Programa Inversión Regional Región de Aysén del Ge</t>
  </si>
  <si>
    <t>3302015</t>
  </si>
  <si>
    <t>Programa Inversión Regional Región de Arica y Pari</t>
  </si>
  <si>
    <t>CONSOLIDADO POR SUBTÍTULO PROGRAMA 02</t>
  </si>
  <si>
    <t>CONSOLIDADO POR SUBTÍTULO PROGRAMA 03</t>
  </si>
  <si>
    <t>3406002 Empréstitos</t>
  </si>
  <si>
    <t>99</t>
  </si>
  <si>
    <t>999.</t>
  </si>
  <si>
    <t>21.01.004.004</t>
  </si>
  <si>
    <t>21.01.004.005</t>
  </si>
  <si>
    <t>21.01.004.006</t>
  </si>
  <si>
    <t>007.</t>
  </si>
  <si>
    <t>21.03.007.</t>
  </si>
  <si>
    <t>21.03.999.</t>
  </si>
  <si>
    <t>29.</t>
  </si>
  <si>
    <t>Decreto N°413 Reg. 0513EE TT 13.05.2025</t>
  </si>
  <si>
    <t>Programa 03 33-03-100 Decretos</t>
  </si>
  <si>
    <r>
      <t xml:space="preserve">La Ley de Presupuesto del año 2025 introduce una modificación en la imputación presupuestaria del </t>
    </r>
    <r>
      <rPr>
        <b/>
        <sz val="12"/>
        <color rgb="FF000000"/>
        <rFont val="Arial"/>
        <family val="2"/>
      </rPr>
      <t>Servicio Asistencia Técnica E</t>
    </r>
    <r>
      <rPr>
        <b/>
        <sz val="12"/>
        <color indexed="8"/>
        <rFont val="Arial"/>
        <family val="2"/>
      </rPr>
      <t>specializada SATE actualizando su clasificación. El ítem presupuestario cambia de '03 A Otras Entidades Públicas' a '09 A Unidades o Programas del Servicio'</t>
    </r>
  </si>
  <si>
    <t>}</t>
  </si>
  <si>
    <t>ACUMULADO A JUNIO 2025</t>
  </si>
  <si>
    <t>JUNIO DE 2025</t>
  </si>
  <si>
    <t>JUNIO DE 2024</t>
  </si>
  <si>
    <t>ACUMULADO A JUNIO DE 2024</t>
  </si>
  <si>
    <t>JUNIO 2025.</t>
  </si>
  <si>
    <t>ACUMULADO A JUNIO 2024</t>
  </si>
  <si>
    <t>M$ DEVENGADO</t>
  </si>
  <si>
    <t>2301 Prestaciones Previsionales</t>
  </si>
  <si>
    <t>2301006 Asignación por Muerte</t>
  </si>
  <si>
    <t>2403416 U. de Ch. - Diplomado en Gestión de Áreas Metropol</t>
  </si>
  <si>
    <t>acumulado a junio</t>
  </si>
  <si>
    <t>Prestaciones Previsionales</t>
  </si>
  <si>
    <t>Asignación por Muerte</t>
  </si>
  <si>
    <t>23.01</t>
  </si>
  <si>
    <t>23.01.006</t>
  </si>
  <si>
    <t>U. de Ch. - Diplomado en Gestión de Áreas Metropol</t>
  </si>
  <si>
    <t>.416</t>
  </si>
  <si>
    <t>MAYO A ABRIL DE 2025</t>
  </si>
  <si>
    <t>2402101</t>
  </si>
  <si>
    <t>Programa Gastos de Funcionamiento Región de Tarapa</t>
  </si>
  <si>
    <t>2402105</t>
  </si>
  <si>
    <t>Programa Gastos de Funcionamiento Región de Valpar</t>
  </si>
  <si>
    <t>2402107</t>
  </si>
  <si>
    <t>Programa Gastos de Funcionamiento Región del Maule</t>
  </si>
  <si>
    <t>2402109</t>
  </si>
  <si>
    <t>Programa Gastos de Funcionamiento Región de La Ara</t>
  </si>
  <si>
    <t xml:space="preserve">Programa Gastos de Funcionamiento Región de Aysén </t>
  </si>
  <si>
    <t>2402112</t>
  </si>
  <si>
    <t>Programa Gastos de Funcionamiento Región de Magall</t>
  </si>
  <si>
    <t>2402113</t>
  </si>
  <si>
    <t>Programa Gastos de Funcionamiento Región Metropoli</t>
  </si>
  <si>
    <t>2402116</t>
  </si>
  <si>
    <t>Decreto N°618 Reg. 0919EE</t>
  </si>
  <si>
    <t>JULIO 2025.</t>
  </si>
  <si>
    <t>3302005</t>
  </si>
  <si>
    <t>Programa Inversión Regional Región de Valparaiso</t>
  </si>
  <si>
    <t>3302007</t>
  </si>
  <si>
    <t>3302016</t>
  </si>
  <si>
    <t>ACUMULADO A JULIO 2025</t>
  </si>
  <si>
    <t>Ejecución al 31/08/2025 M$</t>
  </si>
  <si>
    <t>% de Ejecución 31/08/2025 M$</t>
  </si>
  <si>
    <t>Presupuesto  Vigente al 31/08/2024 M$</t>
  </si>
  <si>
    <t>Ejecución al 31/08/2024  M$</t>
  </si>
  <si>
    <t>% Ejecución al 31/08/2024  M$</t>
  </si>
  <si>
    <t>SITUACIÓN PRESUPUESTARIA AÑO 2025 AL 31/08/2025</t>
  </si>
  <si>
    <t xml:space="preserve"> ACUMULADO A AGOSTO</t>
  </si>
  <si>
    <t>Presupuesto Vigente 2025 M$</t>
  </si>
  <si>
    <t>MODIFICACIONES RELEVANTES MUNICIPALIDADES AL 31 DE AGOSTO DE 2025</t>
  </si>
  <si>
    <t xml:space="preserve"> Monto Devengo</t>
  </si>
  <si>
    <t>AGOSTO 2025.</t>
  </si>
  <si>
    <t>ACUMULADO AGOSTO 2025</t>
  </si>
  <si>
    <t>2207003 Servicios de Encuadernación y Empaste</t>
  </si>
  <si>
    <t>AGOSTO ACUMULADO 2025</t>
  </si>
  <si>
    <t>Servicios de Encuadernación y Empaste</t>
  </si>
  <si>
    <t xml:space="preserve">DECRETO 768 Reg. 0971EE </t>
  </si>
  <si>
    <t>Decreto 846. N Registro 1293EE (GORE ARICA)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</si>
</sst>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 * #,##0_ ;_ * \-#,##0_ ;_ * &quot;-&quot;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.00\ _€_-;\-* #,##0.00\ _€_-;_-* &quot;-&quot;??\ _€_-;_-@_-"/>
    <numFmt numFmtId="167" formatCode="00"/>
    <numFmt numFmtId="168" formatCode="000"/>
    <numFmt numFmtId="169" formatCode="#,##0_ ;[Red]\-#,##0\ "/>
    <numFmt numFmtId="170" formatCode="#,##0.000"/>
    <numFmt numFmtId="171" formatCode="_-* #,##0_-;\-* #,##0_-;_-* &quot;-&quot;??_-;_-@_-"/>
    <numFmt numFmtId="172" formatCode="0.0%"/>
    <numFmt numFmtId="173" formatCode="#,##0;\(#,##0\)"/>
    <numFmt numFmtId="174" formatCode="_(&quot;$&quot;* #,##0_);_(&quot;$&quot;* \(#,##0\);_(&quot;$&quot;* &quot;-&quot;_);_(@_)"/>
    <numFmt numFmtId="175" formatCode="_ * #,##0.0_ ;_ * \-#,##0.0_ ;_ * &quot;-&quot;_ ;_ @_ "/>
    <numFmt numFmtId="176" formatCode="_ * #,##0.00_ ;_ * \-#,##0.00_ ;_ * &quot;-&quot;_ ;_ @_ "/>
  </numFmts>
  <fonts count="6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6"/>
      <color theme="0"/>
      <name val="Arial"/>
      <family val="2"/>
    </font>
    <font>
      <sz val="10"/>
      <color rgb="FFFF0000"/>
      <name val="Arial"/>
      <family val="2"/>
    </font>
    <font>
      <sz val="7"/>
      <name val="Trebuchet MS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6"/>
      <color indexed="8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5" tint="0.79998168889431442"/>
      <name val="Arial"/>
      <family val="2"/>
    </font>
    <font>
      <sz val="9"/>
      <color indexed="81"/>
      <name val="Tahoma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666666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name val="Arial Narrow"/>
      <family val="2"/>
    </font>
    <font>
      <sz val="9"/>
      <name val="Arial Narrow"/>
      <family val="2"/>
    </font>
    <font>
      <sz val="8"/>
      <color indexed="8"/>
      <name val="Arial"/>
      <family val="2"/>
    </font>
    <font>
      <sz val="9"/>
      <color theme="5"/>
      <name val="Calibri"/>
      <family val="2"/>
      <scheme val="minor"/>
    </font>
    <font>
      <b/>
      <sz val="9"/>
      <name val="Calibri Light"/>
      <family val="2"/>
    </font>
    <font>
      <sz val="9"/>
      <name val="Calibri Light"/>
      <family val="2"/>
    </font>
    <font>
      <sz val="11"/>
      <color theme="1"/>
      <name val="Calibri Light"/>
      <family val="2"/>
    </font>
    <font>
      <b/>
      <sz val="9"/>
      <color rgb="FFFF0000"/>
      <name val="Calibri Light"/>
      <family val="2"/>
    </font>
    <font>
      <b/>
      <sz val="8"/>
      <color theme="1"/>
      <name val="Calibri"/>
      <family val="2"/>
      <scheme val="minor"/>
    </font>
    <font>
      <b/>
      <sz val="9"/>
      <color theme="0"/>
      <name val="Calibri Light"/>
      <family val="2"/>
    </font>
    <font>
      <sz val="9"/>
      <color theme="0"/>
      <name val="Calibri Light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006100"/>
      <name val="Arial"/>
      <family val="2"/>
    </font>
    <font>
      <b/>
      <sz val="12"/>
      <color theme="1"/>
      <name val="Arial"/>
      <family val="2"/>
    </font>
    <font>
      <i/>
      <sz val="10"/>
      <color rgb="FF000000"/>
      <name val="Arial"/>
      <family val="2"/>
    </font>
    <font>
      <b/>
      <sz val="12"/>
      <color rgb="FF000000"/>
      <name val="Arial"/>
      <family val="2"/>
    </font>
    <font>
      <sz val="10"/>
      <color indexed="9"/>
      <name val="Arial"/>
      <family val="2"/>
    </font>
    <font>
      <sz val="9"/>
      <color theme="1"/>
      <name val="Calibri Light"/>
      <family val="2"/>
    </font>
    <font>
      <b/>
      <sz val="11"/>
      <color theme="1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sz val="14"/>
      <color rgb="FF333333"/>
      <name val="Arial"/>
      <family val="2"/>
    </font>
    <font>
      <sz val="9"/>
      <color theme="0"/>
      <name val="Arial"/>
      <family val="2"/>
    </font>
    <font>
      <sz val="10"/>
      <color theme="0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F69B4"/>
        <bgColor indexed="64"/>
      </patternFill>
    </fill>
    <fill>
      <patternFill patternType="solid">
        <fgColor rgb="FFEB3C4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C1D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FF"/>
      </patternFill>
    </fill>
    <fill>
      <patternFill patternType="solid">
        <fgColor rgb="FFFFCC66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49992370372631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CCCCCC"/>
      </left>
      <right style="thin">
        <color rgb="FFCCCCCC"/>
      </right>
      <top/>
      <bottom/>
      <diagonal/>
    </border>
    <border>
      <left/>
      <right/>
      <top/>
      <bottom style="thin">
        <color rgb="FFCCCCCC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7">
    <xf numFmtId="0" fontId="0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165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3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" fillId="0" borderId="0"/>
    <xf numFmtId="16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</cellStyleXfs>
  <cellXfs count="1340">
    <xf numFmtId="0" fontId="0" fillId="0" borderId="0" xfId="0"/>
    <xf numFmtId="0" fontId="1" fillId="0" borderId="0" xfId="0" applyFont="1"/>
    <xf numFmtId="3" fontId="2" fillId="5" borderId="1" xfId="0" applyNumberFormat="1" applyFont="1" applyFill="1" applyBorder="1" applyAlignment="1">
      <alignment horizontal="right" vertical="top" wrapText="1"/>
    </xf>
    <xf numFmtId="3" fontId="1" fillId="0" borderId="0" xfId="0" applyNumberFormat="1" applyFont="1"/>
    <xf numFmtId="0" fontId="1" fillId="0" borderId="0" xfId="0" applyFont="1" applyAlignment="1">
      <alignment horizontal="left"/>
    </xf>
    <xf numFmtId="167" fontId="1" fillId="0" borderId="0" xfId="0" applyNumberFormat="1" applyFont="1" applyAlignment="1">
      <alignment horizontal="left" vertical="center"/>
    </xf>
    <xf numFmtId="168" fontId="1" fillId="0" borderId="0" xfId="0" applyNumberFormat="1" applyFont="1"/>
    <xf numFmtId="3" fontId="1" fillId="0" borderId="1" xfId="0" applyNumberFormat="1" applyFont="1" applyBorder="1" applyAlignment="1">
      <alignment horizontal="right" vertical="top" wrapText="1"/>
    </xf>
    <xf numFmtId="3" fontId="2" fillId="5" borderId="1" xfId="0" applyNumberFormat="1" applyFont="1" applyFill="1" applyBorder="1"/>
    <xf numFmtId="3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167" fontId="1" fillId="0" borderId="0" xfId="0" applyNumberFormat="1" applyFont="1" applyAlignment="1" applyProtection="1">
      <alignment horizontal="left" vertical="center"/>
      <protection locked="0"/>
    </xf>
    <xf numFmtId="168" fontId="1" fillId="0" borderId="0" xfId="0" applyNumberFormat="1" applyFont="1" applyProtection="1"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8" borderId="0" xfId="0" applyFont="1" applyFill="1"/>
    <xf numFmtId="3" fontId="1" fillId="0" borderId="0" xfId="0" applyNumberFormat="1" applyFont="1" applyAlignment="1" applyProtection="1">
      <alignment horizontal="right"/>
      <protection locked="0"/>
    </xf>
    <xf numFmtId="0" fontId="0" fillId="0" borderId="0" xfId="0" applyAlignment="1">
      <alignment horizontal="left"/>
    </xf>
    <xf numFmtId="0" fontId="14" fillId="0" borderId="0" xfId="0" applyFont="1"/>
    <xf numFmtId="3" fontId="1" fillId="9" borderId="0" xfId="0" applyNumberFormat="1" applyFont="1" applyFill="1"/>
    <xf numFmtId="0" fontId="1" fillId="9" borderId="0" xfId="0" applyFont="1" applyFill="1"/>
    <xf numFmtId="3" fontId="3" fillId="0" borderId="1" xfId="0" applyNumberFormat="1" applyFont="1" applyBorder="1" applyAlignment="1">
      <alignment horizontal="right" vertical="top" wrapText="1"/>
    </xf>
    <xf numFmtId="169" fontId="2" fillId="8" borderId="24" xfId="11" applyNumberFormat="1" applyFont="1" applyFill="1" applyBorder="1" applyAlignment="1">
      <alignment horizontal="right"/>
    </xf>
    <xf numFmtId="167" fontId="15" fillId="9" borderId="1" xfId="0" applyNumberFormat="1" applyFont="1" applyFill="1" applyBorder="1" applyAlignment="1">
      <alignment horizontal="left" vertical="center" wrapText="1"/>
    </xf>
    <xf numFmtId="168" fontId="15" fillId="9" borderId="1" xfId="0" applyNumberFormat="1" applyFont="1" applyFill="1" applyBorder="1" applyAlignment="1">
      <alignment horizontal="left" vertical="center" wrapText="1"/>
    </xf>
    <xf numFmtId="168" fontId="15" fillId="9" borderId="1" xfId="0" applyNumberFormat="1" applyFont="1" applyFill="1" applyBorder="1" applyAlignment="1">
      <alignment vertical="top" wrapText="1"/>
    </xf>
    <xf numFmtId="3" fontId="3" fillId="9" borderId="1" xfId="0" applyNumberFormat="1" applyFont="1" applyFill="1" applyBorder="1" applyAlignment="1">
      <alignment horizontal="right" vertical="top" wrapText="1"/>
    </xf>
    <xf numFmtId="3" fontId="3" fillId="9" borderId="1" xfId="0" applyNumberFormat="1" applyFont="1" applyFill="1" applyBorder="1"/>
    <xf numFmtId="168" fontId="15" fillId="9" borderId="1" xfId="0" quotePrefix="1" applyNumberFormat="1" applyFont="1" applyFill="1" applyBorder="1" applyAlignment="1">
      <alignment horizontal="left" vertical="center" wrapText="1"/>
    </xf>
    <xf numFmtId="49" fontId="15" fillId="9" borderId="1" xfId="0" applyNumberFormat="1" applyFont="1" applyFill="1" applyBorder="1" applyAlignment="1">
      <alignment horizontal="left" vertical="center" wrapText="1"/>
    </xf>
    <xf numFmtId="168" fontId="15" fillId="9" borderId="1" xfId="0" applyNumberFormat="1" applyFont="1" applyFill="1" applyBorder="1" applyAlignment="1">
      <alignment horizontal="right" vertical="center" wrapText="1"/>
    </xf>
    <xf numFmtId="168" fontId="15" fillId="9" borderId="1" xfId="0" applyNumberFormat="1" applyFont="1" applyFill="1" applyBorder="1" applyAlignment="1">
      <alignment horizontal="right" vertical="top" wrapText="1"/>
    </xf>
    <xf numFmtId="168" fontId="15" fillId="9" borderId="1" xfId="0" applyNumberFormat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right" vertical="center" wrapText="1"/>
    </xf>
    <xf numFmtId="49" fontId="15" fillId="9" borderId="1" xfId="0" applyNumberFormat="1" applyFont="1" applyFill="1" applyBorder="1" applyAlignment="1">
      <alignment horizontal="right" vertical="top" wrapText="1"/>
    </xf>
    <xf numFmtId="0" fontId="12" fillId="0" borderId="0" xfId="0" applyFont="1"/>
    <xf numFmtId="3" fontId="15" fillId="5" borderId="1" xfId="0" applyNumberFormat="1" applyFont="1" applyFill="1" applyBorder="1" applyAlignment="1">
      <alignment horizontal="right" vertical="top" wrapText="1"/>
    </xf>
    <xf numFmtId="168" fontId="15" fillId="5" borderId="1" xfId="0" applyNumberFormat="1" applyFont="1" applyFill="1" applyBorder="1" applyAlignment="1">
      <alignment horizontal="center" vertical="center" wrapText="1"/>
    </xf>
    <xf numFmtId="168" fontId="15" fillId="5" borderId="1" xfId="0" applyNumberFormat="1" applyFont="1" applyFill="1" applyBorder="1" applyAlignment="1">
      <alignment horizontal="right" vertical="center" wrapText="1"/>
    </xf>
    <xf numFmtId="0" fontId="0" fillId="9" borderId="0" xfId="0" applyFill="1"/>
    <xf numFmtId="0" fontId="1" fillId="9" borderId="0" xfId="0" applyFont="1" applyFill="1" applyAlignment="1">
      <alignment horizontal="left"/>
    </xf>
    <xf numFmtId="167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/>
    <xf numFmtId="3" fontId="1" fillId="9" borderId="0" xfId="0" applyNumberFormat="1" applyFont="1" applyFill="1" applyAlignment="1">
      <alignment horizontal="right"/>
    </xf>
    <xf numFmtId="0" fontId="2" fillId="9" borderId="0" xfId="0" applyFont="1" applyFill="1"/>
    <xf numFmtId="0" fontId="12" fillId="9" borderId="0" xfId="0" applyFont="1" applyFill="1"/>
    <xf numFmtId="41" fontId="0" fillId="0" borderId="0" xfId="14" applyFont="1"/>
    <xf numFmtId="41" fontId="1" fillId="0" borderId="0" xfId="14" applyFont="1" applyFill="1" applyAlignment="1">
      <alignment vertical="top"/>
    </xf>
    <xf numFmtId="0" fontId="22" fillId="9" borderId="0" xfId="0" applyFont="1" applyFill="1"/>
    <xf numFmtId="41" fontId="1" fillId="9" borderId="0" xfId="14" applyFont="1" applyFill="1"/>
    <xf numFmtId="41" fontId="1" fillId="9" borderId="0" xfId="14" applyFont="1" applyFill="1" applyAlignment="1">
      <alignment horizontal="right"/>
    </xf>
    <xf numFmtId="171" fontId="1" fillId="0" borderId="0" xfId="8" applyNumberFormat="1" applyFont="1" applyFill="1" applyBorder="1" applyAlignment="1" applyProtection="1">
      <protection locked="0"/>
    </xf>
    <xf numFmtId="3" fontId="1" fillId="0" borderId="0" xfId="7" applyNumberFormat="1" applyFont="1" applyProtection="1">
      <protection locked="0"/>
    </xf>
    <xf numFmtId="3" fontId="15" fillId="5" borderId="1" xfId="7" applyNumberFormat="1" applyFont="1" applyFill="1" applyBorder="1" applyAlignment="1" applyProtection="1">
      <alignment horizontal="right" vertical="center" wrapText="1"/>
    </xf>
    <xf numFmtId="3" fontId="15" fillId="5" borderId="1" xfId="7" applyNumberFormat="1" applyFont="1" applyFill="1" applyBorder="1" applyAlignment="1" applyProtection="1">
      <alignment horizontal="right" vertical="center"/>
    </xf>
    <xf numFmtId="41" fontId="1" fillId="0" borderId="0" xfId="14" applyFont="1" applyFill="1" applyProtection="1">
      <protection locked="0"/>
    </xf>
    <xf numFmtId="3" fontId="1" fillId="0" borderId="0" xfId="0" applyNumberFormat="1" applyFont="1" applyAlignment="1" applyProtection="1">
      <alignment horizontal="right" wrapText="1"/>
      <protection locked="0"/>
    </xf>
    <xf numFmtId="41" fontId="1" fillId="0" borderId="0" xfId="14" applyFont="1" applyFill="1"/>
    <xf numFmtId="173" fontId="13" fillId="14" borderId="0" xfId="0" applyNumberFormat="1" applyFont="1" applyFill="1" applyAlignment="1">
      <alignment horizontal="right" vertical="center"/>
    </xf>
    <xf numFmtId="3" fontId="22" fillId="9" borderId="0" xfId="0" applyNumberFormat="1" applyFont="1" applyFill="1"/>
    <xf numFmtId="3" fontId="3" fillId="9" borderId="0" xfId="8" applyNumberFormat="1" applyFont="1" applyFill="1" applyBorder="1"/>
    <xf numFmtId="168" fontId="3" fillId="9" borderId="1" xfId="0" applyNumberFormat="1" applyFont="1" applyFill="1" applyBorder="1" applyAlignment="1">
      <alignment vertical="top" wrapText="1"/>
    </xf>
    <xf numFmtId="3" fontId="3" fillId="9" borderId="1" xfId="0" applyNumberFormat="1" applyFont="1" applyFill="1" applyBorder="1" applyAlignment="1">
      <alignment horizontal="right" vertical="top"/>
    </xf>
    <xf numFmtId="49" fontId="15" fillId="9" borderId="1" xfId="0" applyNumberFormat="1" applyFont="1" applyFill="1" applyBorder="1" applyAlignment="1">
      <alignment vertical="top" wrapText="1"/>
    </xf>
    <xf numFmtId="0" fontId="0" fillId="0" borderId="0" xfId="0" pivotButton="1"/>
    <xf numFmtId="41" fontId="0" fillId="0" borderId="0" xfId="0" applyNumberFormat="1"/>
    <xf numFmtId="0" fontId="3" fillId="0" borderId="0" xfId="0" applyFont="1"/>
    <xf numFmtId="167" fontId="15" fillId="0" borderId="1" xfId="0" applyNumberFormat="1" applyFont="1" applyBorder="1" applyAlignment="1">
      <alignment horizontal="left" vertical="center" wrapText="1"/>
    </xf>
    <xf numFmtId="3" fontId="1" fillId="0" borderId="0" xfId="7" applyNumberFormat="1" applyFont="1" applyFill="1" applyProtection="1">
      <protection locked="0"/>
    </xf>
    <xf numFmtId="3" fontId="1" fillId="0" borderId="0" xfId="7" applyNumberFormat="1" applyFont="1" applyFill="1" applyBorder="1" applyProtection="1">
      <protection locked="0"/>
    </xf>
    <xf numFmtId="169" fontId="1" fillId="0" borderId="0" xfId="11" applyNumberFormat="1" applyFont="1" applyFill="1" applyBorder="1" applyAlignment="1">
      <alignment horizontal="right" vertical="center"/>
    </xf>
    <xf numFmtId="0" fontId="13" fillId="14" borderId="0" xfId="0" applyFont="1" applyFill="1" applyAlignment="1">
      <alignment horizontal="center" vertical="center"/>
    </xf>
    <xf numFmtId="0" fontId="1" fillId="0" borderId="0" xfId="0" applyFont="1" applyAlignment="1" applyProtection="1">
      <alignment vertical="center"/>
      <protection locked="0"/>
    </xf>
    <xf numFmtId="3" fontId="2" fillId="0" borderId="4" xfId="0" applyNumberFormat="1" applyFont="1" applyBorder="1" applyProtection="1">
      <protection locked="0"/>
    </xf>
    <xf numFmtId="3" fontId="2" fillId="0" borderId="21" xfId="0" applyNumberFormat="1" applyFont="1" applyBorder="1" applyProtection="1">
      <protection locked="0"/>
    </xf>
    <xf numFmtId="0" fontId="20" fillId="13" borderId="5" xfId="0" applyFont="1" applyFill="1" applyBorder="1" applyAlignment="1" applyProtection="1">
      <alignment horizontal="center" vertical="center"/>
      <protection locked="0"/>
    </xf>
    <xf numFmtId="0" fontId="1" fillId="0" borderId="30" xfId="0" applyFont="1" applyBorder="1" applyProtection="1">
      <protection locked="0"/>
    </xf>
    <xf numFmtId="0" fontId="1" fillId="0" borderId="27" xfId="0" applyFont="1" applyBorder="1" applyProtection="1">
      <protection locked="0"/>
    </xf>
    <xf numFmtId="0" fontId="1" fillId="0" borderId="28" xfId="0" applyFont="1" applyBorder="1" applyProtection="1">
      <protection locked="0"/>
    </xf>
    <xf numFmtId="3" fontId="20" fillId="13" borderId="6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26" xfId="0" applyNumberFormat="1" applyFont="1" applyBorder="1" applyProtection="1">
      <protection locked="0"/>
    </xf>
    <xf numFmtId="3" fontId="2" fillId="0" borderId="25" xfId="0" applyNumberFormat="1" applyFont="1" applyBorder="1" applyProtection="1">
      <protection locked="0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3" fontId="15" fillId="5" borderId="1" xfId="0" applyNumberFormat="1" applyFont="1" applyFill="1" applyBorder="1" applyAlignment="1">
      <alignment horizontal="right" vertical="center" wrapText="1"/>
    </xf>
    <xf numFmtId="3" fontId="15" fillId="5" borderId="1" xfId="0" applyNumberFormat="1" applyFont="1" applyFill="1" applyBorder="1" applyAlignment="1">
      <alignment horizontal="right" vertical="center"/>
    </xf>
    <xf numFmtId="3" fontId="15" fillId="5" borderId="1" xfId="0" applyNumberFormat="1" applyFont="1" applyFill="1" applyBorder="1" applyAlignment="1">
      <alignment vertical="center"/>
    </xf>
    <xf numFmtId="3" fontId="1" fillId="0" borderId="1" xfId="0" applyNumberFormat="1" applyFont="1" applyBorder="1" applyAlignment="1">
      <alignment horizontal="right" vertical="center" wrapText="1"/>
    </xf>
    <xf numFmtId="168" fontId="15" fillId="5" borderId="1" xfId="0" applyNumberFormat="1" applyFont="1" applyFill="1" applyBorder="1" applyAlignment="1">
      <alignment vertical="center" wrapText="1"/>
    </xf>
    <xf numFmtId="3" fontId="3" fillId="0" borderId="1" xfId="0" applyNumberFormat="1" applyFont="1" applyBorder="1" applyAlignment="1">
      <alignment horizontal="right" vertical="center" wrapText="1"/>
    </xf>
    <xf numFmtId="168" fontId="3" fillId="5" borderId="1" xfId="0" applyNumberFormat="1" applyFont="1" applyFill="1" applyBorder="1" applyAlignment="1">
      <alignment vertical="center" wrapText="1"/>
    </xf>
    <xf numFmtId="168" fontId="3" fillId="5" borderId="1" xfId="0" applyNumberFormat="1" applyFont="1" applyFill="1" applyBorder="1" applyAlignment="1">
      <alignment vertical="center"/>
    </xf>
    <xf numFmtId="168" fontId="15" fillId="0" borderId="1" xfId="0" applyNumberFormat="1" applyFont="1" applyBorder="1" applyAlignment="1">
      <alignment horizontal="center" vertical="center" wrapText="1"/>
    </xf>
    <xf numFmtId="41" fontId="1" fillId="0" borderId="0" xfId="14" applyFont="1" applyFill="1" applyAlignment="1" applyProtection="1">
      <alignment vertical="center"/>
      <protection locked="0"/>
    </xf>
    <xf numFmtId="0" fontId="0" fillId="9" borderId="0" xfId="0" applyFill="1" applyAlignment="1">
      <alignment horizontal="center"/>
    </xf>
    <xf numFmtId="41" fontId="25" fillId="0" borderId="0" xfId="14" applyFont="1" applyFill="1" applyAlignment="1" applyProtection="1">
      <alignment vertical="center"/>
      <protection locked="0"/>
    </xf>
    <xf numFmtId="3" fontId="1" fillId="0" borderId="0" xfId="0" applyNumberFormat="1" applyFont="1" applyAlignment="1" applyProtection="1">
      <alignment vertical="center"/>
      <protection locked="0"/>
    </xf>
    <xf numFmtId="171" fontId="1" fillId="0" borderId="0" xfId="8" applyNumberFormat="1" applyFont="1" applyBorder="1" applyAlignment="1" applyProtection="1">
      <protection locked="0"/>
    </xf>
    <xf numFmtId="3" fontId="3" fillId="9" borderId="0" xfId="0" applyNumberFormat="1" applyFont="1" applyFill="1"/>
    <xf numFmtId="3" fontId="12" fillId="9" borderId="0" xfId="0" applyNumberFormat="1" applyFont="1" applyFill="1"/>
    <xf numFmtId="10" fontId="1" fillId="0" borderId="0" xfId="7" applyNumberFormat="1" applyFont="1" applyBorder="1"/>
    <xf numFmtId="10" fontId="1" fillId="0" borderId="0" xfId="7" applyNumberFormat="1" applyFont="1"/>
    <xf numFmtId="168" fontId="1" fillId="8" borderId="10" xfId="0" applyNumberFormat="1" applyFont="1" applyFill="1" applyBorder="1" applyAlignment="1" applyProtection="1">
      <alignment vertical="center"/>
      <protection locked="0"/>
    </xf>
    <xf numFmtId="168" fontId="1" fillId="8" borderId="9" xfId="0" applyNumberFormat="1" applyFont="1" applyFill="1" applyBorder="1" applyProtection="1">
      <protection locked="0"/>
    </xf>
    <xf numFmtId="168" fontId="20" fillId="13" borderId="8" xfId="0" applyNumberFormat="1" applyFont="1" applyFill="1" applyBorder="1" applyAlignment="1" applyProtection="1">
      <alignment vertical="center"/>
      <protection locked="0"/>
    </xf>
    <xf numFmtId="168" fontId="1" fillId="0" borderId="29" xfId="0" applyNumberFormat="1" applyFont="1" applyBorder="1" applyProtection="1">
      <protection locked="0"/>
    </xf>
    <xf numFmtId="41" fontId="1" fillId="0" borderId="0" xfId="14" applyFont="1" applyFill="1" applyAlignment="1" applyProtection="1">
      <alignment vertical="center" wrapText="1"/>
      <protection locked="0"/>
    </xf>
    <xf numFmtId="41" fontId="1" fillId="9" borderId="0" xfId="0" applyNumberFormat="1" applyFont="1" applyFill="1"/>
    <xf numFmtId="41" fontId="2" fillId="9" borderId="0" xfId="14" applyFont="1" applyFill="1"/>
    <xf numFmtId="41" fontId="12" fillId="9" borderId="0" xfId="14" applyFont="1" applyFill="1"/>
    <xf numFmtId="41" fontId="22" fillId="9" borderId="0" xfId="14" applyFont="1" applyFill="1"/>
    <xf numFmtId="174" fontId="1" fillId="9" borderId="0" xfId="0" applyNumberFormat="1" applyFont="1" applyFill="1"/>
    <xf numFmtId="168" fontId="1" fillId="0" borderId="0" xfId="0" applyNumberFormat="1" applyFont="1" applyAlignment="1">
      <alignment horizontal="center"/>
    </xf>
    <xf numFmtId="10" fontId="1" fillId="0" borderId="0" xfId="7" applyNumberFormat="1" applyFont="1" applyProtection="1">
      <protection locked="0"/>
    </xf>
    <xf numFmtId="10" fontId="1" fillId="0" borderId="0" xfId="7" applyNumberFormat="1" applyFont="1" applyFill="1" applyProtection="1">
      <protection locked="0"/>
    </xf>
    <xf numFmtId="10" fontId="1" fillId="0" borderId="0" xfId="7" applyNumberFormat="1" applyFont="1" applyFill="1" applyBorder="1" applyProtection="1">
      <protection locked="0"/>
    </xf>
    <xf numFmtId="10" fontId="1" fillId="0" borderId="0" xfId="7" applyNumberFormat="1" applyFont="1" applyFill="1" applyAlignment="1" applyProtection="1">
      <alignment vertical="center"/>
      <protection locked="0"/>
    </xf>
    <xf numFmtId="10" fontId="1" fillId="0" borderId="0" xfId="7" applyNumberFormat="1" applyFont="1" applyBorder="1" applyAlignment="1">
      <alignment horizontal="right"/>
    </xf>
    <xf numFmtId="10" fontId="1" fillId="0" borderId="0" xfId="7" applyNumberFormat="1" applyFont="1" applyAlignment="1">
      <alignment horizontal="right"/>
    </xf>
    <xf numFmtId="172" fontId="1" fillId="0" borderId="0" xfId="7" applyNumberFormat="1" applyFont="1" applyBorder="1"/>
    <xf numFmtId="172" fontId="1" fillId="0" borderId="0" xfId="7" applyNumberFormat="1" applyFont="1"/>
    <xf numFmtId="41" fontId="1" fillId="0" borderId="0" xfId="14" applyFont="1" applyFill="1" applyAlignment="1">
      <alignment vertical="center"/>
    </xf>
    <xf numFmtId="167" fontId="18" fillId="9" borderId="1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3" fontId="1" fillId="0" borderId="0" xfId="14" applyNumberFormat="1" applyFont="1" applyFill="1" applyAlignment="1" applyProtection="1">
      <alignment horizontal="right"/>
      <protection locked="0"/>
    </xf>
    <xf numFmtId="3" fontId="1" fillId="0" borderId="0" xfId="14" applyNumberFormat="1" applyFont="1" applyAlignment="1" applyProtection="1">
      <alignment horizontal="right"/>
      <protection locked="0"/>
    </xf>
    <xf numFmtId="3" fontId="1" fillId="0" borderId="0" xfId="14" applyNumberFormat="1" applyFont="1" applyFill="1" applyBorder="1" applyAlignment="1" applyProtection="1">
      <alignment horizontal="right"/>
      <protection locked="0"/>
    </xf>
    <xf numFmtId="3" fontId="1" fillId="0" borderId="0" xfId="14" applyNumberFormat="1" applyFont="1" applyFill="1" applyAlignment="1" applyProtection="1">
      <alignment horizontal="right" vertical="center"/>
      <protection locked="0"/>
    </xf>
    <xf numFmtId="3" fontId="3" fillId="9" borderId="0" xfId="14" applyNumberFormat="1" applyFont="1" applyFill="1" applyBorder="1" applyAlignment="1" applyProtection="1">
      <alignment horizontal="center" vertical="center"/>
      <protection locked="0"/>
    </xf>
    <xf numFmtId="168" fontId="15" fillId="5" borderId="1" xfId="0" applyNumberFormat="1" applyFont="1" applyFill="1" applyBorder="1" applyAlignment="1">
      <alignment vertical="center"/>
    </xf>
    <xf numFmtId="41" fontId="2" fillId="9" borderId="0" xfId="0" applyNumberFormat="1" applyFont="1" applyFill="1"/>
    <xf numFmtId="174" fontId="2" fillId="9" borderId="0" xfId="0" applyNumberFormat="1" applyFont="1" applyFill="1"/>
    <xf numFmtId="10" fontId="1" fillId="0" borderId="0" xfId="0" applyNumberFormat="1" applyFont="1" applyProtection="1">
      <protection locked="0"/>
    </xf>
    <xf numFmtId="3" fontId="1" fillId="0" borderId="0" xfId="14" applyNumberFormat="1" applyFont="1" applyBorder="1" applyAlignment="1" applyProtection="1">
      <alignment horizontal="right"/>
      <protection locked="0"/>
    </xf>
    <xf numFmtId="3" fontId="1" fillId="9" borderId="0" xfId="0" applyNumberFormat="1" applyFont="1" applyFill="1" applyAlignment="1">
      <alignment horizontal="center"/>
    </xf>
    <xf numFmtId="3" fontId="12" fillId="9" borderId="0" xfId="0" applyNumberFormat="1" applyFont="1" applyFill="1" applyAlignment="1">
      <alignment horizontal="center"/>
    </xf>
    <xf numFmtId="3" fontId="15" fillId="9" borderId="1" xfId="0" applyNumberFormat="1" applyFont="1" applyFill="1" applyBorder="1" applyAlignment="1">
      <alignment horizontal="right" vertical="top" wrapText="1"/>
    </xf>
    <xf numFmtId="41" fontId="1" fillId="9" borderId="0" xfId="14" applyFont="1" applyFill="1" applyAlignment="1">
      <alignment wrapText="1"/>
    </xf>
    <xf numFmtId="3" fontId="20" fillId="13" borderId="20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17" xfId="0" applyNumberFormat="1" applyFont="1" applyBorder="1" applyProtection="1">
      <protection locked="0"/>
    </xf>
    <xf numFmtId="3" fontId="1" fillId="0" borderId="22" xfId="0" applyNumberFormat="1" applyFont="1" applyBorder="1" applyProtection="1">
      <protection locked="0"/>
    </xf>
    <xf numFmtId="172" fontId="1" fillId="9" borderId="0" xfId="14" applyNumberFormat="1" applyFont="1" applyFill="1" applyAlignment="1">
      <alignment horizontal="right"/>
    </xf>
    <xf numFmtId="3" fontId="3" fillId="9" borderId="1" xfId="14" applyNumberFormat="1" applyFont="1" applyFill="1" applyBorder="1" applyAlignment="1">
      <alignment horizontal="right" vertical="center" wrapText="1"/>
    </xf>
    <xf numFmtId="3" fontId="15" fillId="5" borderId="1" xfId="0" applyNumberFormat="1" applyFont="1" applyFill="1" applyBorder="1" applyAlignment="1">
      <alignment vertical="center" wrapText="1"/>
    </xf>
    <xf numFmtId="3" fontId="15" fillId="5" borderId="1" xfId="14" applyNumberFormat="1" applyFont="1" applyFill="1" applyBorder="1" applyAlignment="1" applyProtection="1">
      <alignment vertical="center"/>
    </xf>
    <xf numFmtId="168" fontId="3" fillId="9" borderId="1" xfId="0" applyNumberFormat="1" applyFont="1" applyFill="1" applyBorder="1" applyAlignment="1">
      <alignment vertical="center"/>
    </xf>
    <xf numFmtId="41" fontId="1" fillId="0" borderId="0" xfId="14" applyFont="1" applyFill="1" applyAlignment="1">
      <alignment horizontal="center" vertical="center"/>
    </xf>
    <xf numFmtId="41" fontId="1" fillId="0" borderId="0" xfId="14" applyFont="1" applyFill="1" applyAlignment="1">
      <alignment horizontal="center" vertical="top"/>
    </xf>
    <xf numFmtId="0" fontId="3" fillId="9" borderId="0" xfId="0" applyFont="1" applyFill="1" applyAlignment="1" applyProtection="1">
      <alignment vertical="center"/>
      <protection locked="0"/>
    </xf>
    <xf numFmtId="41" fontId="1" fillId="0" borderId="0" xfId="14" applyFont="1" applyFill="1" applyAlignment="1">
      <alignment horizontal="left" vertical="center"/>
    </xf>
    <xf numFmtId="41" fontId="1" fillId="0" borderId="0" xfId="0" applyNumberFormat="1" applyFont="1" applyAlignment="1">
      <alignment vertical="center"/>
    </xf>
    <xf numFmtId="3" fontId="2" fillId="0" borderId="24" xfId="0" applyNumberFormat="1" applyFont="1" applyBorder="1" applyProtection="1">
      <protection locked="0"/>
    </xf>
    <xf numFmtId="3" fontId="0" fillId="0" borderId="0" xfId="0" applyNumberFormat="1"/>
    <xf numFmtId="3" fontId="2" fillId="5" borderId="1" xfId="0" applyNumberFormat="1" applyFont="1" applyFill="1" applyBorder="1" applyAlignment="1">
      <alignment horizontal="right" vertical="center" wrapText="1"/>
    </xf>
    <xf numFmtId="41" fontId="1" fillId="9" borderId="0" xfId="14" applyFont="1" applyFill="1" applyAlignment="1">
      <alignment horizontal="left" vertical="center"/>
    </xf>
    <xf numFmtId="41" fontId="1" fillId="9" borderId="0" xfId="14" applyFont="1" applyFill="1" applyAlignment="1">
      <alignment vertical="center"/>
    </xf>
    <xf numFmtId="41" fontId="1" fillId="9" borderId="0" xfId="14" applyFont="1" applyFill="1" applyAlignment="1">
      <alignment horizontal="center" vertical="center"/>
    </xf>
    <xf numFmtId="41" fontId="1" fillId="9" borderId="0" xfId="0" applyNumberFormat="1" applyFont="1" applyFill="1" applyAlignment="1">
      <alignment vertical="center"/>
    </xf>
    <xf numFmtId="0" fontId="3" fillId="0" borderId="0" xfId="0" applyFont="1" applyAlignment="1" applyProtection="1">
      <alignment horizontal="left" vertical="center"/>
      <protection locked="0"/>
    </xf>
    <xf numFmtId="10" fontId="1" fillId="0" borderId="0" xfId="7" applyNumberFormat="1" applyFont="1" applyFill="1" applyAlignment="1">
      <alignment horizontal="right"/>
    </xf>
    <xf numFmtId="172" fontId="1" fillId="9" borderId="0" xfId="7" applyNumberFormat="1" applyFont="1" applyFill="1" applyAlignment="1">
      <alignment horizontal="center"/>
    </xf>
    <xf numFmtId="172" fontId="1" fillId="9" borderId="0" xfId="7" applyNumberFormat="1" applyFont="1" applyFill="1"/>
    <xf numFmtId="41" fontId="3" fillId="9" borderId="0" xfId="0" applyNumberFormat="1" applyFont="1" applyFill="1"/>
    <xf numFmtId="3" fontId="2" fillId="5" borderId="1" xfId="0" applyNumberFormat="1" applyFont="1" applyFill="1" applyBorder="1" applyAlignment="1">
      <alignment vertical="center"/>
    </xf>
    <xf numFmtId="0" fontId="3" fillId="0" borderId="0" xfId="0" applyFont="1" applyAlignment="1" applyProtection="1">
      <alignment vertical="center"/>
      <protection locked="0"/>
    </xf>
    <xf numFmtId="41" fontId="3" fillId="0" borderId="0" xfId="14" applyFont="1" applyFill="1" applyAlignment="1" applyProtection="1">
      <alignment vertical="center"/>
      <protection locked="0"/>
    </xf>
    <xf numFmtId="41" fontId="19" fillId="0" borderId="0" xfId="14" applyFont="1" applyFill="1" applyAlignment="1">
      <alignment horizontal="left" vertical="center"/>
    </xf>
    <xf numFmtId="0" fontId="19" fillId="0" borderId="0" xfId="0" applyFont="1" applyAlignment="1">
      <alignment vertical="center"/>
    </xf>
    <xf numFmtId="3" fontId="3" fillId="9" borderId="2" xfId="0" applyNumberFormat="1" applyFont="1" applyFill="1" applyBorder="1" applyAlignment="1">
      <alignment horizontal="right" vertical="top"/>
    </xf>
    <xf numFmtId="0" fontId="2" fillId="0" borderId="0" xfId="0" applyFont="1" applyAlignment="1" applyProtection="1">
      <alignment vertical="center" wrapText="1"/>
      <protection locked="0"/>
    </xf>
    <xf numFmtId="167" fontId="15" fillId="5" borderId="1" xfId="0" applyNumberFormat="1" applyFont="1" applyFill="1" applyBorder="1" applyAlignment="1">
      <alignment horizontal="center" vertical="center" wrapText="1"/>
    </xf>
    <xf numFmtId="168" fontId="1" fillId="0" borderId="0" xfId="0" applyNumberFormat="1" applyFont="1" applyAlignment="1" applyProtection="1">
      <alignment horizontal="center" vertical="center"/>
      <protection locked="0"/>
    </xf>
    <xf numFmtId="168" fontId="1" fillId="0" borderId="0" xfId="0" applyNumberFormat="1" applyFont="1" applyAlignment="1" applyProtection="1">
      <alignment horizontal="center"/>
      <protection locked="0"/>
    </xf>
    <xf numFmtId="3" fontId="3" fillId="9" borderId="1" xfId="0" applyNumberFormat="1" applyFont="1" applyFill="1" applyBorder="1" applyAlignment="1">
      <alignment horizontal="right" vertical="center" wrapText="1"/>
    </xf>
    <xf numFmtId="3" fontId="1" fillId="9" borderId="23" xfId="0" applyNumberFormat="1" applyFont="1" applyFill="1" applyBorder="1"/>
    <xf numFmtId="49" fontId="15" fillId="9" borderId="1" xfId="0" applyNumberFormat="1" applyFont="1" applyFill="1" applyBorder="1" applyAlignment="1">
      <alignment horizontal="left" vertical="top" wrapText="1"/>
    </xf>
    <xf numFmtId="3" fontId="20" fillId="13" borderId="8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29" xfId="0" applyNumberFormat="1" applyFont="1" applyBorder="1" applyProtection="1">
      <protection locked="0"/>
    </xf>
    <xf numFmtId="3" fontId="1" fillId="0" borderId="9" xfId="0" applyNumberFormat="1" applyFont="1" applyBorder="1" applyProtection="1">
      <protection locked="0"/>
    </xf>
    <xf numFmtId="3" fontId="20" fillId="13" borderId="16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18" xfId="0" applyNumberFormat="1" applyFont="1" applyBorder="1" applyProtection="1">
      <protection locked="0"/>
    </xf>
    <xf numFmtId="3" fontId="1" fillId="0" borderId="24" xfId="0" applyNumberFormat="1" applyFont="1" applyBorder="1" applyProtection="1">
      <protection locked="0"/>
    </xf>
    <xf numFmtId="3" fontId="2" fillId="0" borderId="22" xfId="0" applyNumberFormat="1" applyFont="1" applyBorder="1" applyProtection="1">
      <protection locked="0"/>
    </xf>
    <xf numFmtId="41" fontId="1" fillId="9" borderId="0" xfId="14" applyFont="1" applyFill="1" applyAlignment="1">
      <alignment horizontal="center" vertical="center" wrapText="1"/>
    </xf>
    <xf numFmtId="0" fontId="27" fillId="0" borderId="0" xfId="0" applyFont="1"/>
    <xf numFmtId="0" fontId="3" fillId="9" borderId="0" xfId="0" applyFont="1" applyFill="1"/>
    <xf numFmtId="41" fontId="3" fillId="9" borderId="0" xfId="14" applyFont="1" applyFill="1"/>
    <xf numFmtId="174" fontId="3" fillId="9" borderId="0" xfId="0" applyNumberFormat="1" applyFont="1" applyFill="1"/>
    <xf numFmtId="168" fontId="1" fillId="0" borderId="9" xfId="0" applyNumberFormat="1" applyFont="1" applyBorder="1" applyProtection="1">
      <protection locked="0"/>
    </xf>
    <xf numFmtId="3" fontId="20" fillId="13" borderId="11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12" xfId="0" applyNumberFormat="1" applyFont="1" applyBorder="1" applyProtection="1">
      <protection locked="0"/>
    </xf>
    <xf numFmtId="3" fontId="1" fillId="0" borderId="13" xfId="0" applyNumberFormat="1" applyFont="1" applyBorder="1" applyProtection="1">
      <protection locked="0"/>
    </xf>
    <xf numFmtId="168" fontId="1" fillId="8" borderId="7" xfId="0" applyNumberFormat="1" applyFont="1" applyFill="1" applyBorder="1" applyAlignment="1" applyProtection="1">
      <alignment vertical="center"/>
      <protection locked="0"/>
    </xf>
    <xf numFmtId="169" fontId="1" fillId="8" borderId="18" xfId="11" applyNumberFormat="1" applyFont="1" applyFill="1" applyBorder="1" applyAlignment="1">
      <alignment horizontal="right"/>
    </xf>
    <xf numFmtId="0" fontId="2" fillId="8" borderId="12" xfId="0" applyFont="1" applyFill="1" applyBorder="1" applyAlignment="1">
      <alignment horizontal="left"/>
    </xf>
    <xf numFmtId="0" fontId="2" fillId="8" borderId="15" xfId="0" applyFont="1" applyFill="1" applyBorder="1" applyAlignment="1">
      <alignment horizontal="left"/>
    </xf>
    <xf numFmtId="0" fontId="28" fillId="0" borderId="0" xfId="0" applyFont="1" applyAlignment="1">
      <alignment wrapText="1"/>
    </xf>
    <xf numFmtId="0" fontId="28" fillId="0" borderId="0" xfId="0" applyFont="1"/>
    <xf numFmtId="0" fontId="28" fillId="0" borderId="0" xfId="0" applyFont="1" applyAlignment="1">
      <alignment horizontal="left" vertical="center"/>
    </xf>
    <xf numFmtId="173" fontId="28" fillId="0" borderId="0" xfId="0" applyNumberFormat="1" applyFont="1" applyAlignment="1">
      <alignment horizontal="right" vertical="center"/>
    </xf>
    <xf numFmtId="41" fontId="28" fillId="0" borderId="0" xfId="0" applyNumberFormat="1" applyFont="1"/>
    <xf numFmtId="3" fontId="28" fillId="0" borderId="0" xfId="0" applyNumberFormat="1" applyFont="1"/>
    <xf numFmtId="0" fontId="29" fillId="0" borderId="0" xfId="0" applyFont="1"/>
    <xf numFmtId="3" fontId="1" fillId="0" borderId="0" xfId="0" applyNumberFormat="1" applyFont="1" applyAlignment="1">
      <alignment horizontal="center"/>
    </xf>
    <xf numFmtId="0" fontId="2" fillId="8" borderId="11" xfId="0" applyFont="1" applyFill="1" applyBorder="1" applyAlignment="1">
      <alignment horizontal="left"/>
    </xf>
    <xf numFmtId="169" fontId="1" fillId="8" borderId="20" xfId="11" applyNumberFormat="1" applyFont="1" applyFill="1" applyBorder="1" applyAlignment="1">
      <alignment horizontal="right"/>
    </xf>
    <xf numFmtId="169" fontId="1" fillId="0" borderId="0" xfId="0" applyNumberFormat="1" applyFont="1" applyAlignment="1">
      <alignment horizontal="center"/>
    </xf>
    <xf numFmtId="0" fontId="28" fillId="20" borderId="0" xfId="0" applyFont="1" applyFill="1" applyAlignment="1">
      <alignment horizontal="center" vertical="center" wrapText="1"/>
    </xf>
    <xf numFmtId="0" fontId="28" fillId="14" borderId="0" xfId="0" applyFont="1" applyFill="1" applyAlignment="1">
      <alignment horizontal="center" vertical="center"/>
    </xf>
    <xf numFmtId="173" fontId="28" fillId="14" borderId="0" xfId="0" applyNumberFormat="1" applyFont="1" applyFill="1" applyAlignment="1">
      <alignment horizontal="right" vertical="center"/>
    </xf>
    <xf numFmtId="0" fontId="28" fillId="14" borderId="0" xfId="0" applyFont="1" applyFill="1" applyAlignment="1">
      <alignment horizontal="left" vertical="center"/>
    </xf>
    <xf numFmtId="0" fontId="29" fillId="0" borderId="0" xfId="0" applyFont="1" applyAlignment="1">
      <alignment horizontal="left"/>
    </xf>
    <xf numFmtId="0" fontId="29" fillId="14" borderId="0" xfId="0" applyFont="1" applyFill="1" applyAlignment="1">
      <alignment horizontal="center" vertical="center"/>
    </xf>
    <xf numFmtId="173" fontId="29" fillId="14" borderId="0" xfId="0" applyNumberFormat="1" applyFont="1" applyFill="1" applyAlignment="1">
      <alignment horizontal="right" vertical="center"/>
    </xf>
    <xf numFmtId="41" fontId="29" fillId="9" borderId="0" xfId="14" applyFont="1" applyFill="1" applyAlignment="1"/>
    <xf numFmtId="41" fontId="29" fillId="0" borderId="0" xfId="14" applyFont="1" applyAlignment="1"/>
    <xf numFmtId="175" fontId="29" fillId="9" borderId="0" xfId="14" applyNumberFormat="1" applyFont="1" applyFill="1" applyAlignment="1"/>
    <xf numFmtId="0" fontId="31" fillId="19" borderId="31" xfId="0" applyFont="1" applyFill="1" applyBorder="1" applyAlignment="1">
      <alignment horizontal="center" vertical="center"/>
    </xf>
    <xf numFmtId="173" fontId="31" fillId="19" borderId="31" xfId="0" applyNumberFormat="1" applyFont="1" applyFill="1" applyBorder="1" applyAlignment="1">
      <alignment horizontal="right" vertical="center"/>
    </xf>
    <xf numFmtId="0" fontId="28" fillId="0" borderId="0" xfId="0" applyFont="1" applyAlignment="1">
      <alignment horizontal="center" vertical="center"/>
    </xf>
    <xf numFmtId="0" fontId="29" fillId="14" borderId="0" xfId="0" applyFont="1" applyFill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41" fontId="29" fillId="0" borderId="0" xfId="14" applyFont="1"/>
    <xf numFmtId="41" fontId="29" fillId="0" borderId="0" xfId="0" applyNumberFormat="1" applyFont="1"/>
    <xf numFmtId="0" fontId="2" fillId="8" borderId="13" xfId="0" applyFont="1" applyFill="1" applyBorder="1"/>
    <xf numFmtId="169" fontId="2" fillId="8" borderId="22" xfId="11" applyNumberFormat="1" applyFont="1" applyFill="1" applyBorder="1" applyAlignment="1">
      <alignment horizontal="right"/>
    </xf>
    <xf numFmtId="3" fontId="20" fillId="11" borderId="1" xfId="2" applyNumberFormat="1" applyFont="1" applyFill="1" applyBorder="1" applyAlignment="1" applyProtection="1">
      <alignment vertical="center" wrapText="1"/>
    </xf>
    <xf numFmtId="3" fontId="20" fillId="11" borderId="1" xfId="14" applyNumberFormat="1" applyFont="1" applyFill="1" applyBorder="1" applyAlignment="1" applyProtection="1">
      <alignment vertical="center"/>
    </xf>
    <xf numFmtId="0" fontId="13" fillId="0" borderId="0" xfId="0" applyFont="1" applyAlignment="1">
      <alignment horizontal="left" vertical="center"/>
    </xf>
    <xf numFmtId="168" fontId="15" fillId="5" borderId="1" xfId="0" applyNumberFormat="1" applyFont="1" applyFill="1" applyBorder="1" applyAlignment="1">
      <alignment horizontal="center" vertical="center"/>
    </xf>
    <xf numFmtId="3" fontId="1" fillId="0" borderId="1" xfId="14" applyNumberFormat="1" applyFont="1" applyFill="1" applyBorder="1" applyAlignment="1">
      <alignment vertical="center"/>
    </xf>
    <xf numFmtId="3" fontId="1" fillId="0" borderId="0" xfId="14" applyNumberFormat="1" applyFont="1" applyBorder="1"/>
    <xf numFmtId="3" fontId="1" fillId="0" borderId="0" xfId="14" applyNumberFormat="1" applyFont="1" applyFill="1"/>
    <xf numFmtId="3" fontId="1" fillId="0" borderId="0" xfId="14" applyNumberFormat="1" applyFont="1"/>
    <xf numFmtId="168" fontId="2" fillId="5" borderId="1" xfId="0" applyNumberFormat="1" applyFont="1" applyFill="1" applyBorder="1" applyAlignment="1">
      <alignment horizontal="center" vertical="center" wrapText="1"/>
    </xf>
    <xf numFmtId="168" fontId="1" fillId="5" borderId="1" xfId="0" applyNumberFormat="1" applyFont="1" applyFill="1" applyBorder="1" applyAlignment="1">
      <alignment horizontal="center" vertical="center" wrapText="1"/>
    </xf>
    <xf numFmtId="168" fontId="1" fillId="0" borderId="0" xfId="0" applyNumberFormat="1" applyFont="1" applyAlignment="1">
      <alignment horizontal="center" vertical="center"/>
    </xf>
    <xf numFmtId="172" fontId="3" fillId="9" borderId="1" xfId="7" applyNumberFormat="1" applyFont="1" applyFill="1" applyBorder="1" applyAlignment="1">
      <alignment horizontal="center" vertical="center" wrapText="1"/>
    </xf>
    <xf numFmtId="41" fontId="3" fillId="9" borderId="0" xfId="0" applyNumberFormat="1" applyFont="1" applyFill="1" applyAlignment="1">
      <alignment vertical="center"/>
    </xf>
    <xf numFmtId="41" fontId="1" fillId="0" borderId="0" xfId="14" applyFont="1" applyAlignment="1" applyProtection="1">
      <alignment vertical="center"/>
      <protection locked="0"/>
    </xf>
    <xf numFmtId="0" fontId="1" fillId="9" borderId="0" xfId="0" applyFont="1" applyFill="1" applyAlignment="1" applyProtection="1">
      <alignment vertical="center"/>
      <protection locked="0"/>
    </xf>
    <xf numFmtId="0" fontId="1" fillId="9" borderId="0" xfId="0" applyFont="1" applyFill="1" applyAlignment="1" applyProtection="1">
      <alignment horizontal="center" vertical="center"/>
      <protection locked="0"/>
    </xf>
    <xf numFmtId="41" fontId="1" fillId="9" borderId="0" xfId="14" applyFont="1" applyFill="1" applyAlignment="1" applyProtection="1">
      <alignment vertical="center"/>
      <protection locked="0"/>
    </xf>
    <xf numFmtId="3" fontId="3" fillId="9" borderId="1" xfId="0" applyNumberFormat="1" applyFont="1" applyFill="1" applyBorder="1" applyAlignment="1">
      <alignment vertical="center" wrapText="1"/>
    </xf>
    <xf numFmtId="3" fontId="3" fillId="9" borderId="1" xfId="14" applyNumberFormat="1" applyFont="1" applyFill="1" applyBorder="1" applyAlignment="1" applyProtection="1">
      <alignment vertical="center"/>
    </xf>
    <xf numFmtId="3" fontId="1" fillId="9" borderId="1" xfId="0" applyNumberFormat="1" applyFont="1" applyFill="1" applyBorder="1" applyAlignment="1">
      <alignment vertical="center" wrapText="1"/>
    </xf>
    <xf numFmtId="3" fontId="1" fillId="9" borderId="1" xfId="0" applyNumberFormat="1" applyFont="1" applyFill="1" applyBorder="1" applyAlignment="1">
      <alignment horizontal="right" vertical="center" wrapText="1"/>
    </xf>
    <xf numFmtId="41" fontId="3" fillId="9" borderId="1" xfId="14" applyFont="1" applyFill="1" applyBorder="1" applyAlignment="1" applyProtection="1">
      <protection locked="0"/>
    </xf>
    <xf numFmtId="3" fontId="3" fillId="9" borderId="1" xfId="0" applyNumberFormat="1" applyFont="1" applyFill="1" applyBorder="1" applyAlignment="1">
      <alignment horizontal="right" vertical="center"/>
    </xf>
    <xf numFmtId="3" fontId="3" fillId="9" borderId="1" xfId="0" applyNumberFormat="1" applyFont="1" applyFill="1" applyBorder="1" applyAlignment="1">
      <alignment vertical="center"/>
    </xf>
    <xf numFmtId="3" fontId="1" fillId="9" borderId="1" xfId="0" applyNumberFormat="1" applyFont="1" applyFill="1" applyBorder="1" applyAlignment="1">
      <alignment vertical="center"/>
    </xf>
    <xf numFmtId="168" fontId="3" fillId="9" borderId="1" xfId="0" applyNumberFormat="1" applyFont="1" applyFill="1" applyBorder="1" applyAlignment="1">
      <alignment horizontal="center" vertical="center" wrapText="1"/>
    </xf>
    <xf numFmtId="168" fontId="3" fillId="9" borderId="1" xfId="0" applyNumberFormat="1" applyFont="1" applyFill="1" applyBorder="1" applyAlignment="1">
      <alignment vertical="center" wrapText="1"/>
    </xf>
    <xf numFmtId="0" fontId="30" fillId="0" borderId="0" xfId="0" applyFont="1"/>
    <xf numFmtId="41" fontId="29" fillId="0" borderId="0" xfId="14" applyFont="1" applyBorder="1"/>
    <xf numFmtId="41" fontId="29" fillId="9" borderId="0" xfId="14" applyFont="1" applyFill="1" applyBorder="1" applyAlignment="1"/>
    <xf numFmtId="173" fontId="28" fillId="19" borderId="0" xfId="0" applyNumberFormat="1" applyFont="1" applyFill="1" applyAlignment="1">
      <alignment horizontal="right" vertical="center"/>
    </xf>
    <xf numFmtId="41" fontId="29" fillId="0" borderId="0" xfId="14" applyFont="1" applyBorder="1" applyAlignment="1"/>
    <xf numFmtId="41" fontId="28" fillId="14" borderId="0" xfId="14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8" fillId="14" borderId="0" xfId="0" applyFont="1" applyFill="1" applyAlignment="1">
      <alignment horizontal="center" vertical="center" wrapText="1"/>
    </xf>
    <xf numFmtId="173" fontId="28" fillId="14" borderId="0" xfId="0" applyNumberFormat="1" applyFont="1" applyFill="1" applyAlignment="1">
      <alignment horizontal="right" vertical="center" wrapText="1"/>
    </xf>
    <xf numFmtId="0" fontId="28" fillId="14" borderId="0" xfId="0" applyFont="1" applyFill="1" applyAlignment="1">
      <alignment horizontal="left" vertical="center" wrapText="1"/>
    </xf>
    <xf numFmtId="173" fontId="29" fillId="0" borderId="0" xfId="0" applyNumberFormat="1" applyFont="1"/>
    <xf numFmtId="3" fontId="29" fillId="0" borderId="0" xfId="0" applyNumberFormat="1" applyFont="1"/>
    <xf numFmtId="0" fontId="28" fillId="0" borderId="0" xfId="0" applyFont="1" applyAlignment="1">
      <alignment horizontal="center"/>
    </xf>
    <xf numFmtId="41" fontId="28" fillId="9" borderId="0" xfId="14" applyFont="1" applyFill="1" applyBorder="1" applyAlignment="1"/>
    <xf numFmtId="41" fontId="28" fillId="0" borderId="0" xfId="14" applyFont="1" applyBorder="1" applyAlignment="1"/>
    <xf numFmtId="41" fontId="28" fillId="0" borderId="0" xfId="14" applyFont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41" fontId="28" fillId="9" borderId="0" xfId="0" applyNumberFormat="1" applyFont="1" applyFill="1"/>
    <xf numFmtId="173" fontId="28" fillId="0" borderId="0" xfId="0" applyNumberFormat="1" applyFont="1"/>
    <xf numFmtId="0" fontId="1" fillId="9" borderId="0" xfId="0" applyFont="1" applyFill="1" applyProtection="1">
      <protection locked="0"/>
    </xf>
    <xf numFmtId="3" fontId="1" fillId="9" borderId="0" xfId="0" applyNumberFormat="1" applyFont="1" applyFill="1" applyProtection="1">
      <protection locked="0"/>
    </xf>
    <xf numFmtId="3" fontId="3" fillId="0" borderId="1" xfId="0" applyNumberFormat="1" applyFont="1" applyBorder="1" applyAlignment="1">
      <alignment horizontal="right" vertical="center"/>
    </xf>
    <xf numFmtId="3" fontId="3" fillId="9" borderId="1" xfId="7" applyNumberFormat="1" applyFont="1" applyFill="1" applyBorder="1" applyAlignment="1" applyProtection="1">
      <alignment horizontal="right" vertical="center" wrapText="1"/>
    </xf>
    <xf numFmtId="3" fontId="3" fillId="9" borderId="1" xfId="8" applyNumberFormat="1" applyFont="1" applyFill="1" applyBorder="1" applyAlignment="1" applyProtection="1">
      <alignment horizontal="right" vertical="center"/>
      <protection locked="0"/>
    </xf>
    <xf numFmtId="3" fontId="3" fillId="9" borderId="1" xfId="0" applyNumberFormat="1" applyFont="1" applyFill="1" applyBorder="1" applyAlignment="1" applyProtection="1">
      <alignment vertical="center"/>
      <protection locked="0"/>
    </xf>
    <xf numFmtId="41" fontId="30" fillId="0" borderId="0" xfId="14" applyFont="1" applyBorder="1" applyAlignment="1"/>
    <xf numFmtId="0" fontId="27" fillId="20" borderId="0" xfId="0" applyFont="1" applyFill="1" applyAlignment="1">
      <alignment horizontal="center" vertical="center" wrapText="1"/>
    </xf>
    <xf numFmtId="0" fontId="27" fillId="20" borderId="0" xfId="0" applyFont="1" applyFill="1" applyAlignment="1">
      <alignment horizontal="left" vertical="center" wrapText="1"/>
    </xf>
    <xf numFmtId="0" fontId="30" fillId="0" borderId="0" xfId="0" applyFont="1" applyAlignment="1">
      <alignment wrapText="1"/>
    </xf>
    <xf numFmtId="0" fontId="33" fillId="20" borderId="0" xfId="0" applyFont="1" applyFill="1" applyAlignment="1">
      <alignment horizontal="center" vertical="center" wrapText="1"/>
    </xf>
    <xf numFmtId="0" fontId="33" fillId="20" borderId="0" xfId="0" applyFont="1" applyFill="1" applyAlignment="1">
      <alignment horizontal="left" vertical="center" wrapText="1"/>
    </xf>
    <xf numFmtId="41" fontId="27" fillId="20" borderId="0" xfId="14" applyFont="1" applyFill="1" applyBorder="1" applyAlignment="1">
      <alignment horizontal="center" vertical="center" wrapText="1"/>
    </xf>
    <xf numFmtId="0" fontId="32" fillId="19" borderId="0" xfId="0" applyFont="1" applyFill="1" applyAlignment="1">
      <alignment horizontal="center" vertical="center"/>
    </xf>
    <xf numFmtId="0" fontId="32" fillId="19" borderId="0" xfId="0" applyFont="1" applyFill="1" applyAlignment="1">
      <alignment horizontal="left" vertical="center"/>
    </xf>
    <xf numFmtId="173" fontId="32" fillId="19" borderId="0" xfId="0" applyNumberFormat="1" applyFont="1" applyFill="1" applyAlignment="1">
      <alignment horizontal="right" vertical="center"/>
    </xf>
    <xf numFmtId="0" fontId="32" fillId="9" borderId="0" xfId="0" applyFont="1" applyFill="1" applyAlignment="1">
      <alignment horizontal="center" vertical="center"/>
    </xf>
    <xf numFmtId="0" fontId="32" fillId="9" borderId="0" xfId="0" applyFont="1" applyFill="1" applyAlignment="1">
      <alignment horizontal="left" vertical="center"/>
    </xf>
    <xf numFmtId="173" fontId="32" fillId="9" borderId="0" xfId="0" applyNumberFormat="1" applyFont="1" applyFill="1" applyAlignment="1">
      <alignment horizontal="right" vertical="center"/>
    </xf>
    <xf numFmtId="173" fontId="28" fillId="14" borderId="0" xfId="0" applyNumberFormat="1" applyFont="1" applyFill="1" applyAlignment="1">
      <alignment horizontal="center" vertical="center"/>
    </xf>
    <xf numFmtId="0" fontId="28" fillId="14" borderId="0" xfId="0" applyFont="1" applyFill="1" applyAlignment="1">
      <alignment vertical="center"/>
    </xf>
    <xf numFmtId="0" fontId="28" fillId="14" borderId="0" xfId="0" applyFont="1" applyFill="1" applyAlignment="1">
      <alignment horizontal="left" vertical="top"/>
    </xf>
    <xf numFmtId="0" fontId="28" fillId="14" borderId="0" xfId="0" applyFont="1" applyFill="1" applyAlignment="1">
      <alignment horizontal="left" vertical="top" wrapText="1"/>
    </xf>
    <xf numFmtId="0" fontId="29" fillId="0" borderId="0" xfId="0" applyFont="1" applyAlignment="1">
      <alignment horizontal="left" vertical="top"/>
    </xf>
    <xf numFmtId="0" fontId="29" fillId="0" borderId="0" xfId="0" applyFont="1" applyAlignment="1">
      <alignment vertical="top"/>
    </xf>
    <xf numFmtId="168" fontId="3" fillId="9" borderId="1" xfId="0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horizontal="center"/>
    </xf>
    <xf numFmtId="41" fontId="1" fillId="0" borderId="0" xfId="14" applyFont="1" applyFill="1" applyBorder="1"/>
    <xf numFmtId="41" fontId="3" fillId="9" borderId="0" xfId="14" applyFont="1" applyFill="1" applyAlignment="1">
      <alignment horizontal="center" vertical="center" wrapText="1"/>
    </xf>
    <xf numFmtId="41" fontId="3" fillId="9" borderId="1" xfId="14" applyFont="1" applyFill="1" applyBorder="1" applyAlignment="1">
      <alignment vertical="center" wrapText="1"/>
    </xf>
    <xf numFmtId="3" fontId="15" fillId="5" borderId="1" xfId="14" applyNumberFormat="1" applyFont="1" applyFill="1" applyBorder="1" applyAlignment="1">
      <alignment vertical="center" wrapText="1"/>
    </xf>
    <xf numFmtId="3" fontId="15" fillId="5" borderId="1" xfId="14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168" fontId="10" fillId="5" borderId="1" xfId="0" applyNumberFormat="1" applyFont="1" applyFill="1" applyBorder="1" applyAlignment="1">
      <alignment horizontal="center" vertical="center" wrapText="1"/>
    </xf>
    <xf numFmtId="3" fontId="15" fillId="5" borderId="1" xfId="14" applyNumberFormat="1" applyFont="1" applyFill="1" applyBorder="1" applyAlignment="1" applyProtection="1">
      <alignment horizontal="right" vertical="center" wrapText="1"/>
    </xf>
    <xf numFmtId="3" fontId="1" fillId="9" borderId="1" xfId="14" applyNumberFormat="1" applyFont="1" applyFill="1" applyBorder="1" applyAlignment="1">
      <alignment horizontal="right" vertical="center" wrapText="1"/>
    </xf>
    <xf numFmtId="3" fontId="1" fillId="9" borderId="1" xfId="14" applyNumberFormat="1" applyFont="1" applyFill="1" applyBorder="1" applyAlignment="1">
      <alignment vertical="center" wrapText="1"/>
    </xf>
    <xf numFmtId="3" fontId="10" fillId="5" borderId="1" xfId="14" applyNumberFormat="1" applyFont="1" applyFill="1" applyBorder="1" applyAlignment="1">
      <alignment vertical="center" wrapText="1"/>
    </xf>
    <xf numFmtId="3" fontId="2" fillId="5" borderId="1" xfId="0" applyNumberFormat="1" applyFont="1" applyFill="1" applyBorder="1" applyAlignment="1">
      <alignment horizontal="right" vertical="center"/>
    </xf>
    <xf numFmtId="168" fontId="9" fillId="9" borderId="1" xfId="0" applyNumberFormat="1" applyFont="1" applyFill="1" applyBorder="1" applyAlignment="1">
      <alignment vertical="center" wrapText="1"/>
    </xf>
    <xf numFmtId="168" fontId="9" fillId="9" borderId="1" xfId="0" applyNumberFormat="1" applyFont="1" applyFill="1" applyBorder="1" applyAlignment="1">
      <alignment horizontal="center" vertical="center" wrapText="1"/>
    </xf>
    <xf numFmtId="3" fontId="3" fillId="9" borderId="1" xfId="14" applyNumberFormat="1" applyFont="1" applyFill="1" applyBorder="1" applyAlignment="1">
      <alignment vertical="center" wrapText="1"/>
    </xf>
    <xf numFmtId="3" fontId="9" fillId="9" borderId="1" xfId="14" applyNumberFormat="1" applyFont="1" applyFill="1" applyBorder="1" applyAlignment="1">
      <alignment vertical="center" wrapText="1"/>
    </xf>
    <xf numFmtId="3" fontId="1" fillId="9" borderId="1" xfId="14" applyNumberFormat="1" applyFont="1" applyFill="1" applyBorder="1" applyAlignment="1">
      <alignment horizontal="right" vertical="center"/>
    </xf>
    <xf numFmtId="0" fontId="1" fillId="9" borderId="0" xfId="0" applyFont="1" applyFill="1" applyAlignment="1">
      <alignment vertical="center"/>
    </xf>
    <xf numFmtId="3" fontId="2" fillId="5" borderId="1" xfId="14" applyNumberFormat="1" applyFont="1" applyFill="1" applyBorder="1" applyAlignment="1">
      <alignment horizontal="right" vertical="center" wrapText="1"/>
    </xf>
    <xf numFmtId="168" fontId="10" fillId="5" borderId="1" xfId="0" applyNumberFormat="1" applyFont="1" applyFill="1" applyBorder="1" applyAlignment="1">
      <alignment horizontal="center" vertical="center"/>
    </xf>
    <xf numFmtId="3" fontId="2" fillId="5" borderId="1" xfId="14" applyNumberFormat="1" applyFont="1" applyFill="1" applyBorder="1" applyAlignment="1">
      <alignment horizontal="right" vertical="center"/>
    </xf>
    <xf numFmtId="168" fontId="9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right" vertical="center"/>
    </xf>
    <xf numFmtId="3" fontId="1" fillId="9" borderId="1" xfId="14" applyNumberFormat="1" applyFont="1" applyFill="1" applyBorder="1" applyAlignment="1" applyProtection="1">
      <alignment horizontal="right" vertical="center" wrapText="1"/>
    </xf>
    <xf numFmtId="3" fontId="1" fillId="9" borderId="1" xfId="0" applyNumberFormat="1" applyFont="1" applyFill="1" applyBorder="1" applyAlignment="1">
      <alignment horizontal="right" vertical="center"/>
    </xf>
    <xf numFmtId="0" fontId="1" fillId="9" borderId="1" xfId="0" applyFont="1" applyFill="1" applyBorder="1" applyAlignment="1">
      <alignment vertical="center"/>
    </xf>
    <xf numFmtId="0" fontId="3" fillId="9" borderId="0" xfId="0" applyFont="1" applyFill="1" applyAlignment="1">
      <alignment vertical="center"/>
    </xf>
    <xf numFmtId="3" fontId="3" fillId="9" borderId="1" xfId="14" applyNumberFormat="1" applyFont="1" applyFill="1" applyBorder="1" applyAlignment="1">
      <alignment horizontal="right" vertical="center"/>
    </xf>
    <xf numFmtId="168" fontId="1" fillId="9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41" fontId="15" fillId="5" borderId="1" xfId="7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horizontal="right" vertical="center"/>
    </xf>
    <xf numFmtId="41" fontId="1" fillId="0" borderId="0" xfId="14" applyFont="1" applyAlignment="1">
      <alignment horizontal="right" vertical="center"/>
    </xf>
    <xf numFmtId="1" fontId="1" fillId="0" borderId="0" xfId="14" applyNumberFormat="1" applyFont="1" applyAlignment="1">
      <alignment horizontal="right" vertical="center"/>
    </xf>
    <xf numFmtId="172" fontId="1" fillId="0" borderId="0" xfId="7" applyNumberFormat="1" applyFont="1" applyFill="1" applyAlignment="1">
      <alignment horizontal="center" vertical="center"/>
    </xf>
    <xf numFmtId="10" fontId="1" fillId="0" borderId="0" xfId="7" applyNumberFormat="1" applyFont="1" applyFill="1" applyAlignment="1">
      <alignment horizontal="center" vertical="center"/>
    </xf>
    <xf numFmtId="3" fontId="1" fillId="0" borderId="0" xfId="14" applyNumberFormat="1" applyFont="1" applyFill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10" fontId="1" fillId="0" borderId="0" xfId="7" applyNumberFormat="1" applyFont="1" applyFill="1" applyBorder="1" applyAlignment="1">
      <alignment horizontal="center" vertical="center"/>
    </xf>
    <xf numFmtId="172" fontId="1" fillId="0" borderId="0" xfId="7" applyNumberFormat="1" applyFont="1" applyFill="1" applyBorder="1" applyAlignment="1">
      <alignment horizontal="center" vertical="center"/>
    </xf>
    <xf numFmtId="3" fontId="1" fillId="0" borderId="0" xfId="14" applyNumberFormat="1" applyFont="1" applyFill="1" applyBorder="1" applyAlignment="1">
      <alignment horizontal="right" vertical="center"/>
    </xf>
    <xf numFmtId="0" fontId="28" fillId="9" borderId="0" xfId="0" applyFont="1" applyFill="1"/>
    <xf numFmtId="0" fontId="1" fillId="9" borderId="0" xfId="0" applyFont="1" applyFill="1" applyAlignment="1" applyProtection="1">
      <alignment horizontal="center" vertical="center" wrapText="1"/>
      <protection locked="0"/>
    </xf>
    <xf numFmtId="168" fontId="12" fillId="9" borderId="1" xfId="0" applyNumberFormat="1" applyFont="1" applyFill="1" applyBorder="1" applyAlignment="1">
      <alignment horizontal="center" vertical="center" wrapText="1"/>
    </xf>
    <xf numFmtId="168" fontId="1" fillId="9" borderId="1" xfId="0" applyNumberFormat="1" applyFont="1" applyFill="1" applyBorder="1" applyAlignment="1">
      <alignment horizontal="right" vertical="center" wrapText="1"/>
    </xf>
    <xf numFmtId="167" fontId="1" fillId="9" borderId="1" xfId="0" applyNumberFormat="1" applyFont="1" applyFill="1" applyBorder="1" applyAlignment="1">
      <alignment horizontal="center" vertical="center" wrapText="1"/>
    </xf>
    <xf numFmtId="0" fontId="28" fillId="9" borderId="0" xfId="0" applyFont="1" applyFill="1" applyAlignment="1">
      <alignment horizontal="center" vertical="center"/>
    </xf>
    <xf numFmtId="41" fontId="28" fillId="0" borderId="0" xfId="14" applyFont="1"/>
    <xf numFmtId="41" fontId="27" fillId="0" borderId="0" xfId="14" applyFont="1" applyBorder="1" applyAlignment="1"/>
    <xf numFmtId="0" fontId="28" fillId="14" borderId="0" xfId="0" applyFont="1" applyFill="1" applyAlignment="1">
      <alignment horizontal="center" vertical="top" wrapText="1"/>
    </xf>
    <xf numFmtId="41" fontId="30" fillId="0" borderId="0" xfId="14" applyFont="1"/>
    <xf numFmtId="0" fontId="27" fillId="21" borderId="0" xfId="0" applyFont="1" applyFill="1" applyAlignment="1">
      <alignment horizontal="center" vertical="center" wrapText="1"/>
    </xf>
    <xf numFmtId="0" fontId="27" fillId="21" borderId="0" xfId="0" applyFont="1" applyFill="1" applyAlignment="1">
      <alignment horizontal="left" vertical="center" wrapText="1"/>
    </xf>
    <xf numFmtId="41" fontId="27" fillId="21" borderId="0" xfId="14" applyFont="1" applyFill="1" applyBorder="1" applyAlignment="1">
      <alignment horizontal="center" vertical="center" wrapText="1"/>
    </xf>
    <xf numFmtId="0" fontId="28" fillId="2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173" fontId="13" fillId="0" borderId="0" xfId="0" applyNumberFormat="1" applyFont="1" applyAlignment="1">
      <alignment horizontal="right" vertical="center"/>
    </xf>
    <xf numFmtId="41" fontId="29" fillId="0" borderId="0" xfId="14" applyFont="1" applyFill="1" applyAlignment="1"/>
    <xf numFmtId="0" fontId="17" fillId="20" borderId="0" xfId="0" applyFont="1" applyFill="1" applyAlignment="1">
      <alignment horizontal="center" vertical="center" wrapText="1"/>
    </xf>
    <xf numFmtId="0" fontId="34" fillId="0" borderId="0" xfId="0" applyFont="1" applyAlignment="1">
      <alignment wrapText="1"/>
    </xf>
    <xf numFmtId="0" fontId="13" fillId="14" borderId="0" xfId="0" applyFont="1" applyFill="1" applyAlignment="1">
      <alignment horizontal="left" vertical="center"/>
    </xf>
    <xf numFmtId="172" fontId="1" fillId="9" borderId="0" xfId="0" applyNumberFormat="1" applyFont="1" applyFill="1" applyAlignment="1">
      <alignment horizontal="center"/>
    </xf>
    <xf numFmtId="172" fontId="12" fillId="9" borderId="0" xfId="0" applyNumberFormat="1" applyFont="1" applyFill="1" applyAlignment="1">
      <alignment horizontal="center"/>
    </xf>
    <xf numFmtId="172" fontId="12" fillId="9" borderId="0" xfId="7" applyNumberFormat="1" applyFont="1" applyFill="1" applyAlignment="1">
      <alignment horizontal="center"/>
    </xf>
    <xf numFmtId="172" fontId="1" fillId="9" borderId="0" xfId="7" applyNumberFormat="1" applyFont="1" applyFill="1" applyAlignment="1">
      <alignment horizontal="right"/>
    </xf>
    <xf numFmtId="49" fontId="15" fillId="5" borderId="1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/>
    </xf>
    <xf numFmtId="0" fontId="36" fillId="9" borderId="0" xfId="0" applyFont="1" applyFill="1" applyAlignment="1">
      <alignment horizontal="left" vertical="center"/>
    </xf>
    <xf numFmtId="173" fontId="36" fillId="9" borderId="0" xfId="0" applyNumberFormat="1" applyFont="1" applyFill="1" applyAlignment="1">
      <alignment horizontal="right" vertical="center"/>
    </xf>
    <xf numFmtId="0" fontId="36" fillId="9" borderId="0" xfId="0" applyFont="1" applyFill="1"/>
    <xf numFmtId="0" fontId="3" fillId="9" borderId="1" xfId="0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3" fontId="3" fillId="9" borderId="1" xfId="2" applyNumberFormat="1" applyFont="1" applyFill="1" applyBorder="1" applyAlignment="1" applyProtection="1">
      <alignment horizontal="right" vertical="center"/>
    </xf>
    <xf numFmtId="3" fontId="1" fillId="9" borderId="1" xfId="14" applyNumberFormat="1" applyFont="1" applyFill="1" applyBorder="1" applyAlignment="1">
      <alignment vertical="center"/>
    </xf>
    <xf numFmtId="10" fontId="15" fillId="5" borderId="1" xfId="7" applyNumberFormat="1" applyFont="1" applyFill="1" applyBorder="1" applyAlignment="1">
      <alignment horizontal="center" vertical="center" wrapText="1"/>
    </xf>
    <xf numFmtId="10" fontId="3" fillId="9" borderId="1" xfId="7" applyNumberFormat="1" applyFont="1" applyFill="1" applyBorder="1" applyAlignment="1">
      <alignment horizontal="center" vertical="center" wrapText="1"/>
    </xf>
    <xf numFmtId="10" fontId="1" fillId="9" borderId="1" xfId="7" applyNumberFormat="1" applyFont="1" applyFill="1" applyBorder="1" applyAlignment="1">
      <alignment horizontal="center" vertical="center"/>
    </xf>
    <xf numFmtId="3" fontId="2" fillId="5" borderId="1" xfId="0" applyNumberFormat="1" applyFont="1" applyFill="1" applyBorder="1" applyAlignment="1">
      <alignment vertical="center" wrapText="1"/>
    </xf>
    <xf numFmtId="0" fontId="15" fillId="9" borderId="1" xfId="0" applyFont="1" applyFill="1" applyBorder="1" applyAlignment="1">
      <alignment horizontal="left" vertical="top" wrapText="1"/>
    </xf>
    <xf numFmtId="0" fontId="15" fillId="9" borderId="1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vertical="top"/>
    </xf>
    <xf numFmtId="0" fontId="3" fillId="9" borderId="1" xfId="0" applyFont="1" applyFill="1" applyBorder="1" applyAlignment="1">
      <alignment horizontal="left" vertical="top"/>
    </xf>
    <xf numFmtId="0" fontId="3" fillId="9" borderId="1" xfId="0" applyFont="1" applyFill="1" applyBorder="1" applyAlignment="1">
      <alignment horizontal="left" vertical="top"/>
      <extLst>
        <ext xmlns:xfpb="http://schemas.microsoft.com/office/spreadsheetml/2022/featurepropertybag" uri="{C7286773-470A-42A8-94C5-96B5CB345126}">
          <xfpb:xfComplement i="0"/>
        </ext>
      </extLst>
    </xf>
    <xf numFmtId="0" fontId="1" fillId="9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vertical="center" wrapText="1"/>
    </xf>
    <xf numFmtId="167" fontId="15" fillId="5" borderId="1" xfId="0" applyNumberFormat="1" applyFont="1" applyFill="1" applyBorder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7" fontId="3" fillId="9" borderId="1" xfId="0" applyNumberFormat="1" applyFont="1" applyFill="1" applyBorder="1" applyAlignment="1">
      <alignment horizontal="center" vertical="center" wrapText="1"/>
    </xf>
    <xf numFmtId="3" fontId="3" fillId="9" borderId="1" xfId="0" applyNumberFormat="1" applyFont="1" applyFill="1" applyBorder="1" applyAlignment="1">
      <alignment horizontal="right"/>
    </xf>
    <xf numFmtId="3" fontId="3" fillId="9" borderId="1" xfId="14" applyNumberFormat="1" applyFont="1" applyFill="1" applyBorder="1" applyAlignment="1">
      <alignment horizontal="right" vertical="top" wrapText="1"/>
    </xf>
    <xf numFmtId="3" fontId="3" fillId="9" borderId="1" xfId="14" applyNumberFormat="1" applyFont="1" applyFill="1" applyBorder="1" applyAlignment="1">
      <alignment horizontal="right"/>
    </xf>
    <xf numFmtId="168" fontId="3" fillId="9" borderId="1" xfId="0" applyNumberFormat="1" applyFont="1" applyFill="1" applyBorder="1" applyAlignment="1">
      <alignment vertical="top"/>
    </xf>
    <xf numFmtId="0" fontId="9" fillId="9" borderId="1" xfId="0" applyFont="1" applyFill="1" applyBorder="1" applyAlignment="1">
      <alignment horizontal="left" vertical="center"/>
    </xf>
    <xf numFmtId="3" fontId="9" fillId="9" borderId="1" xfId="0" applyNumberFormat="1" applyFont="1" applyFill="1" applyBorder="1" applyAlignment="1">
      <alignment horizontal="right" vertical="top" wrapText="1"/>
    </xf>
    <xf numFmtId="3" fontId="2" fillId="9" borderId="0" xfId="0" applyNumberFormat="1" applyFont="1" applyFill="1"/>
    <xf numFmtId="168" fontId="15" fillId="9" borderId="1" xfId="0" applyNumberFormat="1" applyFont="1" applyFill="1" applyBorder="1"/>
    <xf numFmtId="0" fontId="1" fillId="9" borderId="7" xfId="0" applyFont="1" applyFill="1" applyBorder="1" applyAlignment="1" applyProtection="1">
      <alignment vertical="center"/>
      <protection locked="0"/>
    </xf>
    <xf numFmtId="0" fontId="15" fillId="5" borderId="1" xfId="0" applyFont="1" applyFill="1" applyBorder="1" applyAlignment="1">
      <alignment vertical="center"/>
    </xf>
    <xf numFmtId="3" fontId="20" fillId="11" borderId="1" xfId="2" applyNumberFormat="1" applyFont="1" applyFill="1" applyBorder="1" applyAlignment="1" applyProtection="1">
      <alignment horizontal="right" vertical="center" wrapText="1"/>
    </xf>
    <xf numFmtId="3" fontId="15" fillId="5" borderId="1" xfId="14" applyNumberFormat="1" applyFont="1" applyFill="1" applyBorder="1" applyAlignment="1" applyProtection="1">
      <alignment horizontal="right" vertical="center"/>
      <protection locked="0"/>
    </xf>
    <xf numFmtId="3" fontId="3" fillId="9" borderId="1" xfId="14" applyNumberFormat="1" applyFont="1" applyFill="1" applyBorder="1" applyAlignment="1" applyProtection="1">
      <alignment horizontal="right" vertical="center"/>
    </xf>
    <xf numFmtId="3" fontId="2" fillId="2" borderId="1" xfId="0" applyNumberFormat="1" applyFont="1" applyFill="1" applyBorder="1" applyAlignment="1">
      <alignment vertical="center"/>
    </xf>
    <xf numFmtId="3" fontId="2" fillId="2" borderId="1" xfId="0" applyNumberFormat="1" applyFont="1" applyFill="1" applyBorder="1" applyAlignment="1" applyProtection="1">
      <alignment horizontal="center"/>
      <protection locked="0"/>
    </xf>
    <xf numFmtId="3" fontId="1" fillId="0" borderId="1" xfId="14" applyNumberFormat="1" applyFont="1" applyBorder="1" applyAlignment="1">
      <alignment horizontal="center" vertical="center" wrapText="1"/>
    </xf>
    <xf numFmtId="3" fontId="2" fillId="2" borderId="1" xfId="0" applyNumberFormat="1" applyFont="1" applyFill="1" applyBorder="1" applyAlignment="1" applyProtection="1">
      <alignment vertical="center" wrapText="1"/>
      <protection locked="0"/>
    </xf>
    <xf numFmtId="3" fontId="15" fillId="5" borderId="1" xfId="0" applyNumberFormat="1" applyFont="1" applyFill="1" applyBorder="1" applyAlignment="1" applyProtection="1">
      <alignment vertical="center"/>
      <protection locked="0"/>
    </xf>
    <xf numFmtId="3" fontId="1" fillId="9" borderId="1" xfId="0" applyNumberFormat="1" applyFont="1" applyFill="1" applyBorder="1" applyAlignment="1" applyProtection="1">
      <alignment vertical="center"/>
      <protection locked="0"/>
    </xf>
    <xf numFmtId="3" fontId="1" fillId="9" borderId="1" xfId="0" applyNumberFormat="1" applyFont="1" applyFill="1" applyBorder="1" applyAlignment="1" applyProtection="1">
      <alignment horizontal="right" vertical="center"/>
      <protection locked="0"/>
    </xf>
    <xf numFmtId="41" fontId="1" fillId="9" borderId="1" xfId="14" applyFont="1" applyFill="1" applyBorder="1" applyAlignment="1" applyProtection="1">
      <alignment vertical="center"/>
      <protection locked="0"/>
    </xf>
    <xf numFmtId="41" fontId="1" fillId="9" borderId="1" xfId="14" applyFont="1" applyFill="1" applyBorder="1" applyAlignment="1" applyProtection="1">
      <alignment horizontal="center" vertical="center"/>
      <protection locked="0"/>
    </xf>
    <xf numFmtId="0" fontId="1" fillId="9" borderId="1" xfId="0" applyFont="1" applyFill="1" applyBorder="1" applyAlignment="1" applyProtection="1">
      <alignment vertical="center"/>
      <protection locked="0"/>
    </xf>
    <xf numFmtId="41" fontId="1" fillId="9" borderId="1" xfId="14" applyFont="1" applyFill="1" applyBorder="1" applyAlignment="1" applyProtection="1">
      <alignment horizontal="left" vertical="center"/>
      <protection locked="0"/>
    </xf>
    <xf numFmtId="3" fontId="15" fillId="5" borderId="1" xfId="0" applyNumberFormat="1" applyFont="1" applyFill="1" applyBorder="1" applyAlignment="1" applyProtection="1">
      <alignment horizontal="right" vertical="center"/>
      <protection locked="0"/>
    </xf>
    <xf numFmtId="168" fontId="20" fillId="11" borderId="1" xfId="2" applyNumberFormat="1" applyFont="1" applyFill="1" applyBorder="1" applyAlignment="1" applyProtection="1">
      <alignment horizontal="center" vertical="center"/>
    </xf>
    <xf numFmtId="168" fontId="20" fillId="11" borderId="1" xfId="2" applyNumberFormat="1" applyFont="1" applyFill="1" applyBorder="1" applyAlignment="1" applyProtection="1">
      <alignment vertical="center"/>
    </xf>
    <xf numFmtId="0" fontId="20" fillId="11" borderId="1" xfId="2" applyFont="1" applyFill="1" applyBorder="1" applyAlignment="1" applyProtection="1">
      <alignment horizontal="center" vertical="center"/>
    </xf>
    <xf numFmtId="0" fontId="3" fillId="9" borderId="1" xfId="0" applyFont="1" applyFill="1" applyBorder="1" applyAlignment="1">
      <alignment vertical="center"/>
    </xf>
    <xf numFmtId="0" fontId="11" fillId="10" borderId="1" xfId="1" applyFont="1" applyFill="1" applyBorder="1" applyAlignment="1">
      <alignment horizontal="center" vertical="center"/>
    </xf>
    <xf numFmtId="167" fontId="20" fillId="11" borderId="1" xfId="2" applyNumberFormat="1" applyFont="1" applyFill="1" applyBorder="1" applyAlignment="1" applyProtection="1">
      <alignment horizontal="center" vertical="center"/>
    </xf>
    <xf numFmtId="167" fontId="12" fillId="9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center"/>
      <protection locked="0"/>
    </xf>
    <xf numFmtId="167" fontId="1" fillId="0" borderId="0" xfId="0" applyNumberFormat="1" applyFont="1" applyAlignment="1" applyProtection="1">
      <alignment horizontal="center" vertical="center"/>
      <protection locked="0"/>
    </xf>
    <xf numFmtId="3" fontId="2" fillId="5" borderId="1" xfId="0" applyNumberFormat="1" applyFont="1" applyFill="1" applyBorder="1" applyAlignment="1" applyProtection="1">
      <alignment vertical="center"/>
      <protection locked="0"/>
    </xf>
    <xf numFmtId="3" fontId="3" fillId="9" borderId="1" xfId="14" applyNumberFormat="1" applyFont="1" applyFill="1" applyBorder="1" applyAlignment="1" applyProtection="1">
      <alignment horizontal="right" vertical="center"/>
      <protection locked="0"/>
    </xf>
    <xf numFmtId="3" fontId="3" fillId="9" borderId="1" xfId="0" applyNumberFormat="1" applyFont="1" applyFill="1" applyBorder="1" applyAlignment="1" applyProtection="1">
      <alignment horizontal="right" vertical="center"/>
      <protection locked="0"/>
    </xf>
    <xf numFmtId="3" fontId="2" fillId="2" borderId="1" xfId="14" applyNumberFormat="1" applyFont="1" applyFill="1" applyBorder="1" applyAlignment="1" applyProtection="1">
      <alignment vertical="center"/>
      <protection locked="0"/>
    </xf>
    <xf numFmtId="3" fontId="2" fillId="2" borderId="1" xfId="0" applyNumberFormat="1" applyFont="1" applyFill="1" applyBorder="1" applyAlignment="1" applyProtection="1">
      <alignment horizontal="right" vertical="center"/>
      <protection locked="0"/>
    </xf>
    <xf numFmtId="3" fontId="2" fillId="2" borderId="1" xfId="0" applyNumberFormat="1" applyFont="1" applyFill="1" applyBorder="1" applyAlignment="1" applyProtection="1">
      <alignment vertical="center"/>
      <protection locked="0"/>
    </xf>
    <xf numFmtId="3" fontId="2" fillId="5" borderId="1" xfId="0" applyNumberFormat="1" applyFont="1" applyFill="1" applyBorder="1" applyAlignment="1" applyProtection="1">
      <alignment horizontal="right" vertical="center"/>
      <protection locked="0"/>
    </xf>
    <xf numFmtId="41" fontId="2" fillId="5" borderId="1" xfId="14" applyFont="1" applyFill="1" applyBorder="1" applyAlignment="1" applyProtection="1">
      <alignment vertical="center"/>
      <protection locked="0"/>
    </xf>
    <xf numFmtId="0" fontId="11" fillId="10" borderId="1" xfId="1" applyFont="1" applyFill="1" applyBorder="1" applyAlignment="1">
      <alignment vertical="center"/>
    </xf>
    <xf numFmtId="167" fontId="20" fillId="11" borderId="1" xfId="2" applyNumberFormat="1" applyFont="1" applyFill="1" applyBorder="1" applyAlignment="1" applyProtection="1">
      <alignment vertical="center"/>
    </xf>
    <xf numFmtId="168" fontId="19" fillId="11" borderId="1" xfId="2" applyNumberFormat="1" applyFont="1" applyFill="1" applyBorder="1" applyAlignment="1" applyProtection="1">
      <alignment vertical="center"/>
    </xf>
    <xf numFmtId="3" fontId="20" fillId="11" borderId="1" xfId="2" applyNumberFormat="1" applyFont="1" applyFill="1" applyBorder="1" applyAlignment="1" applyProtection="1">
      <alignment vertical="center"/>
    </xf>
    <xf numFmtId="41" fontId="20" fillId="11" borderId="1" xfId="14" applyFont="1" applyFill="1" applyBorder="1" applyAlignment="1" applyProtection="1">
      <alignment horizontal="center" vertical="center"/>
    </xf>
    <xf numFmtId="10" fontId="20" fillId="11" borderId="1" xfId="7" applyNumberFormat="1" applyFont="1" applyFill="1" applyBorder="1" applyAlignment="1" applyProtection="1">
      <alignment horizontal="center" vertical="center"/>
    </xf>
    <xf numFmtId="3" fontId="20" fillId="11" borderId="1" xfId="2" applyNumberFormat="1" applyFont="1" applyFill="1" applyBorder="1" applyAlignment="1" applyProtection="1">
      <alignment horizontal="center" vertical="center"/>
    </xf>
    <xf numFmtId="10" fontId="15" fillId="5" borderId="1" xfId="7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left" vertical="center" wrapText="1"/>
    </xf>
    <xf numFmtId="10" fontId="3" fillId="9" borderId="1" xfId="7" applyNumberFormat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171" fontId="2" fillId="5" borderId="1" xfId="8" applyNumberFormat="1" applyFont="1" applyFill="1" applyBorder="1" applyAlignment="1" applyProtection="1">
      <alignment vertical="center"/>
      <protection locked="0"/>
    </xf>
    <xf numFmtId="3" fontId="1" fillId="0" borderId="0" xfId="0" applyNumberFormat="1" applyFont="1" applyAlignment="1" applyProtection="1">
      <alignment horizontal="center"/>
      <protection locked="0"/>
    </xf>
    <xf numFmtId="3" fontId="1" fillId="0" borderId="0" xfId="0" applyNumberFormat="1" applyFont="1" applyAlignment="1" applyProtection="1">
      <alignment horizontal="center" vertical="center"/>
      <protection locked="0"/>
    </xf>
    <xf numFmtId="41" fontId="1" fillId="0" borderId="0" xfId="14" applyFont="1" applyProtection="1">
      <protection locked="0"/>
    </xf>
    <xf numFmtId="41" fontId="1" fillId="0" borderId="0" xfId="14" applyFont="1" applyAlignment="1" applyProtection="1">
      <alignment horizontal="right"/>
      <protection locked="0"/>
    </xf>
    <xf numFmtId="1" fontId="2" fillId="5" borderId="1" xfId="14" applyNumberFormat="1" applyFont="1" applyFill="1" applyBorder="1" applyAlignment="1">
      <alignment horizontal="right" vertical="center"/>
    </xf>
    <xf numFmtId="1" fontId="1" fillId="0" borderId="1" xfId="14" applyNumberFormat="1" applyFont="1" applyFill="1" applyBorder="1" applyAlignment="1">
      <alignment horizontal="right" vertical="center"/>
    </xf>
    <xf numFmtId="0" fontId="15" fillId="0" borderId="1" xfId="0" applyFont="1" applyBorder="1" applyAlignment="1">
      <alignment horizontal="left" vertical="top" wrapText="1"/>
    </xf>
    <xf numFmtId="168" fontId="15" fillId="0" borderId="1" xfId="0" applyNumberFormat="1" applyFont="1" applyBorder="1" applyAlignment="1">
      <alignment vertical="top" wrapText="1"/>
    </xf>
    <xf numFmtId="3" fontId="3" fillId="9" borderId="3" xfId="14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49" fontId="15" fillId="0" borderId="1" xfId="0" applyNumberFormat="1" applyFont="1" applyBorder="1" applyAlignment="1">
      <alignment horizontal="left" vertical="center" wrapText="1"/>
    </xf>
    <xf numFmtId="168" fontId="15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/>
    </xf>
    <xf numFmtId="172" fontId="3" fillId="0" borderId="1" xfId="7" applyNumberFormat="1" applyFont="1" applyFill="1" applyBorder="1" applyAlignment="1">
      <alignment horizontal="center" vertical="center" wrapText="1"/>
    </xf>
    <xf numFmtId="49" fontId="1" fillId="9" borderId="1" xfId="0" applyNumberFormat="1" applyFont="1" applyFill="1" applyBorder="1" applyAlignment="1">
      <alignment vertical="center" wrapText="1"/>
    </xf>
    <xf numFmtId="0" fontId="15" fillId="0" borderId="1" xfId="0" applyFont="1" applyBorder="1" applyAlignment="1">
      <alignment horizontal="left" vertical="center"/>
    </xf>
    <xf numFmtId="41" fontId="2" fillId="0" borderId="0" xfId="14" applyFont="1" applyFill="1"/>
    <xf numFmtId="41" fontId="1" fillId="0" borderId="0" xfId="0" applyNumberFormat="1" applyFont="1"/>
    <xf numFmtId="174" fontId="1" fillId="0" borderId="0" xfId="0" applyNumberFormat="1" applyFont="1"/>
    <xf numFmtId="3" fontId="15" fillId="5" borderId="1" xfId="7" applyNumberFormat="1" applyFont="1" applyFill="1" applyBorder="1" applyAlignment="1">
      <alignment horizontal="right" vertical="center" wrapText="1"/>
    </xf>
    <xf numFmtId="3" fontId="1" fillId="9" borderId="1" xfId="7" applyNumberFormat="1" applyFont="1" applyFill="1" applyBorder="1" applyAlignment="1" applyProtection="1">
      <alignment horizontal="right" vertical="center" wrapText="1"/>
    </xf>
    <xf numFmtId="3" fontId="2" fillId="5" borderId="1" xfId="7" applyNumberFormat="1" applyFont="1" applyFill="1" applyBorder="1" applyAlignment="1" applyProtection="1">
      <alignment horizontal="right" vertical="center" wrapText="1"/>
    </xf>
    <xf numFmtId="0" fontId="10" fillId="5" borderId="1" xfId="0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left" vertical="center"/>
    </xf>
    <xf numFmtId="0" fontId="18" fillId="9" borderId="1" xfId="2" applyFont="1" applyFill="1" applyBorder="1" applyAlignment="1"/>
    <xf numFmtId="167" fontId="18" fillId="9" borderId="1" xfId="2" applyNumberFormat="1" applyFont="1" applyFill="1" applyBorder="1" applyAlignment="1"/>
    <xf numFmtId="3" fontId="1" fillId="9" borderId="1" xfId="0" applyNumberFormat="1" applyFont="1" applyFill="1" applyBorder="1"/>
    <xf numFmtId="172" fontId="1" fillId="9" borderId="1" xfId="7" applyNumberFormat="1" applyFont="1" applyFill="1" applyBorder="1" applyAlignment="1">
      <alignment horizontal="center" vertical="center"/>
    </xf>
    <xf numFmtId="41" fontId="3" fillId="9" borderId="1" xfId="14" applyFont="1" applyFill="1" applyBorder="1" applyAlignment="1">
      <alignment horizontal="right" vertical="center" wrapText="1"/>
    </xf>
    <xf numFmtId="41" fontId="1" fillId="0" borderId="1" xfId="14" applyFont="1" applyFill="1" applyBorder="1" applyAlignment="1">
      <alignment horizontal="right" vertical="center"/>
    </xf>
    <xf numFmtId="41" fontId="1" fillId="9" borderId="1" xfId="14" applyFont="1" applyFill="1" applyBorder="1" applyAlignment="1">
      <alignment horizontal="right" vertical="center"/>
    </xf>
    <xf numFmtId="172" fontId="3" fillId="9" borderId="1" xfId="7" applyNumberFormat="1" applyFont="1" applyFill="1" applyBorder="1" applyAlignment="1">
      <alignment horizontal="center" vertical="center"/>
    </xf>
    <xf numFmtId="41" fontId="3" fillId="9" borderId="1" xfId="14" applyFont="1" applyFill="1" applyBorder="1" applyAlignment="1">
      <alignment horizontal="right" vertical="center"/>
    </xf>
    <xf numFmtId="0" fontId="20" fillId="9" borderId="1" xfId="2" applyFont="1" applyFill="1" applyBorder="1" applyAlignment="1"/>
    <xf numFmtId="167" fontId="20" fillId="9" borderId="1" xfId="2" applyNumberFormat="1" applyFont="1" applyFill="1" applyBorder="1" applyAlignment="1"/>
    <xf numFmtId="168" fontId="20" fillId="9" borderId="1" xfId="2" applyNumberFormat="1" applyFont="1" applyFill="1" applyBorder="1" applyAlignment="1"/>
    <xf numFmtId="0" fontId="37" fillId="9" borderId="0" xfId="0" applyFont="1" applyFill="1" applyAlignment="1">
      <alignment horizontal="left"/>
    </xf>
    <xf numFmtId="167" fontId="37" fillId="9" borderId="0" xfId="0" applyNumberFormat="1" applyFont="1" applyFill="1" applyAlignment="1">
      <alignment horizontal="left" vertical="center"/>
    </xf>
    <xf numFmtId="168" fontId="37" fillId="9" borderId="0" xfId="0" applyNumberFormat="1" applyFont="1" applyFill="1" applyAlignment="1">
      <alignment horizontal="left" vertical="center"/>
    </xf>
    <xf numFmtId="168" fontId="37" fillId="9" borderId="0" xfId="0" applyNumberFormat="1" applyFont="1" applyFill="1"/>
    <xf numFmtId="3" fontId="37" fillId="9" borderId="0" xfId="0" applyNumberFormat="1" applyFont="1" applyFill="1"/>
    <xf numFmtId="3" fontId="37" fillId="9" borderId="0" xfId="0" applyNumberFormat="1" applyFont="1" applyFill="1" applyAlignment="1">
      <alignment horizontal="center"/>
    </xf>
    <xf numFmtId="41" fontId="37" fillId="9" borderId="0" xfId="14" applyFont="1" applyFill="1"/>
    <xf numFmtId="0" fontId="37" fillId="9" borderId="0" xfId="0" applyFont="1" applyFill="1"/>
    <xf numFmtId="172" fontId="0" fillId="0" borderId="0" xfId="0" applyNumberFormat="1"/>
    <xf numFmtId="9" fontId="0" fillId="0" borderId="0" xfId="0" applyNumberFormat="1"/>
    <xf numFmtId="169" fontId="3" fillId="9" borderId="17" xfId="11" applyNumberFormat="1" applyFont="1" applyFill="1" applyBorder="1" applyAlignment="1">
      <alignment horizontal="right"/>
    </xf>
    <xf numFmtId="41" fontId="12" fillId="0" borderId="0" xfId="14" applyFont="1" applyFill="1" applyBorder="1" applyAlignment="1">
      <alignment horizontal="left" vertical="center"/>
    </xf>
    <xf numFmtId="41" fontId="19" fillId="0" borderId="0" xfId="14" applyFont="1" applyFill="1" applyBorder="1" applyAlignment="1">
      <alignment horizontal="left" vertical="center"/>
    </xf>
    <xf numFmtId="0" fontId="15" fillId="9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9" fillId="9" borderId="1" xfId="0" applyFont="1" applyFill="1" applyBorder="1" applyAlignment="1">
      <alignment vertical="center"/>
    </xf>
    <xf numFmtId="168" fontId="10" fillId="5" borderId="1" xfId="0" applyNumberFormat="1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41" fontId="36" fillId="9" borderId="0" xfId="14" applyFont="1" applyFill="1" applyAlignment="1"/>
    <xf numFmtId="41" fontId="36" fillId="9" borderId="0" xfId="14" applyFont="1" applyFill="1" applyBorder="1" applyAlignment="1"/>
    <xf numFmtId="0" fontId="11" fillId="10" borderId="2" xfId="1" applyFont="1" applyFill="1" applyBorder="1" applyAlignment="1">
      <alignment vertical="center"/>
    </xf>
    <xf numFmtId="3" fontId="1" fillId="0" borderId="2" xfId="0" applyNumberFormat="1" applyFont="1" applyBorder="1" applyAlignment="1">
      <alignment horizontal="right" vertical="center"/>
    </xf>
    <xf numFmtId="0" fontId="15" fillId="5" borderId="1" xfId="0" applyFont="1" applyFill="1" applyBorder="1" applyAlignment="1">
      <alignment horizontal="center" vertical="center" wrapText="1"/>
    </xf>
    <xf numFmtId="3" fontId="2" fillId="5" borderId="1" xfId="14" applyNumberFormat="1" applyFont="1" applyFill="1" applyBorder="1" applyAlignment="1" applyProtection="1">
      <alignment horizontal="right" vertical="center" wrapText="1"/>
    </xf>
    <xf numFmtId="0" fontId="15" fillId="5" borderId="1" xfId="0" applyFont="1" applyFill="1" applyBorder="1" applyAlignment="1">
      <alignment horizontal="center" vertical="center"/>
    </xf>
    <xf numFmtId="10" fontId="1" fillId="0" borderId="1" xfId="7" applyNumberFormat="1" applyFont="1" applyFill="1" applyBorder="1" applyAlignment="1" applyProtection="1">
      <alignment horizontal="center" vertical="center"/>
    </xf>
    <xf numFmtId="0" fontId="10" fillId="5" borderId="1" xfId="0" applyFont="1" applyFill="1" applyBorder="1" applyAlignment="1">
      <alignment vertical="center"/>
    </xf>
    <xf numFmtId="10" fontId="20" fillId="11" borderId="1" xfId="7" applyNumberFormat="1" applyFont="1" applyFill="1" applyBorder="1" applyAlignment="1" applyProtection="1">
      <alignment horizontal="center" vertical="center" wrapText="1"/>
    </xf>
    <xf numFmtId="10" fontId="15" fillId="5" borderId="1" xfId="7" applyNumberFormat="1" applyFont="1" applyFill="1" applyBorder="1" applyAlignment="1" applyProtection="1">
      <alignment horizontal="center" vertical="center"/>
    </xf>
    <xf numFmtId="10" fontId="1" fillId="0" borderId="0" xfId="7" applyNumberFormat="1" applyFont="1" applyAlignment="1" applyProtection="1">
      <alignment horizontal="center"/>
      <protection locked="0"/>
    </xf>
    <xf numFmtId="10" fontId="3" fillId="9" borderId="1" xfId="7" applyNumberFormat="1" applyFont="1" applyFill="1" applyBorder="1" applyAlignment="1" applyProtection="1">
      <alignment horizontal="center" vertical="center"/>
    </xf>
    <xf numFmtId="10" fontId="3" fillId="0" borderId="0" xfId="7" applyNumberFormat="1" applyFont="1" applyAlignment="1" applyProtection="1">
      <alignment horizontal="center" vertical="center"/>
      <protection locked="0"/>
    </xf>
    <xf numFmtId="0" fontId="20" fillId="11" borderId="1" xfId="2" applyFont="1" applyFill="1" applyBorder="1" applyAlignment="1" applyProtection="1">
      <alignment vertical="center"/>
    </xf>
    <xf numFmtId="0" fontId="11" fillId="10" borderId="14" xfId="1" applyFont="1" applyFill="1" applyBorder="1" applyAlignment="1">
      <alignment horizontal="center" vertical="center"/>
    </xf>
    <xf numFmtId="0" fontId="11" fillId="10" borderId="14" xfId="1" applyFont="1" applyFill="1" applyBorder="1" applyAlignment="1">
      <alignment vertical="center"/>
    </xf>
    <xf numFmtId="41" fontId="3" fillId="0" borderId="0" xfId="14" applyFont="1" applyFill="1" applyBorder="1" applyAlignment="1" applyProtection="1">
      <alignment horizontal="center" vertical="center"/>
      <protection locked="0"/>
    </xf>
    <xf numFmtId="3" fontId="3" fillId="0" borderId="0" xfId="14" applyNumberFormat="1" applyFont="1" applyFill="1" applyBorder="1" applyAlignment="1" applyProtection="1">
      <alignment horizontal="center" vertical="center"/>
      <protection locked="0"/>
    </xf>
    <xf numFmtId="3" fontId="3" fillId="9" borderId="1" xfId="14" applyNumberFormat="1" applyFont="1" applyFill="1" applyBorder="1" applyAlignment="1" applyProtection="1">
      <alignment vertical="center" wrapText="1"/>
    </xf>
    <xf numFmtId="3" fontId="2" fillId="5" borderId="2" xfId="0" applyNumberFormat="1" applyFont="1" applyFill="1" applyBorder="1" applyAlignment="1">
      <alignment vertical="center"/>
    </xf>
    <xf numFmtId="1" fontId="1" fillId="0" borderId="2" xfId="14" applyNumberFormat="1" applyFont="1" applyFill="1" applyBorder="1" applyAlignment="1">
      <alignment vertical="center"/>
    </xf>
    <xf numFmtId="49" fontId="15" fillId="0" borderId="1" xfId="0" applyNumberFormat="1" applyFont="1" applyBorder="1" applyAlignment="1">
      <alignment horizontal="right" vertical="center" wrapText="1"/>
    </xf>
    <xf numFmtId="168" fontId="15" fillId="0" borderId="1" xfId="0" applyNumberFormat="1" applyFont="1" applyBorder="1" applyAlignment="1">
      <alignment horizontal="right" vertical="center" wrapText="1"/>
    </xf>
    <xf numFmtId="0" fontId="11" fillId="10" borderId="33" xfId="1" applyFont="1" applyFill="1" applyBorder="1" applyAlignment="1">
      <alignment vertical="center"/>
    </xf>
    <xf numFmtId="3" fontId="15" fillId="5" borderId="2" xfId="0" applyNumberFormat="1" applyFont="1" applyFill="1" applyBorder="1" applyAlignment="1">
      <alignment horizontal="right" vertical="center"/>
    </xf>
    <xf numFmtId="41" fontId="15" fillId="5" borderId="1" xfId="14" applyFont="1" applyFill="1" applyBorder="1" applyAlignment="1" applyProtection="1">
      <alignment vertical="center"/>
    </xf>
    <xf numFmtId="168" fontId="20" fillId="13" borderId="35" xfId="0" applyNumberFormat="1" applyFont="1" applyFill="1" applyBorder="1" applyAlignment="1" applyProtection="1">
      <alignment vertical="center"/>
      <protection locked="0"/>
    </xf>
    <xf numFmtId="168" fontId="1" fillId="0" borderId="27" xfId="0" applyNumberFormat="1" applyFont="1" applyBorder="1" applyProtection="1">
      <protection locked="0"/>
    </xf>
    <xf numFmtId="168" fontId="1" fillId="0" borderId="28" xfId="0" applyNumberFormat="1" applyFont="1" applyBorder="1" applyProtection="1">
      <protection locked="0"/>
    </xf>
    <xf numFmtId="0" fontId="20" fillId="13" borderId="35" xfId="0" applyFont="1" applyFill="1" applyBorder="1" applyAlignment="1" applyProtection="1">
      <alignment horizontal="center" vertical="center"/>
      <protection locked="0"/>
    </xf>
    <xf numFmtId="3" fontId="2" fillId="2" borderId="1" xfId="14" applyNumberFormat="1" applyFont="1" applyFill="1" applyBorder="1" applyAlignment="1" applyProtection="1">
      <alignment horizontal="right" vertical="center" wrapText="1"/>
      <protection locked="0"/>
    </xf>
    <xf numFmtId="3" fontId="3" fillId="0" borderId="1" xfId="14" applyNumberFormat="1" applyFont="1" applyFill="1" applyBorder="1" applyAlignment="1" applyProtection="1">
      <alignment horizontal="right" vertical="center"/>
    </xf>
    <xf numFmtId="3" fontId="15" fillId="9" borderId="1" xfId="14" applyNumberFormat="1" applyFont="1" applyFill="1" applyBorder="1" applyAlignment="1" applyProtection="1">
      <alignment horizontal="right" vertical="center"/>
      <protection locked="0"/>
    </xf>
    <xf numFmtId="3" fontId="1" fillId="9" borderId="1" xfId="14" applyNumberFormat="1" applyFont="1" applyFill="1" applyBorder="1" applyAlignment="1" applyProtection="1">
      <alignment horizontal="right" vertical="center"/>
    </xf>
    <xf numFmtId="0" fontId="12" fillId="9" borderId="1" xfId="0" applyFont="1" applyFill="1" applyBorder="1" applyAlignment="1">
      <alignment horizontal="center" vertical="center" wrapText="1"/>
    </xf>
    <xf numFmtId="3" fontId="1" fillId="9" borderId="1" xfId="14" applyNumberFormat="1" applyFont="1" applyFill="1" applyBorder="1" applyAlignment="1" applyProtection="1">
      <alignment horizontal="right"/>
      <protection locked="0"/>
    </xf>
    <xf numFmtId="3" fontId="15" fillId="5" borderId="1" xfId="14" applyNumberFormat="1" applyFont="1" applyFill="1" applyBorder="1" applyAlignment="1" applyProtection="1">
      <alignment horizontal="right" vertical="center"/>
    </xf>
    <xf numFmtId="3" fontId="2" fillId="5" borderId="1" xfId="14" applyNumberFormat="1" applyFont="1" applyFill="1" applyBorder="1" applyAlignment="1" applyProtection="1">
      <alignment horizontal="right" vertical="center"/>
    </xf>
    <xf numFmtId="10" fontId="1" fillId="9" borderId="1" xfId="7" applyNumberFormat="1" applyFont="1" applyFill="1" applyBorder="1" applyAlignment="1" applyProtection="1">
      <alignment horizontal="center" vertical="center"/>
    </xf>
    <xf numFmtId="41" fontId="2" fillId="2" borderId="1" xfId="14" applyFont="1" applyFill="1" applyBorder="1" applyAlignment="1" applyProtection="1">
      <alignment vertical="center"/>
      <protection locked="0"/>
    </xf>
    <xf numFmtId="10" fontId="2" fillId="5" borderId="1" xfId="7" applyNumberFormat="1" applyFont="1" applyFill="1" applyBorder="1" applyAlignment="1">
      <alignment horizontal="center" vertical="center"/>
    </xf>
    <xf numFmtId="10" fontId="1" fillId="0" borderId="1" xfId="7" applyNumberFormat="1" applyFont="1" applyFill="1" applyBorder="1" applyAlignment="1">
      <alignment horizontal="center" vertical="center"/>
    </xf>
    <xf numFmtId="3" fontId="2" fillId="5" borderId="2" xfId="0" applyNumberFormat="1" applyFont="1" applyFill="1" applyBorder="1" applyAlignment="1">
      <alignment horizontal="right" vertical="center"/>
    </xf>
    <xf numFmtId="41" fontId="36" fillId="9" borderId="0" xfId="0" applyNumberFormat="1" applyFont="1" applyFill="1"/>
    <xf numFmtId="0" fontId="35" fillId="22" borderId="0" xfId="0" applyFont="1" applyFill="1" applyAlignment="1">
      <alignment horizontal="center" vertical="center"/>
    </xf>
    <xf numFmtId="41" fontId="35" fillId="22" borderId="0" xfId="14" applyFont="1" applyFill="1" applyBorder="1" applyAlignment="1">
      <alignment horizontal="center"/>
    </xf>
    <xf numFmtId="41" fontId="35" fillId="22" borderId="0" xfId="14" applyFont="1" applyFill="1" applyBorder="1" applyAlignment="1"/>
    <xf numFmtId="41" fontId="36" fillId="22" borderId="0" xfId="14" applyFont="1" applyFill="1" applyBorder="1" applyAlignment="1"/>
    <xf numFmtId="41" fontId="35" fillId="22" borderId="0" xfId="14" applyFont="1" applyFill="1" applyBorder="1" applyAlignment="1">
      <alignment horizontal="center" vertical="center"/>
    </xf>
    <xf numFmtId="0" fontId="36" fillId="9" borderId="0" xfId="0" applyFont="1" applyFill="1" applyAlignment="1">
      <alignment vertical="top"/>
    </xf>
    <xf numFmtId="167" fontId="15" fillId="9" borderId="1" xfId="0" applyNumberFormat="1" applyFont="1" applyFill="1" applyBorder="1" applyAlignment="1">
      <alignment horizontal="left" vertical="top" wrapText="1"/>
    </xf>
    <xf numFmtId="41" fontId="1" fillId="9" borderId="0" xfId="14" applyFont="1" applyFill="1" applyBorder="1" applyAlignment="1">
      <alignment horizontal="center" vertical="center" wrapText="1"/>
    </xf>
    <xf numFmtId="10" fontId="1" fillId="0" borderId="0" xfId="14" applyNumberFormat="1" applyFont="1" applyProtection="1">
      <protection locked="0"/>
    </xf>
    <xf numFmtId="10" fontId="1" fillId="0" borderId="0" xfId="7" applyNumberFormat="1" applyFont="1" applyAlignment="1" applyProtection="1">
      <alignment vertical="center"/>
      <protection locked="0"/>
    </xf>
    <xf numFmtId="10" fontId="1" fillId="0" borderId="0" xfId="7" applyNumberFormat="1" applyFont="1" applyAlignment="1" applyProtection="1">
      <alignment wrapText="1"/>
      <protection locked="0"/>
    </xf>
    <xf numFmtId="10" fontId="1" fillId="0" borderId="0" xfId="14" applyNumberFormat="1" applyFont="1" applyAlignment="1" applyProtection="1">
      <alignment horizontal="center"/>
      <protection locked="0"/>
    </xf>
    <xf numFmtId="10" fontId="1" fillId="0" borderId="0" xfId="7" applyNumberFormat="1" applyFont="1" applyAlignment="1" applyProtection="1">
      <alignment horizontal="center" wrapText="1"/>
      <protection locked="0"/>
    </xf>
    <xf numFmtId="10" fontId="1" fillId="0" borderId="0" xfId="7" applyNumberFormat="1" applyFont="1" applyAlignment="1" applyProtection="1">
      <alignment horizontal="right"/>
      <protection locked="0"/>
    </xf>
    <xf numFmtId="10" fontId="1" fillId="9" borderId="0" xfId="7" applyNumberFormat="1" applyFont="1" applyFill="1" applyBorder="1" applyAlignment="1">
      <alignment horizontal="center"/>
    </xf>
    <xf numFmtId="3" fontId="1" fillId="9" borderId="3" xfId="0" applyNumberFormat="1" applyFont="1" applyFill="1" applyBorder="1"/>
    <xf numFmtId="0" fontId="11" fillId="10" borderId="26" xfId="1" applyFont="1" applyFill="1" applyBorder="1" applyAlignment="1">
      <alignment vertical="center"/>
    </xf>
    <xf numFmtId="0" fontId="11" fillId="10" borderId="38" xfId="1" applyFont="1" applyFill="1" applyBorder="1" applyAlignment="1">
      <alignment vertical="center"/>
    </xf>
    <xf numFmtId="3" fontId="2" fillId="5" borderId="1" xfId="14" applyNumberFormat="1" applyFont="1" applyFill="1" applyBorder="1" applyAlignment="1">
      <alignment vertical="center"/>
    </xf>
    <xf numFmtId="168" fontId="1" fillId="5" borderId="1" xfId="0" applyNumberFormat="1" applyFont="1" applyFill="1" applyBorder="1" applyAlignment="1">
      <alignment vertical="center"/>
    </xf>
    <xf numFmtId="41" fontId="2" fillId="5" borderId="1" xfId="14" applyFont="1" applyFill="1" applyBorder="1" applyAlignment="1">
      <alignment horizontal="right" vertical="center"/>
    </xf>
    <xf numFmtId="168" fontId="1" fillId="0" borderId="1" xfId="0" applyNumberFormat="1" applyFont="1" applyBorder="1" applyAlignment="1">
      <alignment vertical="center"/>
    </xf>
    <xf numFmtId="10" fontId="15" fillId="5" borderId="1" xfId="7" applyNumberFormat="1" applyFont="1" applyFill="1" applyBorder="1" applyAlignment="1">
      <alignment horizontal="center" vertical="center"/>
    </xf>
    <xf numFmtId="41" fontId="15" fillId="5" borderId="1" xfId="14" applyFont="1" applyFill="1" applyBorder="1" applyAlignment="1">
      <alignment horizontal="right" vertical="center"/>
    </xf>
    <xf numFmtId="1" fontId="15" fillId="5" borderId="1" xfId="14" applyNumberFormat="1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left" vertical="center"/>
    </xf>
    <xf numFmtId="167" fontId="2" fillId="5" borderId="1" xfId="0" applyNumberFormat="1" applyFont="1" applyFill="1" applyBorder="1" applyAlignment="1">
      <alignment horizontal="left" vertical="center"/>
    </xf>
    <xf numFmtId="168" fontId="2" fillId="5" borderId="1" xfId="0" applyNumberFormat="1" applyFont="1" applyFill="1" applyBorder="1" applyAlignment="1">
      <alignment horizontal="center" vertical="center"/>
    </xf>
    <xf numFmtId="168" fontId="2" fillId="5" borderId="1" xfId="0" applyNumberFormat="1" applyFont="1" applyFill="1" applyBorder="1" applyAlignment="1">
      <alignment vertical="center"/>
    </xf>
    <xf numFmtId="172" fontId="2" fillId="5" borderId="1" xfId="7" applyNumberFormat="1" applyFont="1" applyFill="1" applyBorder="1" applyAlignment="1" applyProtection="1">
      <alignment horizontal="center" vertical="center"/>
    </xf>
    <xf numFmtId="1" fontId="2" fillId="5" borderId="1" xfId="7" applyNumberFormat="1" applyFont="1" applyFill="1" applyBorder="1" applyAlignment="1" applyProtection="1">
      <alignment horizontal="right" vertical="center"/>
    </xf>
    <xf numFmtId="10" fontId="2" fillId="5" borderId="1" xfId="7" applyNumberFormat="1" applyFont="1" applyFill="1" applyBorder="1" applyAlignment="1" applyProtection="1">
      <alignment horizontal="center" vertical="center"/>
    </xf>
    <xf numFmtId="168" fontId="2" fillId="0" borderId="1" xfId="0" applyNumberFormat="1" applyFont="1" applyBorder="1" applyAlignment="1">
      <alignment vertical="center"/>
    </xf>
    <xf numFmtId="167" fontId="2" fillId="5" borderId="1" xfId="0" applyNumberFormat="1" applyFont="1" applyFill="1" applyBorder="1" applyAlignment="1">
      <alignment horizontal="center" vertical="center"/>
    </xf>
    <xf numFmtId="168" fontId="9" fillId="5" borderId="1" xfId="0" applyNumberFormat="1" applyFont="1" applyFill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10" fontId="1" fillId="5" borderId="1" xfId="7" applyNumberFormat="1" applyFont="1" applyFill="1" applyBorder="1" applyAlignment="1" applyProtection="1">
      <alignment horizontal="center" vertical="center"/>
    </xf>
    <xf numFmtId="1" fontId="2" fillId="5" borderId="1" xfId="14" applyNumberFormat="1" applyFont="1" applyFill="1" applyBorder="1" applyAlignment="1" applyProtection="1">
      <alignment horizontal="right" vertical="center"/>
    </xf>
    <xf numFmtId="0" fontId="3" fillId="0" borderId="0" xfId="0" applyFont="1" applyAlignment="1">
      <alignment horizontal="center"/>
    </xf>
    <xf numFmtId="170" fontId="1" fillId="9" borderId="0" xfId="0" applyNumberFormat="1" applyFont="1" applyFill="1"/>
    <xf numFmtId="0" fontId="3" fillId="8" borderId="0" xfId="0" applyFont="1" applyFill="1"/>
    <xf numFmtId="170" fontId="1" fillId="9" borderId="0" xfId="0" applyNumberFormat="1" applyFont="1" applyFill="1" applyAlignment="1">
      <alignment horizontal="center"/>
    </xf>
    <xf numFmtId="172" fontId="1" fillId="9" borderId="0" xfId="7" applyNumberFormat="1" applyFont="1" applyFill="1" applyBorder="1" applyAlignment="1">
      <alignment horizontal="center"/>
    </xf>
    <xf numFmtId="3" fontId="1" fillId="9" borderId="0" xfId="14" applyNumberFormat="1" applyFont="1" applyFill="1" applyBorder="1" applyAlignment="1">
      <alignment horizontal="center"/>
    </xf>
    <xf numFmtId="3" fontId="3" fillId="9" borderId="1" xfId="7" applyNumberFormat="1" applyFont="1" applyFill="1" applyBorder="1" applyAlignment="1">
      <alignment horizontal="right" vertical="center" wrapText="1"/>
    </xf>
    <xf numFmtId="41" fontId="1" fillId="9" borderId="0" xfId="14" applyFont="1" applyFill="1" applyAlignment="1">
      <alignment horizontal="left" vertical="center" wrapText="1"/>
    </xf>
    <xf numFmtId="0" fontId="11" fillId="10" borderId="38" xfId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41" fontId="36" fillId="9" borderId="0" xfId="14" applyFont="1" applyFill="1"/>
    <xf numFmtId="41" fontId="1" fillId="9" borderId="0" xfId="14" applyFont="1" applyFill="1" applyBorder="1" applyAlignment="1">
      <alignment horizontal="left" vertical="center" wrapText="1"/>
    </xf>
    <xf numFmtId="17" fontId="35" fillId="22" borderId="0" xfId="0" applyNumberFormat="1" applyFont="1" applyFill="1"/>
    <xf numFmtId="0" fontId="35" fillId="22" borderId="0" xfId="0" applyFont="1" applyFill="1"/>
    <xf numFmtId="0" fontId="36" fillId="22" borderId="0" xfId="0" applyFont="1" applyFill="1"/>
    <xf numFmtId="3" fontId="36" fillId="9" borderId="0" xfId="0" applyNumberFormat="1" applyFont="1" applyFill="1"/>
    <xf numFmtId="1" fontId="2" fillId="9" borderId="0" xfId="14" applyNumberFormat="1" applyFont="1" applyFill="1" applyAlignment="1">
      <alignment horizontal="center" vertical="center" wrapText="1"/>
    </xf>
    <xf numFmtId="41" fontId="2" fillId="9" borderId="0" xfId="14" applyFont="1" applyFill="1" applyAlignment="1">
      <alignment horizontal="center" vertical="center" wrapText="1"/>
    </xf>
    <xf numFmtId="170" fontId="1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168" fontId="1" fillId="8" borderId="0" xfId="0" applyNumberFormat="1" applyFont="1" applyFill="1" applyAlignment="1">
      <alignment horizontal="center" vertical="center"/>
    </xf>
    <xf numFmtId="168" fontId="1" fillId="8" borderId="0" xfId="0" applyNumberFormat="1" applyFont="1" applyFill="1" applyAlignment="1">
      <alignment vertical="center"/>
    </xf>
    <xf numFmtId="0" fontId="1" fillId="8" borderId="0" xfId="0" applyFont="1" applyFill="1" applyAlignment="1">
      <alignment vertical="center"/>
    </xf>
    <xf numFmtId="3" fontId="1" fillId="8" borderId="0" xfId="0" applyNumberFormat="1" applyFont="1" applyFill="1" applyAlignment="1">
      <alignment vertical="center"/>
    </xf>
    <xf numFmtId="10" fontId="1" fillId="8" borderId="0" xfId="7" applyNumberFormat="1" applyFont="1" applyFill="1" applyBorder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vertical="center"/>
    </xf>
    <xf numFmtId="3" fontId="1" fillId="8" borderId="0" xfId="14" applyNumberFormat="1" applyFont="1" applyFill="1" applyBorder="1" applyAlignment="1" applyProtection="1">
      <alignment horizontal="right" vertical="center"/>
    </xf>
    <xf numFmtId="3" fontId="1" fillId="9" borderId="0" xfId="0" applyNumberFormat="1" applyFont="1" applyFill="1" applyAlignment="1">
      <alignment vertical="center"/>
    </xf>
    <xf numFmtId="3" fontId="1" fillId="9" borderId="0" xfId="0" applyNumberFormat="1" applyFont="1" applyFill="1" applyAlignment="1" applyProtection="1">
      <alignment horizontal="right" vertical="center"/>
      <protection locked="0"/>
    </xf>
    <xf numFmtId="3" fontId="1" fillId="9" borderId="0" xfId="0" applyNumberFormat="1" applyFont="1" applyFill="1" applyAlignment="1" applyProtection="1">
      <alignment vertical="center"/>
      <protection locked="0"/>
    </xf>
    <xf numFmtId="17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vertical="center"/>
    </xf>
    <xf numFmtId="10" fontId="3" fillId="0" borderId="0" xfId="7" applyNumberFormat="1" applyFont="1" applyFill="1" applyBorder="1" applyAlignment="1">
      <alignment vertical="center"/>
    </xf>
    <xf numFmtId="10" fontId="3" fillId="0" borderId="0" xfId="7" applyNumberFormat="1" applyFont="1" applyFill="1" applyBorder="1" applyAlignment="1" applyProtection="1">
      <alignment vertical="center"/>
    </xf>
    <xf numFmtId="41" fontId="3" fillId="0" borderId="0" xfId="14" applyFont="1" applyFill="1" applyBorder="1" applyAlignment="1">
      <alignment vertical="center"/>
    </xf>
    <xf numFmtId="3" fontId="3" fillId="0" borderId="0" xfId="14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Alignment="1" applyProtection="1">
      <alignment horizontal="center"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8" fontId="3" fillId="9" borderId="1" xfId="0" quotePrefix="1" applyNumberFormat="1" applyFont="1" applyFill="1" applyBorder="1" applyAlignment="1">
      <alignment horizontal="right" vertical="center" wrapText="1"/>
    </xf>
    <xf numFmtId="41" fontId="3" fillId="9" borderId="1" xfId="14" applyFont="1" applyFill="1" applyBorder="1" applyAlignment="1" applyProtection="1">
      <alignment horizontal="center" vertical="center"/>
    </xf>
    <xf numFmtId="0" fontId="11" fillId="10" borderId="26" xfId="1" applyFont="1" applyFill="1" applyBorder="1" applyAlignment="1">
      <alignment horizontal="center" vertical="center"/>
    </xf>
    <xf numFmtId="41" fontId="28" fillId="28" borderId="0" xfId="14" applyFont="1" applyFill="1" applyBorder="1" applyAlignment="1"/>
    <xf numFmtId="0" fontId="28" fillId="28" borderId="0" xfId="0" applyFont="1" applyFill="1" applyAlignment="1">
      <alignment horizontal="center" vertical="center"/>
    </xf>
    <xf numFmtId="173" fontId="28" fillId="28" borderId="0" xfId="0" applyNumberFormat="1" applyFont="1" applyFill="1" applyAlignment="1">
      <alignment horizontal="right" vertical="center"/>
    </xf>
    <xf numFmtId="41" fontId="38" fillId="28" borderId="0" xfId="14" applyFont="1" applyFill="1" applyBorder="1" applyAlignment="1"/>
    <xf numFmtId="0" fontId="1" fillId="8" borderId="0" xfId="0" applyFont="1" applyFill="1" applyAlignment="1">
      <alignment horizontal="left"/>
    </xf>
    <xf numFmtId="167" fontId="1" fillId="8" borderId="0" xfId="0" applyNumberFormat="1" applyFont="1" applyFill="1" applyAlignment="1">
      <alignment horizontal="left" vertical="center"/>
    </xf>
    <xf numFmtId="168" fontId="1" fillId="8" borderId="0" xfId="0" applyNumberFormat="1" applyFont="1" applyFill="1" applyAlignment="1">
      <alignment horizontal="left" vertical="center"/>
    </xf>
    <xf numFmtId="168" fontId="1" fillId="8" borderId="0" xfId="0" applyNumberFormat="1" applyFont="1" applyFill="1"/>
    <xf numFmtId="3" fontId="1" fillId="8" borderId="0" xfId="0" applyNumberFormat="1" applyFont="1" applyFill="1"/>
    <xf numFmtId="172" fontId="1" fillId="8" borderId="0" xfId="7" applyNumberFormat="1" applyFont="1" applyFill="1" applyBorder="1" applyAlignment="1">
      <alignment horizontal="center"/>
    </xf>
    <xf numFmtId="41" fontId="1" fillId="8" borderId="0" xfId="14" applyFont="1" applyFill="1" applyBorder="1" applyAlignment="1">
      <alignment horizontal="right"/>
    </xf>
    <xf numFmtId="172" fontId="9" fillId="8" borderId="0" xfId="7" applyNumberFormat="1" applyFont="1" applyFill="1" applyBorder="1" applyAlignment="1">
      <alignment horizontal="right"/>
    </xf>
    <xf numFmtId="3" fontId="1" fillId="9" borderId="0" xfId="0" applyNumberFormat="1" applyFont="1" applyFill="1" applyAlignment="1">
      <alignment horizontal="left"/>
    </xf>
    <xf numFmtId="41" fontId="1" fillId="9" borderId="0" xfId="14" applyFont="1" applyFill="1" applyBorder="1"/>
    <xf numFmtId="41" fontId="36" fillId="9" borderId="0" xfId="14" applyFont="1" applyFill="1" applyBorder="1"/>
    <xf numFmtId="41" fontId="36" fillId="9" borderId="26" xfId="14" applyFont="1" applyFill="1" applyBorder="1"/>
    <xf numFmtId="0" fontId="36" fillId="9" borderId="36" xfId="0" applyFont="1" applyFill="1" applyBorder="1"/>
    <xf numFmtId="0" fontId="36" fillId="9" borderId="38" xfId="0" applyFont="1" applyFill="1" applyBorder="1"/>
    <xf numFmtId="41" fontId="36" fillId="9" borderId="2" xfId="0" applyNumberFormat="1" applyFont="1" applyFill="1" applyBorder="1"/>
    <xf numFmtId="41" fontId="36" fillId="9" borderId="38" xfId="0" applyNumberFormat="1" applyFont="1" applyFill="1" applyBorder="1"/>
    <xf numFmtId="41" fontId="36" fillId="9" borderId="3" xfId="0" applyNumberFormat="1" applyFont="1" applyFill="1" applyBorder="1"/>
    <xf numFmtId="41" fontId="36" fillId="9" borderId="26" xfId="0" applyNumberFormat="1" applyFont="1" applyFill="1" applyBorder="1"/>
    <xf numFmtId="41" fontId="36" fillId="9" borderId="33" xfId="0" applyNumberFormat="1" applyFont="1" applyFill="1" applyBorder="1"/>
    <xf numFmtId="41" fontId="39" fillId="16" borderId="38" xfId="14" applyFont="1" applyFill="1" applyBorder="1"/>
    <xf numFmtId="41" fontId="39" fillId="16" borderId="2" xfId="14" applyFont="1" applyFill="1" applyBorder="1"/>
    <xf numFmtId="0" fontId="40" fillId="9" borderId="0" xfId="0" applyFont="1" applyFill="1"/>
    <xf numFmtId="0" fontId="39" fillId="16" borderId="36" xfId="0" applyFont="1" applyFill="1" applyBorder="1" applyAlignment="1">
      <alignment horizontal="center" wrapText="1"/>
    </xf>
    <xf numFmtId="0" fontId="39" fillId="16" borderId="38" xfId="0" applyFont="1" applyFill="1" applyBorder="1" applyAlignment="1">
      <alignment horizontal="center" wrapText="1"/>
    </xf>
    <xf numFmtId="0" fontId="39" fillId="16" borderId="2" xfId="0" applyFont="1" applyFill="1" applyBorder="1" applyAlignment="1">
      <alignment horizontal="center" wrapText="1"/>
    </xf>
    <xf numFmtId="0" fontId="39" fillId="16" borderId="36" xfId="0" applyFont="1" applyFill="1" applyBorder="1" applyAlignment="1">
      <alignment horizontal="center" vertical="center" wrapText="1"/>
    </xf>
    <xf numFmtId="0" fontId="39" fillId="16" borderId="38" xfId="0" applyFont="1" applyFill="1" applyBorder="1" applyAlignment="1">
      <alignment horizontal="center" vertical="center" wrapText="1"/>
    </xf>
    <xf numFmtId="0" fontId="39" fillId="16" borderId="2" xfId="0" applyFont="1" applyFill="1" applyBorder="1" applyAlignment="1">
      <alignment horizontal="center" vertical="center" wrapText="1"/>
    </xf>
    <xf numFmtId="0" fontId="40" fillId="9" borderId="42" xfId="0" applyFont="1" applyFill="1" applyBorder="1" applyAlignment="1">
      <alignment horizontal="center"/>
    </xf>
    <xf numFmtId="0" fontId="40" fillId="9" borderId="0" xfId="0" applyFont="1" applyFill="1" applyAlignment="1">
      <alignment horizontal="left" indent="1"/>
    </xf>
    <xf numFmtId="0" fontId="40" fillId="9" borderId="0" xfId="0" applyFont="1" applyFill="1" applyAlignment="1">
      <alignment horizontal="center"/>
    </xf>
    <xf numFmtId="41" fontId="40" fillId="9" borderId="0" xfId="14" applyFont="1" applyFill="1" applyBorder="1"/>
    <xf numFmtId="41" fontId="40" fillId="9" borderId="3" xfId="14" applyFont="1" applyFill="1" applyBorder="1"/>
    <xf numFmtId="0" fontId="40" fillId="9" borderId="42" xfId="0" applyFont="1" applyFill="1" applyBorder="1" applyAlignment="1">
      <alignment horizontal="center" vertical="center"/>
    </xf>
    <xf numFmtId="0" fontId="40" fillId="9" borderId="0" xfId="0" applyFont="1" applyFill="1" applyAlignment="1">
      <alignment horizontal="center" vertical="center"/>
    </xf>
    <xf numFmtId="41" fontId="40" fillId="9" borderId="0" xfId="0" applyNumberFormat="1" applyFont="1" applyFill="1"/>
    <xf numFmtId="41" fontId="40" fillId="9" borderId="3" xfId="0" applyNumberFormat="1" applyFont="1" applyFill="1" applyBorder="1"/>
    <xf numFmtId="0" fontId="40" fillId="9" borderId="37" xfId="0" applyFont="1" applyFill="1" applyBorder="1" applyAlignment="1">
      <alignment horizontal="center"/>
    </xf>
    <xf numFmtId="0" fontId="40" fillId="9" borderId="26" xfId="0" applyFont="1" applyFill="1" applyBorder="1" applyAlignment="1">
      <alignment horizontal="left" indent="1"/>
    </xf>
    <xf numFmtId="0" fontId="40" fillId="9" borderId="26" xfId="0" applyFont="1" applyFill="1" applyBorder="1" applyAlignment="1">
      <alignment horizontal="center"/>
    </xf>
    <xf numFmtId="41" fontId="40" fillId="9" borderId="26" xfId="14" applyFont="1" applyFill="1" applyBorder="1"/>
    <xf numFmtId="41" fontId="40" fillId="9" borderId="33" xfId="14" applyFont="1" applyFill="1" applyBorder="1"/>
    <xf numFmtId="0" fontId="40" fillId="9" borderId="36" xfId="0" applyFont="1" applyFill="1" applyBorder="1"/>
    <xf numFmtId="0" fontId="40" fillId="9" borderId="38" xfId="0" applyFont="1" applyFill="1" applyBorder="1"/>
    <xf numFmtId="41" fontId="40" fillId="9" borderId="38" xfId="0" applyNumberFormat="1" applyFont="1" applyFill="1" applyBorder="1"/>
    <xf numFmtId="41" fontId="40" fillId="9" borderId="2" xfId="0" applyNumberFormat="1" applyFont="1" applyFill="1" applyBorder="1"/>
    <xf numFmtId="0" fontId="40" fillId="9" borderId="37" xfId="0" applyFont="1" applyFill="1" applyBorder="1" applyAlignment="1">
      <alignment horizontal="center" vertical="center"/>
    </xf>
    <xf numFmtId="0" fontId="40" fillId="9" borderId="26" xfId="0" applyFont="1" applyFill="1" applyBorder="1" applyAlignment="1">
      <alignment horizontal="center" vertical="center"/>
    </xf>
    <xf numFmtId="41" fontId="40" fillId="9" borderId="26" xfId="0" applyNumberFormat="1" applyFont="1" applyFill="1" applyBorder="1"/>
    <xf numFmtId="41" fontId="40" fillId="9" borderId="33" xfId="0" applyNumberFormat="1" applyFont="1" applyFill="1" applyBorder="1"/>
    <xf numFmtId="0" fontId="39" fillId="16" borderId="40" xfId="0" applyFont="1" applyFill="1" applyBorder="1"/>
    <xf numFmtId="0" fontId="39" fillId="16" borderId="41" xfId="0" applyFont="1" applyFill="1" applyBorder="1"/>
    <xf numFmtId="41" fontId="36" fillId="9" borderId="40" xfId="14" applyFont="1" applyFill="1" applyBorder="1"/>
    <xf numFmtId="173" fontId="40" fillId="9" borderId="0" xfId="0" applyNumberFormat="1" applyFont="1" applyFill="1" applyAlignment="1">
      <alignment horizontal="right" vertical="center"/>
    </xf>
    <xf numFmtId="0" fontId="40" fillId="14" borderId="0" xfId="0" applyFont="1" applyFill="1" applyAlignment="1">
      <alignment horizontal="center" vertical="center"/>
    </xf>
    <xf numFmtId="0" fontId="40" fillId="14" borderId="0" xfId="0" applyFont="1" applyFill="1" applyAlignment="1">
      <alignment horizontal="left" vertical="center"/>
    </xf>
    <xf numFmtId="173" fontId="40" fillId="14" borderId="0" xfId="0" applyNumberFormat="1" applyFont="1" applyFill="1" applyAlignment="1">
      <alignment horizontal="right" vertical="center"/>
    </xf>
    <xf numFmtId="3" fontId="40" fillId="9" borderId="0" xfId="0" applyNumberFormat="1" applyFont="1" applyFill="1"/>
    <xf numFmtId="0" fontId="40" fillId="9" borderId="0" xfId="0" applyFont="1" applyFill="1" applyAlignment="1">
      <alignment horizontal="left"/>
    </xf>
    <xf numFmtId="0" fontId="34" fillId="0" borderId="0" xfId="0" applyFont="1"/>
    <xf numFmtId="0" fontId="17" fillId="20" borderId="36" xfId="0" applyFont="1" applyFill="1" applyBorder="1" applyAlignment="1">
      <alignment horizontal="center" vertical="center" wrapText="1"/>
    </xf>
    <xf numFmtId="0" fontId="17" fillId="20" borderId="38" xfId="0" applyFont="1" applyFill="1" applyBorder="1" applyAlignment="1">
      <alignment horizontal="center" vertical="center" wrapText="1"/>
    </xf>
    <xf numFmtId="0" fontId="17" fillId="20" borderId="2" xfId="0" applyFont="1" applyFill="1" applyBorder="1" applyAlignment="1">
      <alignment horizontal="center" vertical="center" wrapText="1"/>
    </xf>
    <xf numFmtId="0" fontId="17" fillId="14" borderId="39" xfId="0" applyFont="1" applyFill="1" applyBorder="1" applyAlignment="1">
      <alignment horizontal="center" vertical="center"/>
    </xf>
    <xf numFmtId="0" fontId="17" fillId="14" borderId="40" xfId="0" applyFont="1" applyFill="1" applyBorder="1" applyAlignment="1">
      <alignment horizontal="center" vertical="center"/>
    </xf>
    <xf numFmtId="173" fontId="17" fillId="14" borderId="41" xfId="0" applyNumberFormat="1" applyFont="1" applyFill="1" applyBorder="1" applyAlignment="1">
      <alignment horizontal="right" vertical="center"/>
    </xf>
    <xf numFmtId="0" fontId="17" fillId="14" borderId="37" xfId="0" applyFont="1" applyFill="1" applyBorder="1" applyAlignment="1">
      <alignment horizontal="center" vertical="center"/>
    </xf>
    <xf numFmtId="0" fontId="17" fillId="14" borderId="26" xfId="0" applyFont="1" applyFill="1" applyBorder="1" applyAlignment="1">
      <alignment horizontal="center" vertical="center"/>
    </xf>
    <xf numFmtId="173" fontId="17" fillId="14" borderId="33" xfId="0" applyNumberFormat="1" applyFont="1" applyFill="1" applyBorder="1" applyAlignment="1">
      <alignment horizontal="right" vertical="center"/>
    </xf>
    <xf numFmtId="0" fontId="34" fillId="0" borderId="36" xfId="0" applyFont="1" applyBorder="1"/>
    <xf numFmtId="0" fontId="34" fillId="0" borderId="38" xfId="0" applyFont="1" applyBorder="1"/>
    <xf numFmtId="173" fontId="34" fillId="0" borderId="2" xfId="0" applyNumberFormat="1" applyFont="1" applyBorder="1"/>
    <xf numFmtId="0" fontId="17" fillId="14" borderId="40" xfId="0" applyFont="1" applyFill="1" applyBorder="1" applyAlignment="1">
      <alignment horizontal="left" vertical="center"/>
    </xf>
    <xf numFmtId="173" fontId="17" fillId="14" borderId="40" xfId="0" applyNumberFormat="1" applyFont="1" applyFill="1" applyBorder="1" applyAlignment="1">
      <alignment horizontal="right" vertical="center"/>
    </xf>
    <xf numFmtId="41" fontId="34" fillId="9" borderId="40" xfId="14" applyFont="1" applyFill="1" applyBorder="1" applyAlignment="1"/>
    <xf numFmtId="41" fontId="34" fillId="9" borderId="41" xfId="14" applyFont="1" applyFill="1" applyBorder="1" applyAlignment="1"/>
    <xf numFmtId="0" fontId="17" fillId="14" borderId="42" xfId="0" applyFont="1" applyFill="1" applyBorder="1" applyAlignment="1">
      <alignment horizontal="center" vertical="center"/>
    </xf>
    <xf numFmtId="0" fontId="17" fillId="14" borderId="0" xfId="0" applyFont="1" applyFill="1" applyAlignment="1">
      <alignment horizontal="left" vertical="center"/>
    </xf>
    <xf numFmtId="173" fontId="17" fillId="14" borderId="0" xfId="0" applyNumberFormat="1" applyFont="1" applyFill="1" applyAlignment="1">
      <alignment horizontal="right" vertical="center"/>
    </xf>
    <xf numFmtId="41" fontId="34" fillId="9" borderId="0" xfId="14" applyFont="1" applyFill="1" applyBorder="1" applyAlignment="1"/>
    <xf numFmtId="41" fontId="34" fillId="9" borderId="3" xfId="14" applyFont="1" applyFill="1" applyBorder="1" applyAlignment="1"/>
    <xf numFmtId="0" fontId="34" fillId="20" borderId="38" xfId="0" applyFont="1" applyFill="1" applyBorder="1"/>
    <xf numFmtId="0" fontId="34" fillId="20" borderId="2" xfId="0" applyFont="1" applyFill="1" applyBorder="1"/>
    <xf numFmtId="41" fontId="34" fillId="0" borderId="2" xfId="0" applyNumberFormat="1" applyFont="1" applyBorder="1"/>
    <xf numFmtId="41" fontId="34" fillId="0" borderId="38" xfId="0" applyNumberFormat="1" applyFont="1" applyBorder="1"/>
    <xf numFmtId="41" fontId="36" fillId="9" borderId="40" xfId="0" applyNumberFormat="1" applyFont="1" applyFill="1" applyBorder="1"/>
    <xf numFmtId="41" fontId="36" fillId="9" borderId="41" xfId="0" applyNumberFormat="1" applyFont="1" applyFill="1" applyBorder="1"/>
    <xf numFmtId="41" fontId="40" fillId="9" borderId="0" xfId="14" applyFont="1" applyFill="1"/>
    <xf numFmtId="10" fontId="20" fillId="11" borderId="1" xfId="7" applyNumberFormat="1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41" fontId="39" fillId="0" borderId="0" xfId="14" applyFont="1" applyAlignment="1">
      <alignment vertical="center"/>
    </xf>
    <xf numFmtId="0" fontId="39" fillId="20" borderId="0" xfId="0" applyFont="1" applyFill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45" fillId="9" borderId="0" xfId="0" applyFont="1" applyFill="1" applyAlignment="1">
      <alignment horizontal="center" vertical="center"/>
    </xf>
    <xf numFmtId="0" fontId="40" fillId="9" borderId="0" xfId="0" applyFont="1" applyFill="1" applyAlignment="1">
      <alignment horizontal="left" vertical="center"/>
    </xf>
    <xf numFmtId="41" fontId="40" fillId="9" borderId="0" xfId="14" applyFont="1" applyFill="1" applyBorder="1" applyAlignment="1">
      <alignment vertical="center"/>
    </xf>
    <xf numFmtId="0" fontId="40" fillId="9" borderId="0" xfId="0" applyFont="1" applyFill="1" applyAlignment="1">
      <alignment vertical="center"/>
    </xf>
    <xf numFmtId="0" fontId="40" fillId="25" borderId="0" xfId="0" applyFont="1" applyFill="1" applyAlignment="1">
      <alignment horizontal="left" vertical="center"/>
    </xf>
    <xf numFmtId="173" fontId="40" fillId="25" borderId="0" xfId="0" applyNumberFormat="1" applyFont="1" applyFill="1" applyAlignment="1">
      <alignment horizontal="right" vertical="center"/>
    </xf>
    <xf numFmtId="41" fontId="40" fillId="9" borderId="0" xfId="0" applyNumberFormat="1" applyFont="1" applyFill="1" applyAlignment="1">
      <alignment vertical="center"/>
    </xf>
    <xf numFmtId="0" fontId="40" fillId="9" borderId="0" xfId="0" applyFont="1" applyFill="1" applyAlignment="1">
      <alignment horizontal="left" vertical="top"/>
    </xf>
    <xf numFmtId="173" fontId="40" fillId="9" borderId="0" xfId="0" applyNumberFormat="1" applyFont="1" applyFill="1" applyAlignment="1">
      <alignment horizontal="right" vertical="top"/>
    </xf>
    <xf numFmtId="3" fontId="40" fillId="9" borderId="0" xfId="0" applyNumberFormat="1" applyFont="1" applyFill="1" applyAlignment="1">
      <alignment vertical="center"/>
    </xf>
    <xf numFmtId="41" fontId="40" fillId="22" borderId="0" xfId="14" applyFont="1" applyFill="1" applyBorder="1" applyAlignment="1">
      <alignment vertical="center"/>
    </xf>
    <xf numFmtId="0" fontId="40" fillId="16" borderId="0" xfId="0" applyFont="1" applyFill="1" applyAlignment="1">
      <alignment horizontal="left" vertical="center"/>
    </xf>
    <xf numFmtId="173" fontId="40" fillId="16" borderId="0" xfId="0" applyNumberFormat="1" applyFont="1" applyFill="1" applyAlignment="1">
      <alignment horizontal="right" vertical="center"/>
    </xf>
    <xf numFmtId="41" fontId="40" fillId="16" borderId="0" xfId="14" applyFont="1" applyFill="1" applyBorder="1" applyAlignment="1">
      <alignment vertical="center"/>
    </xf>
    <xf numFmtId="173" fontId="40" fillId="9" borderId="0" xfId="0" applyNumberFormat="1" applyFont="1" applyFill="1" applyAlignment="1">
      <alignment vertical="center"/>
    </xf>
    <xf numFmtId="0" fontId="45" fillId="9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41" fontId="41" fillId="0" borderId="0" xfId="14" applyFont="1"/>
    <xf numFmtId="0" fontId="44" fillId="9" borderId="36" xfId="0" applyFont="1" applyFill="1" applyBorder="1" applyAlignment="1">
      <alignment horizontal="center" vertical="center" wrapText="1"/>
    </xf>
    <xf numFmtId="0" fontId="39" fillId="20" borderId="38" xfId="0" applyFont="1" applyFill="1" applyBorder="1" applyAlignment="1">
      <alignment horizontal="center" vertical="center" wrapText="1"/>
    </xf>
    <xf numFmtId="0" fontId="39" fillId="0" borderId="38" xfId="0" applyFont="1" applyBorder="1" applyAlignment="1">
      <alignment vertical="center"/>
    </xf>
    <xf numFmtId="0" fontId="39" fillId="0" borderId="38" xfId="0" applyFont="1" applyBorder="1" applyAlignment="1">
      <alignment vertical="center" wrapText="1"/>
    </xf>
    <xf numFmtId="0" fontId="39" fillId="20" borderId="2" xfId="0" applyFont="1" applyFill="1" applyBorder="1" applyAlignment="1">
      <alignment horizontal="center" vertical="center" wrapText="1"/>
    </xf>
    <xf numFmtId="0" fontId="40" fillId="9" borderId="39" xfId="0" applyFont="1" applyFill="1" applyBorder="1" applyAlignment="1">
      <alignment horizontal="left" vertical="center"/>
    </xf>
    <xf numFmtId="173" fontId="40" fillId="9" borderId="40" xfId="0" applyNumberFormat="1" applyFont="1" applyFill="1" applyBorder="1" applyAlignment="1">
      <alignment horizontal="right" vertical="center"/>
    </xf>
    <xf numFmtId="173" fontId="40" fillId="9" borderId="41" xfId="0" applyNumberFormat="1" applyFont="1" applyFill="1" applyBorder="1" applyAlignment="1">
      <alignment horizontal="right" vertical="center"/>
    </xf>
    <xf numFmtId="0" fontId="40" fillId="9" borderId="42" xfId="0" applyFont="1" applyFill="1" applyBorder="1" applyAlignment="1">
      <alignment horizontal="left" vertical="center"/>
    </xf>
    <xf numFmtId="173" fontId="40" fillId="9" borderId="3" xfId="0" applyNumberFormat="1" applyFont="1" applyFill="1" applyBorder="1" applyAlignment="1">
      <alignment horizontal="right" vertical="center"/>
    </xf>
    <xf numFmtId="0" fontId="40" fillId="9" borderId="37" xfId="0" applyFont="1" applyFill="1" applyBorder="1" applyAlignment="1">
      <alignment horizontal="left" vertical="center"/>
    </xf>
    <xf numFmtId="173" fontId="40" fillId="9" borderId="26" xfId="0" applyNumberFormat="1" applyFont="1" applyFill="1" applyBorder="1" applyAlignment="1">
      <alignment horizontal="right" vertical="center"/>
    </xf>
    <xf numFmtId="173" fontId="40" fillId="9" borderId="33" xfId="0" applyNumberFormat="1" applyFont="1" applyFill="1" applyBorder="1" applyAlignment="1">
      <alignment horizontal="right" vertical="center"/>
    </xf>
    <xf numFmtId="0" fontId="40" fillId="9" borderId="36" xfId="0" applyFont="1" applyFill="1" applyBorder="1" applyAlignment="1">
      <alignment vertical="center"/>
    </xf>
    <xf numFmtId="0" fontId="40" fillId="9" borderId="38" xfId="0" applyFont="1" applyFill="1" applyBorder="1" applyAlignment="1">
      <alignment vertical="center"/>
    </xf>
    <xf numFmtId="173" fontId="40" fillId="9" borderId="38" xfId="0" applyNumberFormat="1" applyFont="1" applyFill="1" applyBorder="1" applyAlignment="1">
      <alignment vertical="center"/>
    </xf>
    <xf numFmtId="173" fontId="40" fillId="9" borderId="2" xfId="0" applyNumberFormat="1" applyFont="1" applyFill="1" applyBorder="1" applyAlignment="1">
      <alignment vertical="center"/>
    </xf>
    <xf numFmtId="0" fontId="39" fillId="20" borderId="36" xfId="0" applyFont="1" applyFill="1" applyBorder="1" applyAlignment="1">
      <alignment horizontal="center" vertical="center" wrapText="1"/>
    </xf>
    <xf numFmtId="0" fontId="2" fillId="8" borderId="44" xfId="0" applyFont="1" applyFill="1" applyBorder="1"/>
    <xf numFmtId="0" fontId="27" fillId="20" borderId="39" xfId="0" applyFont="1" applyFill="1" applyBorder="1" applyAlignment="1">
      <alignment horizontal="center" vertical="center" wrapText="1"/>
    </xf>
    <xf numFmtId="0" fontId="27" fillId="20" borderId="40" xfId="0" applyFont="1" applyFill="1" applyBorder="1" applyAlignment="1">
      <alignment horizontal="center" vertical="center" wrapText="1"/>
    </xf>
    <xf numFmtId="0" fontId="28" fillId="0" borderId="40" xfId="0" applyFont="1" applyBorder="1" applyAlignment="1">
      <alignment wrapText="1"/>
    </xf>
    <xf numFmtId="0" fontId="28" fillId="20" borderId="40" xfId="0" applyFont="1" applyFill="1" applyBorder="1" applyAlignment="1">
      <alignment horizontal="center" vertical="center" wrapText="1"/>
    </xf>
    <xf numFmtId="0" fontId="28" fillId="22" borderId="40" xfId="0" applyFont="1" applyFill="1" applyBorder="1" applyAlignment="1">
      <alignment horizontal="center" vertical="center" wrapText="1"/>
    </xf>
    <xf numFmtId="0" fontId="28" fillId="14" borderId="42" xfId="0" applyFont="1" applyFill="1" applyBorder="1" applyAlignment="1">
      <alignment horizontal="center" vertical="center"/>
    </xf>
    <xf numFmtId="0" fontId="28" fillId="19" borderId="0" xfId="0" applyFont="1" applyFill="1" applyAlignment="1">
      <alignment horizontal="center" vertical="center"/>
    </xf>
    <xf numFmtId="0" fontId="28" fillId="19" borderId="0" xfId="0" applyFont="1" applyFill="1" applyAlignment="1">
      <alignment horizontal="left" vertical="center"/>
    </xf>
    <xf numFmtId="0" fontId="28" fillId="14" borderId="37" xfId="0" applyFont="1" applyFill="1" applyBorder="1" applyAlignment="1">
      <alignment horizontal="center" vertical="center"/>
    </xf>
    <xf numFmtId="0" fontId="28" fillId="14" borderId="26" xfId="0" applyFont="1" applyFill="1" applyBorder="1" applyAlignment="1">
      <alignment horizontal="center" vertical="center"/>
    </xf>
    <xf numFmtId="173" fontId="28" fillId="14" borderId="26" xfId="0" applyNumberFormat="1" applyFont="1" applyFill="1" applyBorder="1" applyAlignment="1">
      <alignment horizontal="right" vertical="center"/>
    </xf>
    <xf numFmtId="41" fontId="28" fillId="9" borderId="26" xfId="14" applyFont="1" applyFill="1" applyBorder="1" applyAlignment="1"/>
    <xf numFmtId="0" fontId="28" fillId="0" borderId="26" xfId="0" applyFont="1" applyBorder="1"/>
    <xf numFmtId="0" fontId="28" fillId="14" borderId="26" xfId="0" applyFont="1" applyFill="1" applyBorder="1" applyAlignment="1">
      <alignment horizontal="left" vertical="center"/>
    </xf>
    <xf numFmtId="173" fontId="28" fillId="19" borderId="26" xfId="0" applyNumberFormat="1" applyFont="1" applyFill="1" applyBorder="1" applyAlignment="1">
      <alignment horizontal="right" vertical="center"/>
    </xf>
    <xf numFmtId="41" fontId="28" fillId="0" borderId="26" xfId="14" applyFont="1" applyBorder="1" applyAlignment="1"/>
    <xf numFmtId="0" fontId="36" fillId="9" borderId="39" xfId="0" applyFont="1" applyFill="1" applyBorder="1"/>
    <xf numFmtId="0" fontId="36" fillId="9" borderId="42" xfId="0" applyFont="1" applyFill="1" applyBorder="1"/>
    <xf numFmtId="0" fontId="36" fillId="9" borderId="37" xfId="0" applyFont="1" applyFill="1" applyBorder="1"/>
    <xf numFmtId="17" fontId="35" fillId="22" borderId="36" xfId="0" applyNumberFormat="1" applyFont="1" applyFill="1" applyBorder="1" applyAlignment="1">
      <alignment horizontal="center" vertical="center"/>
    </xf>
    <xf numFmtId="0" fontId="35" fillId="22" borderId="38" xfId="0" applyFont="1" applyFill="1" applyBorder="1" applyAlignment="1">
      <alignment horizontal="center" vertical="center"/>
    </xf>
    <xf numFmtId="0" fontId="35" fillId="22" borderId="2" xfId="0" applyFont="1" applyFill="1" applyBorder="1" applyAlignment="1">
      <alignment horizontal="center" vertical="center"/>
    </xf>
    <xf numFmtId="0" fontId="35" fillId="22" borderId="36" xfId="0" applyFont="1" applyFill="1" applyBorder="1" applyAlignment="1">
      <alignment horizontal="center" vertical="center"/>
    </xf>
    <xf numFmtId="0" fontId="35" fillId="22" borderId="37" xfId="0" applyFont="1" applyFill="1" applyBorder="1" applyAlignment="1">
      <alignment horizontal="center" vertical="center"/>
    </xf>
    <xf numFmtId="0" fontId="35" fillId="22" borderId="26" xfId="0" applyFont="1" applyFill="1" applyBorder="1" applyAlignment="1">
      <alignment horizontal="center" vertical="center"/>
    </xf>
    <xf numFmtId="0" fontId="35" fillId="22" borderId="26" xfId="0" applyFont="1" applyFill="1" applyBorder="1" applyAlignment="1">
      <alignment horizontal="center" vertical="center" wrapText="1"/>
    </xf>
    <xf numFmtId="0" fontId="35" fillId="22" borderId="33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41" fontId="15" fillId="5" borderId="1" xfId="7" applyNumberFormat="1" applyFont="1" applyFill="1" applyBorder="1" applyAlignment="1">
      <alignment vertical="center"/>
    </xf>
    <xf numFmtId="167" fontId="15" fillId="9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67" fontId="12" fillId="0" borderId="1" xfId="0" applyNumberFormat="1" applyFont="1" applyBorder="1" applyAlignment="1">
      <alignment horizontal="center" vertical="center"/>
    </xf>
    <xf numFmtId="3" fontId="37" fillId="0" borderId="0" xfId="0" applyNumberFormat="1" applyFont="1" applyAlignment="1">
      <alignment horizontal="center"/>
    </xf>
    <xf numFmtId="169" fontId="3" fillId="0" borderId="17" xfId="11" applyNumberFormat="1" applyFont="1" applyFill="1" applyBorder="1" applyAlignment="1">
      <alignment horizontal="right"/>
    </xf>
    <xf numFmtId="168" fontId="1" fillId="8" borderId="0" xfId="0" applyNumberFormat="1" applyFont="1" applyFill="1" applyProtection="1">
      <protection locked="0"/>
    </xf>
    <xf numFmtId="0" fontId="2" fillId="8" borderId="0" xfId="0" applyFont="1" applyFill="1"/>
    <xf numFmtId="169" fontId="2" fillId="8" borderId="0" xfId="11" applyNumberFormat="1" applyFont="1" applyFill="1" applyBorder="1" applyAlignment="1">
      <alignment horizontal="right"/>
    </xf>
    <xf numFmtId="169" fontId="1" fillId="8" borderId="21" xfId="11" applyNumberFormat="1" applyFont="1" applyFill="1" applyBorder="1" applyAlignment="1">
      <alignment horizontal="right"/>
    </xf>
    <xf numFmtId="0" fontId="8" fillId="0" borderId="0" xfId="0" applyFont="1"/>
    <xf numFmtId="168" fontId="2" fillId="0" borderId="8" xfId="0" applyNumberFormat="1" applyFont="1" applyBorder="1" applyProtection="1">
      <protection locked="0"/>
    </xf>
    <xf numFmtId="168" fontId="1" fillId="0" borderId="10" xfId="0" applyNumberFormat="1" applyFont="1" applyBorder="1" applyProtection="1">
      <protection locked="0"/>
    </xf>
    <xf numFmtId="0" fontId="1" fillId="0" borderId="45" xfId="0" applyFont="1" applyBorder="1" applyProtection="1">
      <protection locked="0"/>
    </xf>
    <xf numFmtId="3" fontId="2" fillId="2" borderId="1" xfId="0" applyNumberFormat="1" applyFont="1" applyFill="1" applyBorder="1" applyAlignment="1" applyProtection="1">
      <alignment horizontal="center" vertical="center"/>
      <protection locked="0"/>
    </xf>
    <xf numFmtId="0" fontId="2" fillId="16" borderId="1" xfId="0" applyFont="1" applyFill="1" applyBorder="1" applyAlignment="1">
      <alignment horizontal="center" vertical="center"/>
    </xf>
    <xf numFmtId="3" fontId="9" fillId="16" borderId="1" xfId="0" applyNumberFormat="1" applyFont="1" applyFill="1" applyBorder="1" applyAlignment="1">
      <alignment vertical="center" wrapText="1"/>
    </xf>
    <xf numFmtId="41" fontId="1" fillId="9" borderId="1" xfId="14" applyFont="1" applyFill="1" applyBorder="1"/>
    <xf numFmtId="0" fontId="47" fillId="9" borderId="0" xfId="0" applyFont="1" applyFill="1" applyAlignment="1">
      <alignment horizontal="center" vertical="center"/>
    </xf>
    <xf numFmtId="0" fontId="48" fillId="9" borderId="10" xfId="0" applyFont="1" applyFill="1" applyBorder="1" applyAlignment="1">
      <alignment horizontal="center" vertical="center"/>
    </xf>
    <xf numFmtId="0" fontId="46" fillId="9" borderId="34" xfId="0" applyFont="1" applyFill="1" applyBorder="1" applyAlignment="1">
      <alignment horizontal="center" vertical="center"/>
    </xf>
    <xf numFmtId="1" fontId="46" fillId="9" borderId="34" xfId="14" applyNumberFormat="1" applyFont="1" applyFill="1" applyBorder="1" applyAlignment="1">
      <alignment horizontal="center" vertical="center"/>
    </xf>
    <xf numFmtId="10" fontId="46" fillId="9" borderId="34" xfId="7" applyNumberFormat="1" applyFont="1" applyFill="1" applyBorder="1" applyAlignment="1">
      <alignment horizontal="center" vertical="center"/>
    </xf>
    <xf numFmtId="172" fontId="48" fillId="9" borderId="34" xfId="7" applyNumberFormat="1" applyFont="1" applyFill="1" applyBorder="1" applyAlignment="1">
      <alignment horizontal="center" vertical="center"/>
    </xf>
    <xf numFmtId="0" fontId="49" fillId="9" borderId="34" xfId="15" applyFont="1" applyFill="1" applyBorder="1" applyAlignment="1">
      <alignment horizontal="center" vertical="center"/>
    </xf>
    <xf numFmtId="0" fontId="46" fillId="9" borderId="19" xfId="0" applyFont="1" applyFill="1" applyBorder="1" applyAlignment="1">
      <alignment horizontal="center" vertical="center"/>
    </xf>
    <xf numFmtId="0" fontId="46" fillId="9" borderId="0" xfId="0" applyFont="1" applyFill="1" applyAlignment="1">
      <alignment horizontal="center" vertical="center"/>
    </xf>
    <xf numFmtId="3" fontId="49" fillId="0" borderId="0" xfId="15" applyNumberFormat="1" applyFont="1" applyFill="1" applyAlignment="1" applyProtection="1">
      <alignment horizontal="center"/>
      <protection locked="0"/>
    </xf>
    <xf numFmtId="10" fontId="49" fillId="0" borderId="0" xfId="7" applyNumberFormat="1" applyFont="1" applyFill="1" applyProtection="1">
      <protection locked="0"/>
    </xf>
    <xf numFmtId="41" fontId="49" fillId="0" borderId="0" xfId="14" applyFont="1" applyFill="1" applyProtection="1">
      <protection locked="0"/>
    </xf>
    <xf numFmtId="3" fontId="49" fillId="0" borderId="0" xfId="15" applyNumberFormat="1" applyFont="1" applyFill="1" applyProtection="1">
      <protection locked="0"/>
    </xf>
    <xf numFmtId="3" fontId="49" fillId="0" borderId="0" xfId="14" applyNumberFormat="1" applyFont="1" applyFill="1" applyAlignment="1" applyProtection="1">
      <alignment horizontal="right"/>
      <protection locked="0"/>
    </xf>
    <xf numFmtId="3" fontId="49" fillId="17" borderId="0" xfId="15" applyNumberFormat="1" applyFont="1" applyProtection="1">
      <protection locked="0"/>
    </xf>
    <xf numFmtId="0" fontId="46" fillId="9" borderId="10" xfId="0" applyFont="1" applyFill="1" applyBorder="1"/>
    <xf numFmtId="0" fontId="46" fillId="9" borderId="34" xfId="0" applyFont="1" applyFill="1" applyBorder="1"/>
    <xf numFmtId="10" fontId="46" fillId="9" borderId="34" xfId="7" applyNumberFormat="1" applyFont="1" applyFill="1" applyBorder="1"/>
    <xf numFmtId="0" fontId="48" fillId="9" borderId="34" xfId="15" applyFont="1" applyFill="1" applyBorder="1" applyAlignment="1">
      <alignment horizontal="center"/>
    </xf>
    <xf numFmtId="10" fontId="48" fillId="9" borderId="34" xfId="7" applyNumberFormat="1" applyFont="1" applyFill="1" applyBorder="1"/>
    <xf numFmtId="41" fontId="46" fillId="9" borderId="34" xfId="14" applyFont="1" applyFill="1" applyBorder="1"/>
    <xf numFmtId="0" fontId="46" fillId="9" borderId="0" xfId="0" applyFont="1" applyFill="1"/>
    <xf numFmtId="3" fontId="51" fillId="0" borderId="0" xfId="0" applyNumberFormat="1" applyFont="1"/>
    <xf numFmtId="0" fontId="21" fillId="13" borderId="8" xfId="1" applyFont="1" applyFill="1" applyBorder="1" applyAlignment="1">
      <alignment vertical="center"/>
    </xf>
    <xf numFmtId="169" fontId="21" fillId="0" borderId="0" xfId="1" applyNumberFormat="1" applyFont="1" applyFill="1" applyBorder="1" applyAlignment="1">
      <alignment horizontal="center" vertical="center" wrapText="1"/>
    </xf>
    <xf numFmtId="3" fontId="46" fillId="9" borderId="0" xfId="0" applyNumberFormat="1" applyFont="1" applyFill="1"/>
    <xf numFmtId="0" fontId="2" fillId="7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72" fontId="2" fillId="7" borderId="1" xfId="7" applyNumberFormat="1" applyFont="1" applyFill="1" applyBorder="1" applyAlignment="1">
      <alignment horizontal="center" vertical="center"/>
    </xf>
    <xf numFmtId="41" fontId="2" fillId="7" borderId="1" xfId="14" applyFont="1" applyFill="1" applyBorder="1" applyAlignment="1" applyProtection="1">
      <alignment horizontal="center" vertical="center"/>
    </xf>
    <xf numFmtId="172" fontId="2" fillId="7" borderId="1" xfId="7" applyNumberFormat="1" applyFont="1" applyFill="1" applyBorder="1" applyAlignment="1" applyProtection="1">
      <alignment horizontal="center" vertical="center"/>
    </xf>
    <xf numFmtId="172" fontId="2" fillId="6" borderId="1" xfId="7" applyNumberFormat="1" applyFont="1" applyFill="1" applyBorder="1" applyAlignment="1">
      <alignment horizontal="center" vertical="center"/>
    </xf>
    <xf numFmtId="3" fontId="2" fillId="7" borderId="1" xfId="0" applyNumberFormat="1" applyFont="1" applyFill="1" applyBorder="1" applyAlignment="1">
      <alignment horizontal="center" vertical="center" wrapText="1"/>
    </xf>
    <xf numFmtId="172" fontId="2" fillId="7" borderId="1" xfId="7" applyNumberFormat="1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172" fontId="2" fillId="6" borderId="1" xfId="7" applyNumberFormat="1" applyFont="1" applyFill="1" applyBorder="1" applyAlignment="1">
      <alignment horizontal="center" vertical="center" wrapText="1"/>
    </xf>
    <xf numFmtId="0" fontId="53" fillId="9" borderId="0" xfId="0" applyFont="1" applyFill="1" applyAlignment="1">
      <alignment horizontal="center" vertical="center" wrapText="1"/>
    </xf>
    <xf numFmtId="0" fontId="20" fillId="11" borderId="1" xfId="2" applyFont="1" applyFill="1" applyBorder="1" applyAlignment="1">
      <alignment vertical="center"/>
    </xf>
    <xf numFmtId="167" fontId="20" fillId="11" borderId="1" xfId="2" applyNumberFormat="1" applyFont="1" applyFill="1" applyBorder="1" applyAlignment="1">
      <alignment vertical="center"/>
    </xf>
    <xf numFmtId="168" fontId="20" fillId="11" borderId="1" xfId="2" applyNumberFormat="1" applyFont="1" applyFill="1" applyBorder="1" applyAlignment="1">
      <alignment vertical="center"/>
    </xf>
    <xf numFmtId="3" fontId="20" fillId="11" borderId="1" xfId="2" applyNumberFormat="1" applyFont="1" applyFill="1" applyBorder="1" applyAlignment="1">
      <alignment vertical="center"/>
    </xf>
    <xf numFmtId="172" fontId="20" fillId="11" borderId="1" xfId="7" applyNumberFormat="1" applyFont="1" applyFill="1" applyBorder="1" applyAlignment="1">
      <alignment horizontal="center" vertical="center"/>
    </xf>
    <xf numFmtId="41" fontId="20" fillId="11" borderId="1" xfId="14" applyFont="1" applyFill="1" applyBorder="1" applyAlignment="1">
      <alignment horizontal="right" vertical="center"/>
    </xf>
    <xf numFmtId="172" fontId="20" fillId="11" borderId="1" xfId="2" applyNumberFormat="1" applyFont="1" applyFill="1" applyBorder="1" applyAlignment="1">
      <alignment horizontal="center" vertical="center"/>
    </xf>
    <xf numFmtId="41" fontId="20" fillId="11" borderId="1" xfId="14" applyFont="1" applyFill="1" applyBorder="1" applyAlignment="1">
      <alignment horizontal="center" vertical="center"/>
    </xf>
    <xf numFmtId="41" fontId="9" fillId="9" borderId="0" xfId="14" applyFont="1" applyFill="1"/>
    <xf numFmtId="174" fontId="9" fillId="9" borderId="0" xfId="0" applyNumberFormat="1" applyFont="1" applyFill="1"/>
    <xf numFmtId="41" fontId="9" fillId="0" borderId="0" xfId="14" applyFont="1" applyFill="1"/>
    <xf numFmtId="174" fontId="9" fillId="0" borderId="0" xfId="0" applyNumberFormat="1" applyFont="1"/>
    <xf numFmtId="41" fontId="10" fillId="9" borderId="0" xfId="14" applyFont="1" applyFill="1"/>
    <xf numFmtId="174" fontId="10" fillId="9" borderId="0" xfId="0" applyNumberFormat="1" applyFont="1" applyFill="1"/>
    <xf numFmtId="0" fontId="2" fillId="7" borderId="1" xfId="0" applyFont="1" applyFill="1" applyBorder="1" applyAlignment="1">
      <alignment horizontal="center"/>
    </xf>
    <xf numFmtId="41" fontId="2" fillId="7" borderId="1" xfId="14" applyFont="1" applyFill="1" applyBorder="1" applyAlignment="1" applyProtection="1">
      <alignment horizontal="center"/>
    </xf>
    <xf numFmtId="172" fontId="2" fillId="7" borderId="1" xfId="7" applyNumberFormat="1" applyFont="1" applyFill="1" applyBorder="1" applyAlignment="1" applyProtection="1">
      <alignment horizontal="center"/>
    </xf>
    <xf numFmtId="172" fontId="2" fillId="7" borderId="1" xfId="7" applyNumberFormat="1" applyFont="1" applyFill="1" applyBorder="1" applyAlignment="1">
      <alignment horizontal="center"/>
    </xf>
    <xf numFmtId="3" fontId="20" fillId="11" borderId="1" xfId="2" applyNumberFormat="1" applyFont="1" applyFill="1" applyBorder="1"/>
    <xf numFmtId="41" fontId="20" fillId="11" borderId="1" xfId="14" applyFont="1" applyFill="1" applyBorder="1" applyAlignment="1">
      <alignment horizontal="right"/>
    </xf>
    <xf numFmtId="172" fontId="20" fillId="11" borderId="1" xfId="7" applyNumberFormat="1" applyFont="1" applyFill="1" applyBorder="1" applyAlignment="1">
      <alignment horizontal="center"/>
    </xf>
    <xf numFmtId="1" fontId="2" fillId="7" borderId="1" xfId="14" applyNumberFormat="1" applyFont="1" applyFill="1" applyBorder="1" applyAlignment="1">
      <alignment horizontal="center" vertical="center"/>
    </xf>
    <xf numFmtId="10" fontId="2" fillId="7" borderId="1" xfId="7" applyNumberFormat="1" applyFont="1" applyFill="1" applyBorder="1" applyAlignment="1" applyProtection="1">
      <alignment horizontal="center" vertical="center"/>
    </xf>
    <xf numFmtId="3" fontId="2" fillId="6" borderId="1" xfId="14" applyNumberFormat="1" applyFont="1" applyFill="1" applyBorder="1" applyAlignment="1">
      <alignment horizontal="center" vertical="center"/>
    </xf>
    <xf numFmtId="10" fontId="2" fillId="6" borderId="1" xfId="7" applyNumberFormat="1" applyFont="1" applyFill="1" applyBorder="1" applyAlignment="1">
      <alignment horizontal="center" vertical="center"/>
    </xf>
    <xf numFmtId="10" fontId="2" fillId="7" borderId="1" xfId="7" applyNumberFormat="1" applyFont="1" applyFill="1" applyBorder="1" applyAlignment="1">
      <alignment horizontal="center" vertical="center" wrapText="1"/>
    </xf>
    <xf numFmtId="10" fontId="2" fillId="6" borderId="1" xfId="7" applyNumberFormat="1" applyFont="1" applyFill="1" applyBorder="1" applyAlignment="1">
      <alignment horizontal="center" vertical="center" wrapText="1"/>
    </xf>
    <xf numFmtId="3" fontId="20" fillId="11" borderId="1" xfId="14" applyNumberFormat="1" applyFont="1" applyFill="1" applyBorder="1" applyAlignment="1" applyProtection="1">
      <alignment horizontal="right" vertical="center"/>
    </xf>
    <xf numFmtId="3" fontId="20" fillId="11" borderId="1" xfId="7" applyNumberFormat="1" applyFont="1" applyFill="1" applyBorder="1" applyAlignment="1" applyProtection="1">
      <alignment horizontal="right" vertical="center"/>
    </xf>
    <xf numFmtId="3" fontId="2" fillId="2" borderId="2" xfId="0" applyNumberFormat="1" applyFont="1" applyFill="1" applyBorder="1" applyAlignment="1" applyProtection="1">
      <alignment horizontal="center" vertical="center"/>
      <protection locked="0"/>
    </xf>
    <xf numFmtId="3" fontId="1" fillId="0" borderId="0" xfId="7" applyNumberFormat="1" applyFont="1" applyFill="1" applyAlignment="1" applyProtection="1">
      <alignment horizontal="center"/>
      <protection locked="0"/>
    </xf>
    <xf numFmtId="3" fontId="2" fillId="6" borderId="1" xfId="0" applyNumberFormat="1" applyFont="1" applyFill="1" applyBorder="1" applyAlignment="1">
      <alignment horizontal="center" vertical="center"/>
    </xf>
    <xf numFmtId="41" fontId="2" fillId="2" borderId="1" xfId="14" applyFont="1" applyFill="1" applyBorder="1" applyAlignment="1">
      <alignment horizontal="right" vertical="center"/>
    </xf>
    <xf numFmtId="1" fontId="2" fillId="2" borderId="1" xfId="14" applyNumberFormat="1" applyFont="1" applyFill="1" applyBorder="1" applyAlignment="1">
      <alignment horizontal="right" vertical="center"/>
    </xf>
    <xf numFmtId="3" fontId="2" fillId="2" borderId="2" xfId="0" applyNumberFormat="1" applyFont="1" applyFill="1" applyBorder="1" applyAlignment="1">
      <alignment vertical="center"/>
    </xf>
    <xf numFmtId="0" fontId="39" fillId="26" borderId="0" xfId="0" applyFont="1" applyFill="1" applyAlignment="1">
      <alignment horizontal="center" vertical="center"/>
    </xf>
    <xf numFmtId="0" fontId="39" fillId="26" borderId="0" xfId="0" applyFont="1" applyFill="1" applyAlignment="1">
      <alignment horizontal="center" vertical="center" wrapText="1"/>
    </xf>
    <xf numFmtId="0" fontId="39" fillId="9" borderId="0" xfId="0" applyFont="1" applyFill="1" applyAlignment="1">
      <alignment horizontal="center" vertical="center" wrapText="1"/>
    </xf>
    <xf numFmtId="0" fontId="39" fillId="9" borderId="0" xfId="0" applyFont="1" applyFill="1" applyAlignment="1">
      <alignment horizontal="center" vertical="center"/>
    </xf>
    <xf numFmtId="0" fontId="40" fillId="26" borderId="0" xfId="0" applyFont="1" applyFill="1" applyAlignment="1">
      <alignment vertical="center"/>
    </xf>
    <xf numFmtId="0" fontId="39" fillId="26" borderId="0" xfId="0" applyFont="1" applyFill="1" applyAlignment="1">
      <alignment vertical="center"/>
    </xf>
    <xf numFmtId="0" fontId="40" fillId="9" borderId="0" xfId="0" applyFont="1" applyFill="1" applyAlignment="1">
      <alignment vertical="center" wrapText="1"/>
    </xf>
    <xf numFmtId="41" fontId="42" fillId="9" borderId="0" xfId="14" applyFont="1" applyFill="1" applyBorder="1" applyAlignment="1">
      <alignment vertical="center"/>
    </xf>
    <xf numFmtId="3" fontId="54" fillId="9" borderId="0" xfId="0" applyNumberFormat="1" applyFont="1" applyFill="1" applyAlignment="1">
      <alignment vertical="center"/>
    </xf>
    <xf numFmtId="0" fontId="54" fillId="9" borderId="0" xfId="0" applyFont="1" applyFill="1" applyAlignment="1">
      <alignment vertical="center"/>
    </xf>
    <xf numFmtId="0" fontId="39" fillId="9" borderId="0" xfId="0" applyFont="1" applyFill="1" applyAlignment="1">
      <alignment vertical="center"/>
    </xf>
    <xf numFmtId="0" fontId="39" fillId="26" borderId="0" xfId="0" applyFont="1" applyFill="1" applyAlignment="1">
      <alignment vertical="center" wrapText="1"/>
    </xf>
    <xf numFmtId="0" fontId="1" fillId="9" borderId="0" xfId="0" applyFont="1" applyFill="1" applyAlignment="1" applyProtection="1">
      <alignment horizontal="left"/>
      <protection locked="0"/>
    </xf>
    <xf numFmtId="0" fontId="46" fillId="9" borderId="0" xfId="0" applyFont="1" applyFill="1" applyAlignment="1">
      <alignment horizontal="left"/>
    </xf>
    <xf numFmtId="41" fontId="3" fillId="9" borderId="0" xfId="14" applyFont="1" applyFill="1" applyAlignment="1" applyProtection="1">
      <alignment horizontal="left" vertical="center"/>
      <protection locked="0"/>
    </xf>
    <xf numFmtId="0" fontId="1" fillId="9" borderId="0" xfId="0" applyFont="1" applyFill="1" applyAlignment="1" applyProtection="1">
      <alignment horizontal="left" vertical="center"/>
      <protection locked="0"/>
    </xf>
    <xf numFmtId="41" fontId="1" fillId="9" borderId="0" xfId="14" applyFont="1" applyFill="1" applyAlignment="1" applyProtection="1">
      <alignment horizontal="left" vertical="center"/>
      <protection locked="0"/>
    </xf>
    <xf numFmtId="10" fontId="15" fillId="9" borderId="1" xfId="7" applyNumberFormat="1" applyFont="1" applyFill="1" applyBorder="1" applyAlignment="1" applyProtection="1">
      <alignment horizontal="center" vertical="center"/>
    </xf>
    <xf numFmtId="168" fontId="2" fillId="0" borderId="5" xfId="0" applyNumberFormat="1" applyFont="1" applyBorder="1" applyAlignment="1" applyProtection="1">
      <alignment horizontal="right"/>
      <protection locked="0"/>
    </xf>
    <xf numFmtId="3" fontId="2" fillId="0" borderId="48" xfId="0" applyNumberFormat="1" applyFont="1" applyBorder="1" applyProtection="1">
      <protection locked="0"/>
    </xf>
    <xf numFmtId="0" fontId="27" fillId="20" borderId="0" xfId="0" applyFont="1" applyFill="1"/>
    <xf numFmtId="0" fontId="27" fillId="0" borderId="0" xfId="0" applyFont="1" applyAlignment="1">
      <alignment wrapText="1"/>
    </xf>
    <xf numFmtId="0" fontId="39" fillId="16" borderId="0" xfId="0" applyFont="1" applyFill="1" applyAlignment="1">
      <alignment horizontal="center" vertical="center" wrapText="1"/>
    </xf>
    <xf numFmtId="0" fontId="39" fillId="15" borderId="1" xfId="0" applyFont="1" applyFill="1" applyBorder="1" applyAlignment="1">
      <alignment horizontal="center" vertical="center" wrapText="1"/>
    </xf>
    <xf numFmtId="0" fontId="39" fillId="23" borderId="0" xfId="0" applyFont="1" applyFill="1"/>
    <xf numFmtId="0" fontId="40" fillId="23" borderId="0" xfId="0" applyFont="1" applyFill="1"/>
    <xf numFmtId="0" fontId="39" fillId="27" borderId="0" xfId="0" applyFont="1" applyFill="1"/>
    <xf numFmtId="0" fontId="39" fillId="27" borderId="0" xfId="0" applyFont="1" applyFill="1" applyAlignment="1">
      <alignment horizontal="center" wrapText="1"/>
    </xf>
    <xf numFmtId="0" fontId="39" fillId="16" borderId="0" xfId="0" applyFont="1" applyFill="1"/>
    <xf numFmtId="41" fontId="39" fillId="15" borderId="1" xfId="14" applyFont="1" applyFill="1" applyBorder="1" applyAlignment="1">
      <alignment horizontal="center" vertical="center" wrapText="1"/>
    </xf>
    <xf numFmtId="0" fontId="39" fillId="23" borderId="0" xfId="0" applyFont="1" applyFill="1" applyAlignment="1">
      <alignment horizontal="center" vertical="center" wrapText="1"/>
    </xf>
    <xf numFmtId="41" fontId="39" fillId="23" borderId="0" xfId="14" applyFont="1" applyFill="1" applyBorder="1" applyAlignment="1">
      <alignment horizontal="center" vertical="center" wrapText="1"/>
    </xf>
    <xf numFmtId="0" fontId="39" fillId="27" borderId="0" xfId="0" applyFont="1" applyFill="1" applyAlignment="1">
      <alignment horizontal="center" vertical="center" wrapText="1"/>
    </xf>
    <xf numFmtId="41" fontId="39" fillId="27" borderId="0" xfId="14" applyFont="1" applyFill="1" applyBorder="1" applyAlignment="1">
      <alignment horizontal="center" vertical="center" wrapText="1"/>
    </xf>
    <xf numFmtId="0" fontId="39" fillId="16" borderId="0" xfId="0" applyFont="1" applyFill="1" applyAlignment="1">
      <alignment horizontal="center" wrapText="1"/>
    </xf>
    <xf numFmtId="41" fontId="40" fillId="9" borderId="0" xfId="14" applyFont="1" applyFill="1" applyAlignment="1">
      <alignment horizontal="center"/>
    </xf>
    <xf numFmtId="0" fontId="40" fillId="14" borderId="0" xfId="0" applyFont="1" applyFill="1" applyAlignment="1">
      <alignment vertical="center"/>
    </xf>
    <xf numFmtId="0" fontId="54" fillId="0" borderId="0" xfId="0" applyFont="1"/>
    <xf numFmtId="41" fontId="39" fillId="16" borderId="0" xfId="14" applyFont="1" applyFill="1" applyBorder="1" applyAlignment="1">
      <alignment horizontal="center" vertical="center" wrapText="1"/>
    </xf>
    <xf numFmtId="10" fontId="46" fillId="9" borderId="0" xfId="7" applyNumberFormat="1" applyFont="1" applyFill="1" applyAlignment="1">
      <alignment horizontal="center"/>
    </xf>
    <xf numFmtId="41" fontId="1" fillId="9" borderId="0" xfId="14" applyFont="1" applyFill="1" applyAlignment="1" applyProtection="1">
      <alignment horizontal="left" vertical="center" wrapText="1"/>
      <protection locked="0"/>
    </xf>
    <xf numFmtId="3" fontId="1" fillId="9" borderId="0" xfId="0" applyNumberFormat="1" applyFont="1" applyFill="1" applyAlignment="1" applyProtection="1">
      <alignment horizontal="left"/>
      <protection locked="0"/>
    </xf>
    <xf numFmtId="168" fontId="2" fillId="9" borderId="1" xfId="0" applyNumberFormat="1" applyFont="1" applyFill="1" applyBorder="1" applyAlignment="1">
      <alignment horizontal="center" vertical="center" wrapText="1"/>
    </xf>
    <xf numFmtId="0" fontId="46" fillId="9" borderId="0" xfId="0" applyFont="1" applyFill="1" applyAlignment="1">
      <alignment horizontal="center"/>
    </xf>
    <xf numFmtId="10" fontId="46" fillId="9" borderId="0" xfId="7" applyNumberFormat="1" applyFont="1" applyFill="1"/>
    <xf numFmtId="0" fontId="35" fillId="22" borderId="0" xfId="0" applyFont="1" applyFill="1" applyAlignment="1">
      <alignment horizontal="center" vertical="center" wrapText="1"/>
    </xf>
    <xf numFmtId="41" fontId="35" fillId="22" borderId="0" xfId="14" applyFont="1" applyFill="1" applyBorder="1" applyAlignment="1">
      <alignment horizontal="center" vertical="center" wrapText="1"/>
    </xf>
    <xf numFmtId="41" fontId="2" fillId="9" borderId="0" xfId="14" applyFont="1" applyFill="1" applyAlignment="1">
      <alignment horizontal="left" vertical="center"/>
    </xf>
    <xf numFmtId="168" fontId="10" fillId="9" borderId="1" xfId="0" applyNumberFormat="1" applyFont="1" applyFill="1" applyBorder="1" applyAlignment="1">
      <alignment horizontal="center" vertical="center" wrapText="1"/>
    </xf>
    <xf numFmtId="168" fontId="9" fillId="9" borderId="1" xfId="0" applyNumberFormat="1" applyFont="1" applyFill="1" applyBorder="1" applyAlignment="1">
      <alignment horizontal="center" vertical="center"/>
    </xf>
    <xf numFmtId="0" fontId="12" fillId="9" borderId="0" xfId="0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68" fontId="1" fillId="9" borderId="0" xfId="0" applyNumberFormat="1" applyFont="1" applyFill="1" applyAlignment="1">
      <alignment horizontal="center" vertical="center"/>
    </xf>
    <xf numFmtId="41" fontId="1" fillId="9" borderId="0" xfId="14" applyFont="1" applyFill="1" applyAlignment="1">
      <alignment horizontal="right" vertical="center"/>
    </xf>
    <xf numFmtId="1" fontId="1" fillId="9" borderId="0" xfId="14" applyNumberFormat="1" applyFont="1" applyFill="1" applyAlignment="1">
      <alignment horizontal="right" vertical="center"/>
    </xf>
    <xf numFmtId="10" fontId="1" fillId="9" borderId="0" xfId="7" applyNumberFormat="1" applyFont="1" applyFill="1" applyAlignment="1">
      <alignment horizontal="center" vertical="center"/>
    </xf>
    <xf numFmtId="3" fontId="1" fillId="9" borderId="1" xfId="0" applyNumberFormat="1" applyFont="1" applyFill="1" applyBorder="1" applyAlignment="1">
      <alignment horizontal="left" vertical="center"/>
    </xf>
    <xf numFmtId="0" fontId="48" fillId="9" borderId="34" xfId="15" applyFont="1" applyFill="1" applyBorder="1" applyAlignment="1">
      <alignment horizontal="center" vertical="center"/>
    </xf>
    <xf numFmtId="10" fontId="48" fillId="9" borderId="34" xfId="7" applyNumberFormat="1" applyFont="1" applyFill="1" applyBorder="1" applyAlignment="1">
      <alignment horizontal="center" vertical="center"/>
    </xf>
    <xf numFmtId="170" fontId="9" fillId="9" borderId="0" xfId="0" applyNumberFormat="1" applyFont="1" applyFill="1" applyAlignment="1">
      <alignment horizontal="center" vertical="center"/>
    </xf>
    <xf numFmtId="167" fontId="10" fillId="5" borderId="1" xfId="0" applyNumberFormat="1" applyFont="1" applyFill="1" applyBorder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9" borderId="0" xfId="0" applyFont="1" applyFill="1" applyAlignment="1">
      <alignment vertical="center" wrapText="1"/>
    </xf>
    <xf numFmtId="3" fontId="15" fillId="9" borderId="1" xfId="0" applyNumberFormat="1" applyFont="1" applyFill="1" applyBorder="1" applyAlignment="1">
      <alignment horizontal="right" vertical="center"/>
    </xf>
    <xf numFmtId="1" fontId="1" fillId="9" borderId="1" xfId="14" applyNumberFormat="1" applyFont="1" applyFill="1" applyBorder="1" applyAlignment="1">
      <alignment horizontal="right" vertical="center"/>
    </xf>
    <xf numFmtId="1" fontId="1" fillId="9" borderId="2" xfId="14" applyNumberFormat="1" applyFont="1" applyFill="1" applyBorder="1" applyAlignment="1">
      <alignment vertical="center"/>
    </xf>
    <xf numFmtId="0" fontId="19" fillId="9" borderId="0" xfId="0" applyFont="1" applyFill="1" applyAlignment="1">
      <alignment vertical="center"/>
    </xf>
    <xf numFmtId="41" fontId="19" fillId="9" borderId="0" xfId="14" applyFont="1" applyFill="1" applyAlignment="1"/>
    <xf numFmtId="0" fontId="20" fillId="0" borderId="0" xfId="0" applyFont="1" applyAlignment="1">
      <alignment vertical="center"/>
    </xf>
    <xf numFmtId="0" fontId="15" fillId="9" borderId="1" xfId="0" applyFont="1" applyFill="1" applyBorder="1" applyAlignment="1">
      <alignment horizontal="left" vertical="center" wrapText="1"/>
    </xf>
    <xf numFmtId="3" fontId="3" fillId="9" borderId="1" xfId="14" applyNumberFormat="1" applyFont="1" applyFill="1" applyBorder="1" applyAlignment="1" applyProtection="1">
      <alignment horizontal="right" vertical="center" wrapText="1"/>
    </xf>
    <xf numFmtId="41" fontId="3" fillId="9" borderId="0" xfId="14" applyFont="1" applyFill="1" applyAlignment="1">
      <alignment horizontal="left" vertical="center"/>
    </xf>
    <xf numFmtId="41" fontId="3" fillId="9" borderId="0" xfId="14" applyFont="1" applyFill="1" applyAlignment="1">
      <alignment horizontal="center" vertical="center"/>
    </xf>
    <xf numFmtId="41" fontId="3" fillId="9" borderId="0" xfId="14" applyFont="1" applyFill="1" applyAlignment="1">
      <alignment vertical="center"/>
    </xf>
    <xf numFmtId="41" fontId="1" fillId="9" borderId="1" xfId="0" applyNumberFormat="1" applyFont="1" applyFill="1" applyBorder="1" applyAlignment="1">
      <alignment vertical="center"/>
    </xf>
    <xf numFmtId="168" fontId="9" fillId="9" borderId="1" xfId="0" applyNumberFormat="1" applyFont="1" applyFill="1" applyBorder="1" applyAlignment="1">
      <alignment horizontal="left" vertical="center"/>
    </xf>
    <xf numFmtId="167" fontId="15" fillId="9" borderId="1" xfId="0" applyNumberFormat="1" applyFont="1" applyFill="1" applyBorder="1" applyAlignment="1">
      <alignment horizontal="center" vertical="center"/>
    </xf>
    <xf numFmtId="168" fontId="10" fillId="9" borderId="1" xfId="0" applyNumberFormat="1" applyFont="1" applyFill="1" applyBorder="1" applyAlignment="1">
      <alignment horizontal="center" vertical="center"/>
    </xf>
    <xf numFmtId="49" fontId="10" fillId="9" borderId="1" xfId="0" applyNumberFormat="1" applyFont="1" applyFill="1" applyBorder="1" applyAlignment="1">
      <alignment horizontal="center" vertical="center" wrapText="1"/>
    </xf>
    <xf numFmtId="168" fontId="9" fillId="9" borderId="1" xfId="0" applyNumberFormat="1" applyFont="1" applyFill="1" applyBorder="1" applyAlignment="1">
      <alignment vertical="center"/>
    </xf>
    <xf numFmtId="3" fontId="1" fillId="9" borderId="1" xfId="7" applyNumberFormat="1" applyFont="1" applyFill="1" applyBorder="1" applyAlignment="1" applyProtection="1">
      <alignment horizontal="right" vertical="center"/>
    </xf>
    <xf numFmtId="49" fontId="15" fillId="9" borderId="1" xfId="0" applyNumberFormat="1" applyFont="1" applyFill="1" applyBorder="1" applyAlignment="1">
      <alignment horizontal="center" vertical="center" wrapText="1"/>
    </xf>
    <xf numFmtId="49" fontId="2" fillId="9" borderId="1" xfId="0" applyNumberFormat="1" applyFont="1" applyFill="1" applyBorder="1" applyAlignment="1">
      <alignment horizontal="center" vertical="center"/>
    </xf>
    <xf numFmtId="49" fontId="15" fillId="9" borderId="1" xfId="0" applyNumberFormat="1" applyFont="1" applyFill="1" applyBorder="1" applyAlignment="1">
      <alignment horizontal="center" vertical="center"/>
    </xf>
    <xf numFmtId="168" fontId="2" fillId="9" borderId="1" xfId="0" quotePrefix="1" applyNumberFormat="1" applyFont="1" applyFill="1" applyBorder="1" applyAlignment="1">
      <alignment horizontal="center" vertical="center" wrapText="1"/>
    </xf>
    <xf numFmtId="168" fontId="15" fillId="9" borderId="1" xfId="0" quotePrefix="1" applyNumberFormat="1" applyFont="1" applyFill="1" applyBorder="1" applyAlignment="1">
      <alignment horizontal="center" vertical="center" wrapText="1"/>
    </xf>
    <xf numFmtId="168" fontId="1" fillId="9" borderId="1" xfId="0" applyNumberFormat="1" applyFont="1" applyFill="1" applyBorder="1" applyAlignment="1">
      <alignment horizontal="left" vertical="center" wrapText="1"/>
    </xf>
    <xf numFmtId="168" fontId="9" fillId="9" borderId="1" xfId="0" quotePrefix="1" applyNumberFormat="1" applyFont="1" applyFill="1" applyBorder="1" applyAlignment="1">
      <alignment vertical="center" wrapText="1"/>
    </xf>
    <xf numFmtId="41" fontId="1" fillId="9" borderId="1" xfId="14" applyFont="1" applyFill="1" applyBorder="1" applyAlignment="1" applyProtection="1">
      <protection locked="0"/>
    </xf>
    <xf numFmtId="3" fontId="3" fillId="9" borderId="1" xfId="14" applyNumberFormat="1" applyFont="1" applyFill="1" applyBorder="1" applyAlignment="1" applyProtection="1"/>
    <xf numFmtId="168" fontId="3" fillId="9" borderId="1" xfId="16" applyNumberFormat="1" applyFont="1" applyFill="1" applyBorder="1" applyAlignment="1" applyProtection="1">
      <alignment vertical="center"/>
    </xf>
    <xf numFmtId="3" fontId="3" fillId="9" borderId="1" xfId="16" applyNumberFormat="1" applyFont="1" applyFill="1" applyBorder="1" applyAlignment="1" applyProtection="1">
      <alignment horizontal="right" vertical="center" wrapText="1"/>
    </xf>
    <xf numFmtId="3" fontId="3" fillId="9" borderId="1" xfId="16" applyNumberFormat="1" applyFont="1" applyFill="1" applyBorder="1" applyAlignment="1" applyProtection="1">
      <alignment horizontal="right" vertical="center"/>
    </xf>
    <xf numFmtId="0" fontId="3" fillId="9" borderId="0" xfId="16" applyFont="1" applyFill="1" applyAlignment="1" applyProtection="1">
      <alignment vertical="center"/>
      <protection locked="0"/>
    </xf>
    <xf numFmtId="0" fontId="3" fillId="9" borderId="1" xfId="16" applyFont="1" applyFill="1" applyBorder="1" applyAlignment="1" applyProtection="1">
      <alignment horizontal="center" vertical="center" wrapText="1"/>
    </xf>
    <xf numFmtId="167" fontId="3" fillId="9" borderId="1" xfId="16" applyNumberFormat="1" applyFont="1" applyFill="1" applyBorder="1" applyAlignment="1" applyProtection="1">
      <alignment horizontal="center" vertical="center" wrapText="1"/>
    </xf>
    <xf numFmtId="168" fontId="3" fillId="9" borderId="1" xfId="16" applyNumberFormat="1" applyFont="1" applyFill="1" applyBorder="1" applyAlignment="1" applyProtection="1">
      <alignment horizontal="center" vertical="center" wrapText="1"/>
    </xf>
    <xf numFmtId="168" fontId="3" fillId="9" borderId="1" xfId="16" applyNumberFormat="1" applyFont="1" applyFill="1" applyBorder="1" applyAlignment="1" applyProtection="1">
      <alignment vertical="center" wrapText="1"/>
    </xf>
    <xf numFmtId="3" fontId="3" fillId="9" borderId="1" xfId="16" applyNumberFormat="1" applyFont="1" applyFill="1" applyBorder="1" applyAlignment="1" applyProtection="1">
      <alignment horizontal="right" vertical="center"/>
      <protection locked="0"/>
    </xf>
    <xf numFmtId="3" fontId="3" fillId="9" borderId="1" xfId="16" applyNumberFormat="1" applyFont="1" applyFill="1" applyBorder="1" applyAlignment="1" applyProtection="1">
      <alignment vertical="center"/>
      <protection locked="0"/>
    </xf>
    <xf numFmtId="41" fontId="2" fillId="0" borderId="1" xfId="14" applyFont="1" applyBorder="1" applyAlignment="1">
      <alignment horizontal="center" vertical="center" wrapText="1"/>
    </xf>
    <xf numFmtId="3" fontId="2" fillId="0" borderId="1" xfId="14" applyNumberFormat="1" applyFont="1" applyBorder="1" applyAlignment="1">
      <alignment horizontal="center" vertical="center" wrapText="1"/>
    </xf>
    <xf numFmtId="3" fontId="2" fillId="2" borderId="2" xfId="0" applyNumberFormat="1" applyFont="1" applyFill="1" applyBorder="1" applyAlignment="1" applyProtection="1">
      <alignment horizontal="center"/>
      <protection locked="0"/>
    </xf>
    <xf numFmtId="172" fontId="1" fillId="9" borderId="0" xfId="14" applyNumberFormat="1" applyFont="1" applyFill="1"/>
    <xf numFmtId="0" fontId="15" fillId="9" borderId="1" xfId="0" applyFont="1" applyFill="1" applyBorder="1" applyAlignment="1">
      <alignment vertical="center"/>
    </xf>
    <xf numFmtId="3" fontId="15" fillId="9" borderId="1" xfId="0" applyNumberFormat="1" applyFont="1" applyFill="1" applyBorder="1" applyAlignment="1">
      <alignment vertical="center" wrapText="1"/>
    </xf>
    <xf numFmtId="3" fontId="15" fillId="9" borderId="1" xfId="14" applyNumberFormat="1" applyFont="1" applyFill="1" applyBorder="1" applyAlignment="1">
      <alignment vertical="center" wrapText="1"/>
    </xf>
    <xf numFmtId="10" fontId="15" fillId="9" borderId="1" xfId="7" applyNumberFormat="1" applyFont="1" applyFill="1" applyBorder="1" applyAlignment="1">
      <alignment horizontal="center" vertical="center" wrapText="1"/>
    </xf>
    <xf numFmtId="3" fontId="2" fillId="9" borderId="1" xfId="14" applyNumberFormat="1" applyFont="1" applyFill="1" applyBorder="1" applyAlignment="1">
      <alignment horizontal="right" vertical="center"/>
    </xf>
    <xf numFmtId="10" fontId="15" fillId="9" borderId="1" xfId="7" applyNumberFormat="1" applyFont="1" applyFill="1" applyBorder="1" applyAlignment="1" applyProtection="1">
      <alignment horizontal="center" vertical="center" wrapText="1"/>
    </xf>
    <xf numFmtId="3" fontId="2" fillId="9" borderId="1" xfId="14" applyNumberFormat="1" applyFont="1" applyFill="1" applyBorder="1" applyAlignment="1">
      <alignment horizontal="right" vertical="center" wrapText="1"/>
    </xf>
    <xf numFmtId="3" fontId="15" fillId="9" borderId="1" xfId="14" applyNumberFormat="1" applyFont="1" applyFill="1" applyBorder="1" applyAlignment="1" applyProtection="1">
      <alignment horizontal="right" vertical="center" wrapText="1"/>
    </xf>
    <xf numFmtId="3" fontId="15" fillId="9" borderId="1" xfId="0" applyNumberFormat="1" applyFont="1" applyFill="1" applyBorder="1" applyAlignment="1">
      <alignment horizontal="right" vertical="center" wrapText="1"/>
    </xf>
    <xf numFmtId="0" fontId="2" fillId="9" borderId="1" xfId="0" applyFont="1" applyFill="1" applyBorder="1" applyAlignment="1">
      <alignment vertical="center"/>
    </xf>
    <xf numFmtId="3" fontId="15" fillId="9" borderId="1" xfId="7" applyNumberFormat="1" applyFont="1" applyFill="1" applyBorder="1" applyAlignment="1">
      <alignment horizontal="right" vertical="center" wrapText="1"/>
    </xf>
    <xf numFmtId="3" fontId="15" fillId="9" borderId="1" xfId="14" applyNumberFormat="1" applyFont="1" applyFill="1" applyBorder="1" applyAlignment="1">
      <alignment horizontal="right" vertical="center" wrapText="1"/>
    </xf>
    <xf numFmtId="0" fontId="15" fillId="9" borderId="0" xfId="0" applyFont="1" applyFill="1" applyAlignment="1">
      <alignment vertical="center"/>
    </xf>
    <xf numFmtId="41" fontId="20" fillId="9" borderId="0" xfId="14" applyFont="1" applyFill="1" applyAlignment="1"/>
    <xf numFmtId="0" fontId="2" fillId="9" borderId="1" xfId="0" applyFont="1" applyFill="1" applyBorder="1" applyAlignment="1">
      <alignment horizontal="left" vertical="center"/>
    </xf>
    <xf numFmtId="3" fontId="2" fillId="9" borderId="1" xfId="0" applyNumberFormat="1" applyFont="1" applyFill="1" applyBorder="1" applyAlignment="1">
      <alignment vertical="center" wrapText="1"/>
    </xf>
    <xf numFmtId="3" fontId="2" fillId="9" borderId="1" xfId="0" applyNumberFormat="1" applyFont="1" applyFill="1" applyBorder="1" applyAlignment="1">
      <alignment horizontal="right" vertical="center" wrapText="1"/>
    </xf>
    <xf numFmtId="3" fontId="2" fillId="9" borderId="1" xfId="14" applyNumberFormat="1" applyFont="1" applyFill="1" applyBorder="1" applyAlignment="1" applyProtection="1">
      <alignment horizontal="right" vertical="center" wrapText="1"/>
    </xf>
    <xf numFmtId="3" fontId="2" fillId="9" borderId="1" xfId="7" applyNumberFormat="1" applyFont="1" applyFill="1" applyBorder="1" applyAlignment="1" applyProtection="1">
      <alignment horizontal="right" vertical="center" wrapText="1"/>
    </xf>
    <xf numFmtId="0" fontId="2" fillId="9" borderId="0" xfId="0" applyFont="1" applyFill="1" applyAlignment="1">
      <alignment vertical="center"/>
    </xf>
    <xf numFmtId="0" fontId="20" fillId="9" borderId="0" xfId="0" applyFont="1" applyFill="1" applyAlignment="1">
      <alignment vertical="center"/>
    </xf>
    <xf numFmtId="167" fontId="2" fillId="9" borderId="1" xfId="0" applyNumberFormat="1" applyFont="1" applyFill="1" applyBorder="1" applyAlignment="1">
      <alignment horizontal="center" vertical="center" wrapText="1"/>
    </xf>
    <xf numFmtId="168" fontId="2" fillId="9" borderId="1" xfId="0" applyNumberFormat="1" applyFont="1" applyFill="1" applyBorder="1" applyAlignment="1">
      <alignment horizontal="right" vertical="center" wrapText="1"/>
    </xf>
    <xf numFmtId="168" fontId="2" fillId="9" borderId="1" xfId="0" applyNumberFormat="1" applyFont="1" applyFill="1" applyBorder="1" applyAlignment="1">
      <alignment vertical="center" wrapText="1"/>
    </xf>
    <xf numFmtId="41" fontId="15" fillId="9" borderId="1" xfId="14" applyFont="1" applyFill="1" applyBorder="1" applyAlignment="1" applyProtection="1">
      <protection locked="0"/>
    </xf>
    <xf numFmtId="3" fontId="15" fillId="9" borderId="1" xfId="14" applyNumberFormat="1" applyFont="1" applyFill="1" applyBorder="1" applyAlignment="1" applyProtection="1">
      <alignment vertical="center"/>
    </xf>
    <xf numFmtId="3" fontId="15" fillId="9" borderId="1" xfId="14" applyNumberFormat="1" applyFont="1" applyFill="1" applyBorder="1" applyAlignment="1" applyProtection="1">
      <alignment horizontal="right" vertical="center"/>
    </xf>
    <xf numFmtId="3" fontId="2" fillId="9" borderId="1" xfId="14" applyNumberFormat="1" applyFont="1" applyFill="1" applyBorder="1" applyAlignment="1" applyProtection="1">
      <alignment horizontal="right"/>
      <protection locked="0"/>
    </xf>
    <xf numFmtId="3" fontId="2" fillId="9" borderId="1" xfId="0" applyNumberFormat="1" applyFont="1" applyFill="1" applyBorder="1" applyAlignment="1" applyProtection="1">
      <alignment vertical="center"/>
      <protection locked="0"/>
    </xf>
    <xf numFmtId="168" fontId="15" fillId="9" borderId="1" xfId="0" applyNumberFormat="1" applyFont="1" applyFill="1" applyBorder="1" applyAlignment="1">
      <alignment vertical="center" wrapText="1"/>
    </xf>
    <xf numFmtId="3" fontId="15" fillId="9" borderId="1" xfId="0" applyNumberFormat="1" applyFont="1" applyFill="1" applyBorder="1" applyAlignment="1">
      <alignment vertical="center"/>
    </xf>
    <xf numFmtId="3" fontId="15" fillId="9" borderId="1" xfId="0" applyNumberFormat="1" applyFont="1" applyFill="1" applyBorder="1" applyAlignment="1" applyProtection="1">
      <alignment vertical="center"/>
      <protection locked="0"/>
    </xf>
    <xf numFmtId="3" fontId="2" fillId="9" borderId="1" xfId="14" applyNumberFormat="1" applyFont="1" applyFill="1" applyBorder="1" applyAlignment="1" applyProtection="1">
      <alignment horizontal="right" vertical="center"/>
    </xf>
    <xf numFmtId="168" fontId="15" fillId="9" borderId="1" xfId="0" applyNumberFormat="1" applyFont="1" applyFill="1" applyBorder="1" applyAlignment="1">
      <alignment vertical="center"/>
    </xf>
    <xf numFmtId="3" fontId="15" fillId="9" borderId="1" xfId="7" applyNumberFormat="1" applyFont="1" applyFill="1" applyBorder="1" applyAlignment="1" applyProtection="1">
      <alignment horizontal="right" vertical="center" wrapText="1"/>
    </xf>
    <xf numFmtId="3" fontId="15" fillId="9" borderId="1" xfId="8" applyNumberFormat="1" applyFont="1" applyFill="1" applyBorder="1" applyAlignment="1" applyProtection="1">
      <alignment horizontal="right" vertical="center"/>
      <protection locked="0"/>
    </xf>
    <xf numFmtId="3" fontId="15" fillId="9" borderId="1" xfId="0" applyNumberFormat="1" applyFont="1" applyFill="1" applyBorder="1" applyAlignment="1" applyProtection="1">
      <alignment horizontal="right" vertical="center"/>
      <protection locked="0"/>
    </xf>
    <xf numFmtId="41" fontId="15" fillId="9" borderId="1" xfId="14" applyFont="1" applyFill="1" applyBorder="1" applyAlignment="1" applyProtection="1">
      <alignment horizontal="center" vertical="center"/>
    </xf>
    <xf numFmtId="41" fontId="40" fillId="9" borderId="0" xfId="14" applyFont="1" applyFill="1" applyAlignment="1">
      <alignment vertical="center"/>
    </xf>
    <xf numFmtId="41" fontId="39" fillId="26" borderId="0" xfId="14" applyFont="1" applyFill="1" applyAlignment="1">
      <alignment horizontal="center" vertical="center" wrapText="1"/>
    </xf>
    <xf numFmtId="10" fontId="3" fillId="0" borderId="1" xfId="7" applyNumberFormat="1" applyFont="1" applyFill="1" applyBorder="1" applyAlignment="1" applyProtection="1">
      <alignment horizontal="center" vertical="center" wrapText="1"/>
    </xf>
    <xf numFmtId="3" fontId="3" fillId="0" borderId="1" xfId="0" applyNumberFormat="1" applyFont="1" applyBorder="1" applyAlignment="1">
      <alignment vertical="center" wrapText="1"/>
    </xf>
    <xf numFmtId="0" fontId="40" fillId="16" borderId="0" xfId="0" applyFont="1" applyFill="1"/>
    <xf numFmtId="0" fontId="40" fillId="16" borderId="0" xfId="0" applyFont="1" applyFill="1" applyAlignment="1">
      <alignment vertical="center" wrapText="1"/>
    </xf>
    <xf numFmtId="0" fontId="40" fillId="16" borderId="0" xfId="0" applyFont="1" applyFill="1" applyAlignment="1">
      <alignment horizontal="center" vertical="center" wrapText="1"/>
    </xf>
    <xf numFmtId="41" fontId="40" fillId="16" borderId="0" xfId="14" applyFont="1" applyFill="1" applyAlignment="1">
      <alignment horizontal="center" vertical="center" wrapText="1"/>
    </xf>
    <xf numFmtId="3" fontId="1" fillId="5" borderId="1" xfId="0" applyNumberFormat="1" applyFont="1" applyFill="1" applyBorder="1" applyAlignment="1">
      <alignment horizontal="right" vertical="top" wrapText="1"/>
    </xf>
    <xf numFmtId="0" fontId="39" fillId="24" borderId="0" xfId="0" applyFont="1" applyFill="1" applyAlignment="1">
      <alignment horizontal="center" vertical="center" wrapText="1"/>
    </xf>
    <xf numFmtId="0" fontId="40" fillId="9" borderId="0" xfId="0" applyFont="1" applyFill="1" applyAlignment="1">
      <alignment wrapText="1"/>
    </xf>
    <xf numFmtId="0" fontId="39" fillId="9" borderId="0" xfId="0" applyFont="1" applyFill="1" applyAlignment="1">
      <alignment wrapText="1"/>
    </xf>
    <xf numFmtId="0" fontId="40" fillId="24" borderId="0" xfId="0" applyFont="1" applyFill="1" applyAlignment="1">
      <alignment wrapText="1"/>
    </xf>
    <xf numFmtId="41" fontId="40" fillId="9" borderId="0" xfId="14" applyFont="1" applyFill="1" applyBorder="1" applyAlignment="1"/>
    <xf numFmtId="0" fontId="40" fillId="14" borderId="0" xfId="0" applyFont="1" applyFill="1" applyAlignment="1">
      <alignment horizontal="center" vertical="center" wrapText="1"/>
    </xf>
    <xf numFmtId="173" fontId="40" fillId="14" borderId="0" xfId="0" applyNumberFormat="1" applyFont="1" applyFill="1" applyAlignment="1">
      <alignment horizontal="right" vertical="center" wrapText="1"/>
    </xf>
    <xf numFmtId="0" fontId="54" fillId="14" borderId="0" xfId="0" applyFont="1" applyFill="1" applyAlignment="1">
      <alignment horizontal="center" vertical="center"/>
    </xf>
    <xf numFmtId="173" fontId="54" fillId="14" borderId="0" xfId="0" applyNumberFormat="1" applyFont="1" applyFill="1" applyAlignment="1">
      <alignment horizontal="right" vertical="center"/>
    </xf>
    <xf numFmtId="0" fontId="54" fillId="14" borderId="0" xfId="0" applyFont="1" applyFill="1" applyAlignment="1">
      <alignment horizontal="left" vertical="center"/>
    </xf>
    <xf numFmtId="41" fontId="2" fillId="9" borderId="0" xfId="14" applyFont="1" applyFill="1" applyAlignment="1">
      <alignment horizontal="center" wrapText="1"/>
    </xf>
    <xf numFmtId="0" fontId="10" fillId="9" borderId="0" xfId="0" applyFont="1" applyFill="1" applyAlignment="1">
      <alignment horizontal="center"/>
    </xf>
    <xf numFmtId="0" fontId="55" fillId="9" borderId="0" xfId="0" applyFont="1" applyFill="1" applyAlignment="1">
      <alignment horizontal="center"/>
    </xf>
    <xf numFmtId="0" fontId="2" fillId="9" borderId="0" xfId="0" applyFont="1" applyFill="1" applyAlignment="1">
      <alignment horizontal="center"/>
    </xf>
    <xf numFmtId="0" fontId="2" fillId="9" borderId="0" xfId="0" applyFont="1" applyFill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167" fontId="1" fillId="9" borderId="1" xfId="0" applyNumberFormat="1" applyFont="1" applyFill="1" applyBorder="1" applyAlignment="1">
      <alignment horizontal="center" vertical="center"/>
    </xf>
    <xf numFmtId="168" fontId="2" fillId="9" borderId="1" xfId="0" applyNumberFormat="1" applyFont="1" applyFill="1" applyBorder="1" applyAlignment="1">
      <alignment vertical="center"/>
    </xf>
    <xf numFmtId="41" fontId="1" fillId="9" borderId="0" xfId="14" applyFont="1" applyFill="1" applyAlignment="1">
      <alignment vertical="top"/>
    </xf>
    <xf numFmtId="0" fontId="1" fillId="9" borderId="1" xfId="0" applyFont="1" applyFill="1" applyBorder="1" applyAlignment="1">
      <alignment horizontal="center" vertical="center"/>
    </xf>
    <xf numFmtId="167" fontId="2" fillId="9" borderId="1" xfId="0" applyNumberFormat="1" applyFont="1" applyFill="1" applyBorder="1" applyAlignment="1">
      <alignment horizontal="center" vertical="center"/>
    </xf>
    <xf numFmtId="168" fontId="1" fillId="9" borderId="1" xfId="0" applyNumberFormat="1" applyFont="1" applyFill="1" applyBorder="1" applyAlignment="1">
      <alignment vertical="center"/>
    </xf>
    <xf numFmtId="0" fontId="13" fillId="9" borderId="0" xfId="0" applyFont="1" applyFill="1" applyAlignment="1">
      <alignment horizontal="left" vertical="center"/>
    </xf>
    <xf numFmtId="173" fontId="13" fillId="9" borderId="0" xfId="0" applyNumberFormat="1" applyFont="1" applyFill="1" applyAlignment="1">
      <alignment horizontal="right" vertical="center"/>
    </xf>
    <xf numFmtId="41" fontId="1" fillId="9" borderId="0" xfId="14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0" fontId="3" fillId="0" borderId="1" xfId="7" applyNumberFormat="1" applyFont="1" applyFill="1" applyBorder="1" applyAlignment="1">
      <alignment horizontal="center" vertical="center" wrapText="1"/>
    </xf>
    <xf numFmtId="3" fontId="1" fillId="0" borderId="1" xfId="14" applyNumberFormat="1" applyFont="1" applyFill="1" applyBorder="1" applyAlignment="1">
      <alignment horizontal="right" vertical="center" wrapText="1"/>
    </xf>
    <xf numFmtId="3" fontId="1" fillId="0" borderId="1" xfId="14" applyNumberFormat="1" applyFont="1" applyFill="1" applyBorder="1" applyAlignment="1" applyProtection="1">
      <alignment horizontal="right" vertical="center" wrapText="1"/>
    </xf>
    <xf numFmtId="3" fontId="1" fillId="0" borderId="1" xfId="7" applyNumberFormat="1" applyFont="1" applyFill="1" applyBorder="1" applyAlignment="1" applyProtection="1">
      <alignment horizontal="right" vertical="center" wrapText="1"/>
    </xf>
    <xf numFmtId="9" fontId="46" fillId="9" borderId="34" xfId="7" applyFont="1" applyFill="1" applyBorder="1" applyAlignment="1">
      <alignment horizontal="center" vertical="center"/>
    </xf>
    <xf numFmtId="9" fontId="2" fillId="7" borderId="1" xfId="7" applyFont="1" applyFill="1" applyBorder="1" applyAlignment="1" applyProtection="1">
      <alignment horizontal="center" vertical="center"/>
    </xf>
    <xf numFmtId="9" fontId="2" fillId="7" borderId="1" xfId="7" applyFont="1" applyFill="1" applyBorder="1" applyAlignment="1">
      <alignment horizontal="center" vertical="center" wrapText="1"/>
    </xf>
    <xf numFmtId="9" fontId="1" fillId="0" borderId="0" xfId="7" applyFont="1" applyFill="1" applyAlignment="1">
      <alignment horizontal="center" vertical="center"/>
    </xf>
    <xf numFmtId="9" fontId="1" fillId="0" borderId="0" xfId="7" applyFont="1" applyFill="1" applyBorder="1" applyAlignment="1">
      <alignment horizontal="center" vertical="center"/>
    </xf>
    <xf numFmtId="10" fontId="3" fillId="9" borderId="0" xfId="14" applyNumberFormat="1" applyFont="1" applyFill="1" applyAlignment="1" applyProtection="1">
      <alignment horizontal="left" vertical="center" wrapText="1"/>
      <protection locked="0"/>
    </xf>
    <xf numFmtId="176" fontId="30" fillId="0" borderId="0" xfId="14" applyNumberFormat="1" applyFont="1" applyBorder="1" applyAlignment="1"/>
    <xf numFmtId="0" fontId="1" fillId="0" borderId="0" xfId="0" applyFont="1" applyAlignment="1" applyProtection="1">
      <alignment vertical="center" wrapText="1"/>
      <protection locked="0"/>
    </xf>
    <xf numFmtId="3" fontId="1" fillId="0" borderId="0" xfId="0" applyNumberFormat="1" applyFont="1" applyAlignment="1" applyProtection="1">
      <alignment vertical="center" wrapText="1"/>
      <protection locked="0"/>
    </xf>
    <xf numFmtId="3" fontId="46" fillId="9" borderId="34" xfId="0" applyNumberFormat="1" applyFont="1" applyFill="1" applyBorder="1" applyAlignment="1">
      <alignment horizontal="center"/>
    </xf>
    <xf numFmtId="0" fontId="2" fillId="9" borderId="0" xfId="0" applyFont="1" applyFill="1" applyAlignment="1" applyProtection="1">
      <alignment vertical="center"/>
      <protection locked="0"/>
    </xf>
    <xf numFmtId="0" fontId="3" fillId="9" borderId="0" xfId="0" applyFont="1" applyFill="1" applyProtection="1">
      <protection locked="0"/>
    </xf>
    <xf numFmtId="3" fontId="3" fillId="9" borderId="0" xfId="0" applyNumberFormat="1" applyFont="1" applyFill="1" applyAlignment="1" applyProtection="1">
      <alignment vertical="center"/>
      <protection locked="0"/>
    </xf>
    <xf numFmtId="41" fontId="3" fillId="9" borderId="0" xfId="14" applyFont="1" applyFill="1" applyAlignment="1" applyProtection="1">
      <alignment vertical="center"/>
      <protection locked="0"/>
    </xf>
    <xf numFmtId="41" fontId="3" fillId="9" borderId="1" xfId="14" applyFont="1" applyFill="1" applyBorder="1" applyAlignment="1" applyProtection="1">
      <alignment vertical="center"/>
      <protection locked="0"/>
    </xf>
    <xf numFmtId="0" fontId="15" fillId="9" borderId="0" xfId="0" applyFont="1" applyFill="1" applyAlignment="1" applyProtection="1">
      <alignment vertical="center"/>
      <protection locked="0"/>
    </xf>
    <xf numFmtId="41" fontId="15" fillId="9" borderId="0" xfId="14" applyFont="1" applyFill="1" applyAlignment="1" applyProtection="1">
      <alignment horizontal="left" vertical="center"/>
      <protection locked="0"/>
    </xf>
    <xf numFmtId="0" fontId="15" fillId="9" borderId="0" xfId="0" applyFont="1" applyFill="1" applyProtection="1">
      <protection locked="0"/>
    </xf>
    <xf numFmtId="3" fontId="15" fillId="9" borderId="1" xfId="14" applyNumberFormat="1" applyFont="1" applyFill="1" applyBorder="1" applyAlignment="1" applyProtection="1">
      <alignment vertical="center" wrapText="1"/>
    </xf>
    <xf numFmtId="41" fontId="3" fillId="9" borderId="1" xfId="14" applyFont="1" applyFill="1" applyBorder="1" applyAlignment="1" applyProtection="1">
      <alignment vertical="center"/>
    </xf>
    <xf numFmtId="41" fontId="3" fillId="9" borderId="0" xfId="14" applyFont="1" applyFill="1" applyProtection="1">
      <protection locked="0"/>
    </xf>
    <xf numFmtId="0" fontId="2" fillId="9" borderId="0" xfId="0" applyFont="1" applyFill="1" applyProtection="1">
      <protection locked="0"/>
    </xf>
    <xf numFmtId="41" fontId="3" fillId="9" borderId="1" xfId="0" applyNumberFormat="1" applyFont="1" applyFill="1" applyBorder="1" applyAlignment="1" applyProtection="1">
      <alignment vertical="center"/>
      <protection locked="0"/>
    </xf>
    <xf numFmtId="3" fontId="3" fillId="9" borderId="1" xfId="0" quotePrefix="1" applyNumberFormat="1" applyFont="1" applyFill="1" applyBorder="1" applyAlignment="1" applyProtection="1">
      <alignment vertical="center"/>
      <protection locked="0"/>
    </xf>
    <xf numFmtId="168" fontId="3" fillId="9" borderId="1" xfId="0" quotePrefix="1" applyNumberFormat="1" applyFont="1" applyFill="1" applyBorder="1" applyAlignment="1">
      <alignment horizontal="center" vertical="center" wrapText="1"/>
    </xf>
    <xf numFmtId="3" fontId="3" fillId="9" borderId="0" xfId="14" applyNumberFormat="1" applyFont="1" applyFill="1" applyAlignment="1" applyProtection="1">
      <alignment horizontal="right" vertical="center" wrapText="1"/>
      <protection locked="0"/>
    </xf>
    <xf numFmtId="10" fontId="3" fillId="9" borderId="0" xfId="14" applyNumberFormat="1" applyFont="1" applyFill="1" applyAlignment="1" applyProtection="1">
      <alignment horizontal="left" vertical="center"/>
      <protection locked="0"/>
    </xf>
    <xf numFmtId="10" fontId="15" fillId="9" borderId="0" xfId="14" applyNumberFormat="1" applyFont="1" applyFill="1" applyAlignment="1" applyProtection="1">
      <alignment horizontal="left" vertical="center"/>
      <protection locked="0"/>
    </xf>
    <xf numFmtId="3" fontId="46" fillId="9" borderId="0" xfId="0" applyNumberFormat="1" applyFont="1" applyFill="1" applyAlignment="1">
      <alignment horizontal="right"/>
    </xf>
    <xf numFmtId="10" fontId="3" fillId="9" borderId="0" xfId="14" applyNumberFormat="1" applyFont="1" applyFill="1" applyAlignment="1" applyProtection="1">
      <alignment horizontal="center" vertical="center"/>
      <protection locked="0"/>
    </xf>
    <xf numFmtId="0" fontId="1" fillId="9" borderId="0" xfId="0" applyFont="1" applyFill="1" applyAlignment="1" applyProtection="1">
      <alignment horizontal="center"/>
      <protection locked="0"/>
    </xf>
    <xf numFmtId="3" fontId="1" fillId="9" borderId="0" xfId="0" applyNumberFormat="1" applyFont="1" applyFill="1" applyAlignment="1" applyProtection="1">
      <alignment horizontal="center"/>
      <protection locked="0"/>
    </xf>
    <xf numFmtId="3" fontId="1" fillId="9" borderId="0" xfId="0" applyNumberFormat="1" applyFont="1" applyFill="1" applyAlignment="1" applyProtection="1">
      <alignment horizontal="right"/>
      <protection locked="0"/>
    </xf>
    <xf numFmtId="10" fontId="15" fillId="9" borderId="0" xfId="14" applyNumberFormat="1" applyFont="1" applyFill="1" applyAlignment="1" applyProtection="1">
      <alignment horizontal="center" vertical="center" wrapText="1"/>
      <protection locked="0"/>
    </xf>
    <xf numFmtId="3" fontId="15" fillId="9" borderId="0" xfId="14" applyNumberFormat="1" applyFont="1" applyFill="1" applyAlignment="1" applyProtection="1">
      <alignment horizontal="center" vertical="center" wrapText="1"/>
      <protection locked="0"/>
    </xf>
    <xf numFmtId="10" fontId="15" fillId="9" borderId="0" xfId="14" applyNumberFormat="1" applyFont="1" applyFill="1" applyAlignment="1" applyProtection="1">
      <alignment horizontal="center" vertical="center"/>
      <protection locked="0"/>
    </xf>
    <xf numFmtId="3" fontId="15" fillId="9" borderId="0" xfId="14" applyNumberFormat="1" applyFont="1" applyFill="1" applyAlignment="1" applyProtection="1">
      <alignment horizontal="right" vertical="center" wrapText="1"/>
      <protection locked="0"/>
    </xf>
    <xf numFmtId="0" fontId="2" fillId="9" borderId="0" xfId="0" applyFont="1" applyFill="1" applyAlignment="1" applyProtection="1">
      <alignment horizontal="center" vertical="center" wrapText="1"/>
      <protection locked="0"/>
    </xf>
    <xf numFmtId="10" fontId="15" fillId="9" borderId="0" xfId="14" applyNumberFormat="1" applyFont="1" applyFill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vertical="center"/>
      <protection locked="0"/>
    </xf>
    <xf numFmtId="41" fontId="2" fillId="0" borderId="0" xfId="14" applyFont="1" applyFill="1" applyAlignment="1" applyProtection="1">
      <alignment horizontal="center" vertical="center"/>
      <protection locked="0"/>
    </xf>
    <xf numFmtId="0" fontId="39" fillId="24" borderId="0" xfId="0" applyFont="1" applyFill="1" applyAlignment="1">
      <alignment horizontal="left" vertical="center" wrapText="1"/>
    </xf>
    <xf numFmtId="0" fontId="39" fillId="24" borderId="0" xfId="0" applyFont="1" applyFill="1" applyAlignment="1">
      <alignment wrapText="1"/>
    </xf>
    <xf numFmtId="3" fontId="1" fillId="0" borderId="0" xfId="0" applyNumberFormat="1" applyFont="1" applyAlignment="1">
      <alignment vertical="center" wrapText="1"/>
    </xf>
    <xf numFmtId="168" fontId="1" fillId="9" borderId="1" xfId="0" applyNumberFormat="1" applyFont="1" applyFill="1" applyBorder="1" applyAlignment="1">
      <alignment horizontal="center" vertical="center"/>
    </xf>
    <xf numFmtId="3" fontId="2" fillId="9" borderId="1" xfId="0" applyNumberFormat="1" applyFont="1" applyFill="1" applyBorder="1" applyAlignment="1">
      <alignment horizontal="right" vertical="center"/>
    </xf>
    <xf numFmtId="3" fontId="1" fillId="9" borderId="0" xfId="0" applyNumberFormat="1" applyFont="1" applyFill="1" applyAlignment="1">
      <alignment vertical="center" wrapText="1"/>
    </xf>
    <xf numFmtId="168" fontId="9" fillId="9" borderId="1" xfId="0" quotePrefix="1" applyNumberFormat="1" applyFont="1" applyFill="1" applyBorder="1" applyAlignment="1">
      <alignment horizontal="center" vertical="center"/>
    </xf>
    <xf numFmtId="3" fontId="3" fillId="9" borderId="1" xfId="14" applyNumberFormat="1" applyFont="1" applyFill="1" applyBorder="1" applyAlignment="1">
      <alignment vertical="center"/>
    </xf>
    <xf numFmtId="0" fontId="15" fillId="9" borderId="1" xfId="0" applyFont="1" applyFill="1" applyBorder="1" applyAlignment="1">
      <alignment horizontal="center" vertical="center"/>
    </xf>
    <xf numFmtId="168" fontId="3" fillId="9" borderId="1" xfId="0" applyNumberFormat="1" applyFont="1" applyFill="1" applyBorder="1" applyAlignment="1">
      <alignment horizontal="center" vertical="center"/>
    </xf>
    <xf numFmtId="10" fontId="3" fillId="9" borderId="1" xfId="7" applyNumberFormat="1" applyFont="1" applyFill="1" applyBorder="1" applyAlignment="1">
      <alignment horizontal="center" vertical="center"/>
    </xf>
    <xf numFmtId="1" fontId="3" fillId="9" borderId="1" xfId="14" applyNumberFormat="1" applyFont="1" applyFill="1" applyBorder="1" applyAlignment="1">
      <alignment horizontal="right" vertical="center"/>
    </xf>
    <xf numFmtId="3" fontId="1" fillId="9" borderId="2" xfId="0" applyNumberFormat="1" applyFont="1" applyFill="1" applyBorder="1" applyAlignment="1">
      <alignment horizontal="right" vertical="center"/>
    </xf>
    <xf numFmtId="0" fontId="18" fillId="9" borderId="1" xfId="0" applyFont="1" applyFill="1" applyBorder="1" applyAlignment="1">
      <alignment horizontal="center" vertical="center"/>
    </xf>
    <xf numFmtId="167" fontId="12" fillId="9" borderId="1" xfId="0" applyNumberFormat="1" applyFont="1" applyFill="1" applyBorder="1" applyAlignment="1">
      <alignment horizontal="center" vertical="center"/>
    </xf>
    <xf numFmtId="3" fontId="3" fillId="9" borderId="2" xfId="0" applyNumberFormat="1" applyFont="1" applyFill="1" applyBorder="1" applyAlignment="1">
      <alignment horizontal="right" vertical="center"/>
    </xf>
    <xf numFmtId="3" fontId="1" fillId="9" borderId="1" xfId="0" applyNumberFormat="1" applyFont="1" applyFill="1" applyBorder="1" applyAlignment="1">
      <alignment horizontal="right" vertical="top" wrapText="1"/>
    </xf>
    <xf numFmtId="170" fontId="12" fillId="8" borderId="1" xfId="0" applyNumberFormat="1" applyFont="1" applyFill="1" applyBorder="1" applyAlignment="1">
      <alignment horizontal="left" vertical="center"/>
    </xf>
    <xf numFmtId="167" fontId="12" fillId="8" borderId="1" xfId="0" applyNumberFormat="1" applyFont="1" applyFill="1" applyBorder="1" applyAlignment="1">
      <alignment horizontal="center" vertical="center"/>
    </xf>
    <xf numFmtId="168" fontId="12" fillId="8" borderId="1" xfId="0" applyNumberFormat="1" applyFont="1" applyFill="1" applyBorder="1" applyAlignment="1">
      <alignment horizontal="center" vertical="center"/>
    </xf>
    <xf numFmtId="168" fontId="12" fillId="8" borderId="1" xfId="0" applyNumberFormat="1" applyFont="1" applyFill="1" applyBorder="1" applyAlignment="1">
      <alignment vertical="center"/>
    </xf>
    <xf numFmtId="3" fontId="12" fillId="8" borderId="1" xfId="0" applyNumberFormat="1" applyFont="1" applyFill="1" applyBorder="1" applyAlignment="1">
      <alignment horizontal="right" vertical="center"/>
    </xf>
    <xf numFmtId="1" fontId="12" fillId="8" borderId="1" xfId="14" applyNumberFormat="1" applyFont="1" applyFill="1" applyBorder="1" applyAlignment="1">
      <alignment horizontal="right" vertical="center"/>
    </xf>
    <xf numFmtId="10" fontId="12" fillId="8" borderId="1" xfId="7" applyNumberFormat="1" applyFont="1" applyFill="1" applyBorder="1" applyAlignment="1">
      <alignment horizontal="center" vertical="center"/>
    </xf>
    <xf numFmtId="9" fontId="12" fillId="8" borderId="1" xfId="7" applyFont="1" applyFill="1" applyBorder="1" applyAlignment="1">
      <alignment horizontal="center" vertical="center"/>
    </xf>
    <xf numFmtId="3" fontId="12" fillId="8" borderId="1" xfId="14" applyNumberFormat="1" applyFont="1" applyFill="1" applyBorder="1" applyAlignment="1">
      <alignment horizontal="right" vertical="center"/>
    </xf>
    <xf numFmtId="10" fontId="1" fillId="8" borderId="1" xfId="0" applyNumberFormat="1" applyFont="1" applyFill="1" applyBorder="1" applyAlignment="1">
      <alignment horizontal="center" vertical="center"/>
    </xf>
    <xf numFmtId="172" fontId="12" fillId="8" borderId="1" xfId="7" applyNumberFormat="1" applyFont="1" applyFill="1" applyBorder="1" applyAlignment="1">
      <alignment horizontal="center" vertical="center"/>
    </xf>
    <xf numFmtId="3" fontId="12" fillId="9" borderId="1" xfId="0" applyNumberFormat="1" applyFont="1" applyFill="1" applyBorder="1" applyAlignment="1">
      <alignment horizontal="right" vertical="center"/>
    </xf>
    <xf numFmtId="3" fontId="12" fillId="9" borderId="1" xfId="0" applyNumberFormat="1" applyFont="1" applyFill="1" applyBorder="1" applyAlignment="1">
      <alignment vertical="center"/>
    </xf>
    <xf numFmtId="41" fontId="2" fillId="9" borderId="0" xfId="14" applyFont="1" applyFill="1" applyAlignment="1">
      <alignment horizontal="left" vertical="center" wrapText="1"/>
    </xf>
    <xf numFmtId="0" fontId="1" fillId="9" borderId="0" xfId="7" applyNumberFormat="1" applyFont="1" applyFill="1" applyAlignment="1">
      <alignment horizontal="left" vertical="center"/>
    </xf>
    <xf numFmtId="3" fontId="1" fillId="9" borderId="0" xfId="7" applyNumberFormat="1" applyFont="1" applyFill="1" applyAlignment="1">
      <alignment horizontal="right" vertical="center"/>
    </xf>
    <xf numFmtId="41" fontId="57" fillId="9" borderId="0" xfId="14" applyFont="1" applyFill="1" applyBorder="1" applyAlignment="1">
      <alignment horizontal="center" vertical="center" wrapText="1"/>
    </xf>
    <xf numFmtId="3" fontId="57" fillId="9" borderId="0" xfId="14" applyNumberFormat="1" applyFont="1" applyFill="1" applyBorder="1" applyAlignment="1">
      <alignment horizontal="right" vertical="center" wrapText="1"/>
    </xf>
    <xf numFmtId="41" fontId="57" fillId="9" borderId="0" xfId="14" applyFont="1" applyFill="1" applyBorder="1" applyAlignment="1">
      <alignment horizontal="left" vertical="center" wrapText="1"/>
    </xf>
    <xf numFmtId="41" fontId="57" fillId="9" borderId="0" xfId="14" applyFont="1" applyFill="1" applyAlignment="1">
      <alignment horizontal="left" vertical="center" wrapText="1"/>
    </xf>
    <xf numFmtId="3" fontId="57" fillId="9" borderId="0" xfId="14" applyNumberFormat="1" applyFont="1" applyFill="1" applyAlignment="1">
      <alignment horizontal="right" vertical="center" wrapText="1"/>
    </xf>
    <xf numFmtId="41" fontId="57" fillId="9" borderId="0" xfId="14" applyFont="1" applyFill="1" applyAlignment="1">
      <alignment horizontal="left" vertical="center"/>
    </xf>
    <xf numFmtId="3" fontId="57" fillId="9" borderId="0" xfId="14" applyNumberFormat="1" applyFont="1" applyFill="1" applyAlignment="1">
      <alignment horizontal="right" vertical="center"/>
    </xf>
    <xf numFmtId="41" fontId="57" fillId="9" borderId="0" xfId="14" applyFont="1" applyFill="1" applyAlignment="1">
      <alignment horizontal="center" vertical="center" wrapText="1"/>
    </xf>
    <xf numFmtId="0" fontId="57" fillId="9" borderId="0" xfId="7" applyNumberFormat="1" applyFont="1" applyFill="1" applyAlignment="1">
      <alignment horizontal="left" vertical="center"/>
    </xf>
    <xf numFmtId="3" fontId="56" fillId="9" borderId="0" xfId="14" applyNumberFormat="1" applyFont="1" applyFill="1" applyBorder="1" applyAlignment="1">
      <alignment horizontal="right" vertical="center" wrapText="1"/>
    </xf>
    <xf numFmtId="3" fontId="56" fillId="9" borderId="0" xfId="14" applyNumberFormat="1" applyFont="1" applyFill="1" applyAlignment="1">
      <alignment horizontal="right" vertical="center" wrapText="1"/>
    </xf>
    <xf numFmtId="3" fontId="56" fillId="9" borderId="0" xfId="14" applyNumberFormat="1" applyFont="1" applyFill="1" applyAlignment="1">
      <alignment horizontal="right" vertical="center"/>
    </xf>
    <xf numFmtId="0" fontId="58" fillId="9" borderId="34" xfId="0" applyFont="1" applyFill="1" applyBorder="1" applyAlignment="1">
      <alignment horizontal="center" vertical="center"/>
    </xf>
    <xf numFmtId="0" fontId="59" fillId="8" borderId="1" xfId="0" applyFont="1" applyFill="1" applyBorder="1" applyAlignment="1">
      <alignment vertical="center"/>
    </xf>
    <xf numFmtId="0" fontId="60" fillId="11" borderId="1" xfId="2" applyFont="1" applyFill="1" applyBorder="1" applyAlignment="1" applyProtection="1">
      <alignment horizontal="center" vertical="center"/>
    </xf>
    <xf numFmtId="0" fontId="61" fillId="9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3" fontId="61" fillId="0" borderId="0" xfId="0" applyNumberFormat="1" applyFont="1" applyAlignment="1">
      <alignment vertical="center"/>
    </xf>
    <xf numFmtId="41" fontId="61" fillId="9" borderId="0" xfId="14" applyFont="1" applyFill="1" applyBorder="1" applyAlignment="1">
      <alignment horizontal="center" vertical="center" wrapText="1"/>
    </xf>
    <xf numFmtId="3" fontId="56" fillId="0" borderId="0" xfId="14" applyNumberFormat="1" applyFont="1" applyFill="1" applyBorder="1" applyAlignment="1">
      <alignment horizontal="right" vertical="center" wrapText="1"/>
    </xf>
    <xf numFmtId="41" fontId="56" fillId="0" borderId="0" xfId="14" applyFont="1" applyFill="1" applyBorder="1" applyAlignment="1">
      <alignment horizontal="center" vertical="center" wrapText="1"/>
    </xf>
    <xf numFmtId="41" fontId="1" fillId="0" borderId="0" xfId="14" applyFont="1" applyFill="1" applyBorder="1" applyAlignment="1">
      <alignment horizontal="center" vertical="center" wrapText="1"/>
    </xf>
    <xf numFmtId="41" fontId="56" fillId="0" borderId="0" xfId="14" applyFont="1" applyFill="1" applyBorder="1" applyAlignment="1">
      <alignment horizontal="left" vertical="center" wrapText="1"/>
    </xf>
    <xf numFmtId="41" fontId="1" fillId="0" borderId="0" xfId="14" applyFont="1" applyFill="1" applyBorder="1" applyAlignment="1">
      <alignment horizontal="left" vertical="center" wrapText="1"/>
    </xf>
    <xf numFmtId="3" fontId="56" fillId="0" borderId="0" xfId="14" applyNumberFormat="1" applyFont="1" applyFill="1" applyAlignment="1">
      <alignment horizontal="right" vertical="center" wrapText="1"/>
    </xf>
    <xf numFmtId="41" fontId="56" fillId="0" borderId="0" xfId="14" applyFont="1" applyFill="1" applyAlignment="1">
      <alignment horizontal="left" vertical="center" wrapText="1"/>
    </xf>
    <xf numFmtId="41" fontId="1" fillId="0" borderId="0" xfId="14" applyFont="1" applyFill="1" applyAlignment="1">
      <alignment horizontal="left" vertical="center" wrapText="1"/>
    </xf>
    <xf numFmtId="41" fontId="56" fillId="0" borderId="0" xfId="14" applyFont="1" applyFill="1" applyAlignment="1">
      <alignment horizontal="left" vertical="center"/>
    </xf>
    <xf numFmtId="41" fontId="56" fillId="0" borderId="0" xfId="14" applyFont="1" applyFill="1" applyAlignment="1">
      <alignment horizontal="center" vertical="center" wrapText="1"/>
    </xf>
    <xf numFmtId="41" fontId="2" fillId="0" borderId="0" xfId="14" applyFont="1" applyFill="1" applyAlignment="1">
      <alignment horizontal="left" vertical="center"/>
    </xf>
    <xf numFmtId="41" fontId="1" fillId="0" borderId="0" xfId="14" applyFont="1" applyFill="1" applyAlignment="1">
      <alignment horizontal="center" vertical="center" wrapText="1"/>
    </xf>
    <xf numFmtId="41" fontId="35" fillId="22" borderId="1" xfId="14" applyFont="1" applyFill="1" applyBorder="1" applyAlignment="1"/>
    <xf numFmtId="41" fontId="35" fillId="22" borderId="1" xfId="14" applyFont="1" applyFill="1" applyBorder="1" applyAlignment="1">
      <alignment horizontal="center"/>
    </xf>
    <xf numFmtId="0" fontId="35" fillId="22" borderId="1" xfId="0" applyFont="1" applyFill="1" applyBorder="1"/>
    <xf numFmtId="0" fontId="36" fillId="22" borderId="1" xfId="0" applyFont="1" applyFill="1" applyBorder="1"/>
    <xf numFmtId="3" fontId="56" fillId="0" borderId="0" xfId="14" applyNumberFormat="1" applyFont="1" applyFill="1" applyBorder="1" applyAlignment="1">
      <alignment horizontal="left" vertical="center" wrapText="1"/>
    </xf>
    <xf numFmtId="3" fontId="56" fillId="0" borderId="0" xfId="14" applyNumberFormat="1" applyFont="1" applyFill="1" applyAlignment="1">
      <alignment horizontal="left" vertical="center" wrapText="1"/>
    </xf>
    <xf numFmtId="3" fontId="57" fillId="0" borderId="0" xfId="14" applyNumberFormat="1" applyFont="1" applyFill="1" applyBorder="1" applyAlignment="1">
      <alignment horizontal="right" vertical="center" wrapText="1"/>
    </xf>
    <xf numFmtId="41" fontId="57" fillId="0" borderId="0" xfId="14" applyFont="1" applyFill="1" applyBorder="1" applyAlignment="1">
      <alignment horizontal="left" vertical="center" wrapText="1"/>
    </xf>
    <xf numFmtId="41" fontId="57" fillId="0" borderId="0" xfId="14" applyFont="1" applyFill="1" applyAlignment="1">
      <alignment horizontal="left" vertical="center" wrapText="1"/>
    </xf>
    <xf numFmtId="3" fontId="57" fillId="0" borderId="0" xfId="14" applyNumberFormat="1" applyFont="1" applyFill="1" applyAlignment="1">
      <alignment horizontal="right" vertical="center" wrapText="1"/>
    </xf>
    <xf numFmtId="41" fontId="57" fillId="0" borderId="0" xfId="14" applyFont="1" applyFill="1" applyAlignment="1">
      <alignment horizontal="left" vertical="center"/>
    </xf>
    <xf numFmtId="0" fontId="57" fillId="0" borderId="0" xfId="7" applyNumberFormat="1" applyFont="1" applyFill="1" applyAlignment="1">
      <alignment horizontal="left" vertical="center"/>
    </xf>
    <xf numFmtId="41" fontId="57" fillId="0" borderId="0" xfId="14" applyFont="1" applyFill="1" applyAlignment="1">
      <alignment horizontal="center" vertical="center" wrapText="1"/>
    </xf>
    <xf numFmtId="3" fontId="56" fillId="9" borderId="0" xfId="14" applyNumberFormat="1" applyFont="1" applyFill="1" applyBorder="1" applyAlignment="1">
      <alignment horizontal="left" vertical="center" wrapText="1"/>
    </xf>
    <xf numFmtId="3" fontId="56" fillId="9" borderId="0" xfId="14" applyNumberFormat="1" applyFont="1" applyFill="1" applyAlignment="1">
      <alignment horizontal="left" vertical="center" wrapText="1"/>
    </xf>
    <xf numFmtId="3" fontId="56" fillId="9" borderId="0" xfId="14" applyNumberFormat="1" applyFont="1" applyFill="1" applyAlignment="1">
      <alignment horizontal="left" vertical="center"/>
    </xf>
    <xf numFmtId="41" fontId="47" fillId="9" borderId="0" xfId="14" applyFont="1" applyFill="1" applyAlignment="1">
      <alignment horizontal="left" vertical="center"/>
    </xf>
    <xf numFmtId="0" fontId="63" fillId="9" borderId="0" xfId="0" applyFont="1" applyFill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horizontal="center" vertical="center"/>
    </xf>
    <xf numFmtId="0" fontId="63" fillId="9" borderId="0" xfId="0" applyFont="1" applyFill="1" applyAlignment="1">
      <alignment vertical="center"/>
    </xf>
    <xf numFmtId="0" fontId="1" fillId="0" borderId="0" xfId="7" applyNumberFormat="1" applyFont="1" applyFill="1" applyAlignment="1">
      <alignment horizontal="left" vertical="center"/>
    </xf>
    <xf numFmtId="3" fontId="1" fillId="0" borderId="0" xfId="7" applyNumberFormat="1" applyFont="1" applyFill="1" applyAlignment="1">
      <alignment horizontal="right" vertical="center"/>
    </xf>
    <xf numFmtId="3" fontId="1" fillId="0" borderId="0" xfId="14" applyNumberFormat="1" applyFont="1" applyFill="1" applyAlignment="1">
      <alignment horizontal="left" vertical="center" wrapText="1"/>
    </xf>
    <xf numFmtId="3" fontId="1" fillId="9" borderId="0" xfId="14" applyNumberFormat="1" applyFont="1" applyFill="1" applyAlignment="1">
      <alignment horizontal="left" vertical="center" wrapText="1"/>
    </xf>
    <xf numFmtId="41" fontId="64" fillId="9" borderId="0" xfId="14" applyFont="1" applyFill="1"/>
    <xf numFmtId="168" fontId="10" fillId="9" borderId="1" xfId="0" applyNumberFormat="1" applyFont="1" applyFill="1" applyBorder="1" applyAlignment="1">
      <alignment vertical="center" wrapText="1"/>
    </xf>
    <xf numFmtId="0" fontId="2" fillId="0" borderId="0" xfId="7" applyNumberFormat="1" applyFont="1" applyFill="1" applyAlignment="1">
      <alignment horizontal="left" vertical="center"/>
    </xf>
    <xf numFmtId="3" fontId="2" fillId="0" borderId="0" xfId="7" applyNumberFormat="1" applyFont="1" applyFill="1" applyAlignment="1">
      <alignment horizontal="right" vertical="center"/>
    </xf>
    <xf numFmtId="3" fontId="2" fillId="0" borderId="0" xfId="14" applyNumberFormat="1" applyFont="1" applyFill="1" applyAlignment="1">
      <alignment horizontal="left" vertical="center" wrapText="1"/>
    </xf>
    <xf numFmtId="41" fontId="2" fillId="0" borderId="0" xfId="14" applyFont="1" applyFill="1" applyAlignment="1">
      <alignment horizontal="center" vertical="center"/>
    </xf>
    <xf numFmtId="41" fontId="2" fillId="0" borderId="0" xfId="14" applyFont="1" applyFill="1" applyAlignment="1">
      <alignment horizontal="center" vertical="center" wrapText="1"/>
    </xf>
    <xf numFmtId="41" fontId="2" fillId="9" borderId="0" xfId="14" applyFont="1" applyFill="1" applyAlignment="1">
      <alignment horizontal="center" vertical="center"/>
    </xf>
    <xf numFmtId="41" fontId="2" fillId="9" borderId="0" xfId="0" applyNumberFormat="1" applyFont="1" applyFill="1" applyAlignment="1">
      <alignment vertical="center"/>
    </xf>
    <xf numFmtId="0" fontId="2" fillId="9" borderId="0" xfId="7" applyNumberFormat="1" applyFont="1" applyFill="1" applyAlignment="1">
      <alignment horizontal="left" vertical="center"/>
    </xf>
    <xf numFmtId="3" fontId="2" fillId="9" borderId="0" xfId="7" applyNumberFormat="1" applyFont="1" applyFill="1" applyAlignment="1">
      <alignment horizontal="right" vertical="center"/>
    </xf>
    <xf numFmtId="3" fontId="2" fillId="9" borderId="0" xfId="14" applyNumberFormat="1" applyFont="1" applyFill="1" applyAlignment="1">
      <alignment horizontal="left" vertical="center" wrapText="1"/>
    </xf>
    <xf numFmtId="41" fontId="15" fillId="9" borderId="0" xfId="14" applyFont="1" applyFill="1" applyAlignment="1">
      <alignment horizontal="center" vertical="center" wrapText="1"/>
    </xf>
    <xf numFmtId="41" fontId="15" fillId="9" borderId="0" xfId="0" applyNumberFormat="1" applyFont="1" applyFill="1" applyAlignment="1">
      <alignment vertical="center"/>
    </xf>
    <xf numFmtId="3" fontId="2" fillId="9" borderId="1" xfId="0" applyNumberFormat="1" applyFont="1" applyFill="1" applyBorder="1" applyAlignment="1">
      <alignment vertical="center"/>
    </xf>
    <xf numFmtId="0" fontId="15" fillId="9" borderId="47" xfId="0" applyFont="1" applyFill="1" applyBorder="1" applyAlignment="1">
      <alignment horizontal="left"/>
    </xf>
    <xf numFmtId="169" fontId="3" fillId="9" borderId="1" xfId="11" applyNumberFormat="1" applyFont="1" applyFill="1" applyBorder="1" applyAlignment="1">
      <alignment horizontal="right"/>
    </xf>
    <xf numFmtId="0" fontId="15" fillId="9" borderId="12" xfId="0" applyFont="1" applyFill="1" applyBorder="1" applyAlignment="1">
      <alignment horizontal="left"/>
    </xf>
    <xf numFmtId="0" fontId="15" fillId="9" borderId="49" xfId="0" applyFont="1" applyFill="1" applyBorder="1" applyAlignment="1">
      <alignment horizontal="left"/>
    </xf>
    <xf numFmtId="0" fontId="11" fillId="10" borderId="1" xfId="1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170" fontId="22" fillId="8" borderId="1" xfId="0" applyNumberFormat="1" applyFont="1" applyFill="1" applyBorder="1" applyAlignment="1">
      <alignment horizontal="center"/>
    </xf>
    <xf numFmtId="3" fontId="9" fillId="16" borderId="46" xfId="0" applyNumberFormat="1" applyFont="1" applyFill="1" applyBorder="1" applyAlignment="1">
      <alignment horizontal="center"/>
    </xf>
    <xf numFmtId="3" fontId="9" fillId="16" borderId="14" xfId="0" applyNumberFormat="1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20" fillId="11" borderId="1" xfId="2" applyFont="1" applyFill="1" applyBorder="1" applyAlignment="1">
      <alignment horizontal="center"/>
    </xf>
    <xf numFmtId="0" fontId="20" fillId="10" borderId="14" xfId="1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15" fillId="9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/>
    </xf>
    <xf numFmtId="0" fontId="15" fillId="8" borderId="1" xfId="0" applyFont="1" applyFill="1" applyBorder="1" applyAlignment="1">
      <alignment horizontal="left"/>
    </xf>
    <xf numFmtId="0" fontId="44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7" fontId="39" fillId="0" borderId="0" xfId="0" applyNumberFormat="1" applyFont="1" applyAlignment="1">
      <alignment horizontal="center" vertical="center"/>
    </xf>
    <xf numFmtId="41" fontId="39" fillId="0" borderId="0" xfId="14" applyFont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0" fontId="11" fillId="10" borderId="1" xfId="1" applyFont="1" applyFill="1" applyBorder="1" applyAlignment="1">
      <alignment horizontal="center" vertical="center"/>
    </xf>
    <xf numFmtId="0" fontId="50" fillId="0" borderId="0" xfId="0" applyFont="1" applyAlignment="1">
      <alignment horizontal="left" vertical="top" wrapText="1"/>
    </xf>
    <xf numFmtId="0" fontId="15" fillId="8" borderId="1" xfId="0" applyFont="1" applyFill="1" applyBorder="1" applyAlignment="1">
      <alignment horizontal="center" vertical="center"/>
    </xf>
    <xf numFmtId="0" fontId="35" fillId="22" borderId="0" xfId="0" applyFont="1" applyFill="1" applyAlignment="1">
      <alignment horizontal="center"/>
    </xf>
    <xf numFmtId="41" fontId="35" fillId="22" borderId="0" xfId="14" applyFont="1" applyFill="1" applyBorder="1" applyAlignment="1">
      <alignment horizontal="center" vertical="center" wrapText="1"/>
    </xf>
    <xf numFmtId="3" fontId="2" fillId="2" borderId="36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3" fontId="2" fillId="2" borderId="36" xfId="0" applyNumberFormat="1" applyFont="1" applyFill="1" applyBorder="1" applyAlignment="1" applyProtection="1">
      <alignment horizontal="center"/>
      <protection locked="0"/>
    </xf>
    <xf numFmtId="3" fontId="2" fillId="2" borderId="2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3" fontId="11" fillId="10" borderId="1" xfId="1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3" fontId="2" fillId="2" borderId="1" xfId="0" applyNumberFormat="1" applyFont="1" applyFill="1" applyBorder="1" applyAlignment="1" applyProtection="1">
      <alignment horizontal="center" vertical="center"/>
      <protection locked="0"/>
    </xf>
    <xf numFmtId="0" fontId="40" fillId="16" borderId="0" xfId="0" applyFont="1" applyFill="1" applyAlignment="1">
      <alignment horizontal="center" vertical="center" wrapText="1"/>
    </xf>
    <xf numFmtId="0" fontId="40" fillId="16" borderId="0" xfId="0" applyFont="1" applyFill="1" applyAlignment="1">
      <alignment horizontal="center"/>
    </xf>
    <xf numFmtId="17" fontId="39" fillId="15" borderId="1" xfId="0" applyNumberFormat="1" applyFont="1" applyFill="1" applyBorder="1" applyAlignment="1">
      <alignment horizontal="center" vertical="center" wrapText="1"/>
    </xf>
    <xf numFmtId="0" fontId="39" fillId="15" borderId="1" xfId="0" applyFont="1" applyFill="1" applyBorder="1" applyAlignment="1">
      <alignment horizontal="center" vertical="center" wrapText="1"/>
    </xf>
    <xf numFmtId="0" fontId="39" fillId="23" borderId="0" xfId="0" applyFont="1" applyFill="1" applyAlignment="1">
      <alignment horizontal="center"/>
    </xf>
    <xf numFmtId="0" fontId="39" fillId="27" borderId="0" xfId="0" applyFont="1" applyFill="1" applyAlignment="1">
      <alignment horizontal="center"/>
    </xf>
    <xf numFmtId="0" fontId="39" fillId="27" borderId="0" xfId="0" applyFont="1" applyFill="1" applyAlignment="1">
      <alignment horizontal="center" wrapText="1"/>
    </xf>
    <xf numFmtId="0" fontId="39" fillId="16" borderId="0" xfId="0" applyFont="1" applyFill="1" applyAlignment="1">
      <alignment horizontal="center"/>
    </xf>
    <xf numFmtId="17" fontId="39" fillId="16" borderId="36" xfId="0" applyNumberFormat="1" applyFont="1" applyFill="1" applyBorder="1" applyAlignment="1">
      <alignment horizontal="center"/>
    </xf>
    <xf numFmtId="0" fontId="39" fillId="16" borderId="38" xfId="0" applyFont="1" applyFill="1" applyBorder="1" applyAlignment="1">
      <alignment horizontal="center"/>
    </xf>
    <xf numFmtId="0" fontId="39" fillId="16" borderId="39" xfId="0" applyFont="1" applyFill="1" applyBorder="1" applyAlignment="1">
      <alignment horizontal="center"/>
    </xf>
    <xf numFmtId="0" fontId="39" fillId="16" borderId="40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20" borderId="0" xfId="0" applyFont="1" applyFill="1" applyAlignment="1">
      <alignment horizontal="center"/>
    </xf>
    <xf numFmtId="49" fontId="27" fillId="0" borderId="0" xfId="0" applyNumberFormat="1" applyFont="1" applyAlignment="1">
      <alignment horizontal="center"/>
    </xf>
    <xf numFmtId="41" fontId="11" fillId="10" borderId="1" xfId="14" applyFont="1" applyFill="1" applyBorder="1" applyAlignment="1">
      <alignment horizontal="center" vertical="center"/>
    </xf>
    <xf numFmtId="0" fontId="11" fillId="10" borderId="14" xfId="1" applyFont="1" applyFill="1" applyBorder="1" applyAlignment="1">
      <alignment horizontal="center" vertical="center"/>
    </xf>
    <xf numFmtId="3" fontId="2" fillId="2" borderId="36" xfId="0" applyNumberFormat="1" applyFont="1" applyFill="1" applyBorder="1" applyAlignment="1" applyProtection="1">
      <alignment horizontal="center" vertical="center"/>
      <protection locked="0"/>
    </xf>
    <xf numFmtId="3" fontId="2" fillId="2" borderId="2" xfId="0" applyNumberFormat="1" applyFont="1" applyFill="1" applyBorder="1" applyAlignment="1" applyProtection="1">
      <alignment horizontal="center" vertical="center"/>
      <protection locked="0"/>
    </xf>
    <xf numFmtId="0" fontId="11" fillId="10" borderId="37" xfId="1" applyFont="1" applyFill="1" applyBorder="1" applyAlignment="1">
      <alignment horizontal="center" vertical="center"/>
    </xf>
    <xf numFmtId="0" fontId="11" fillId="10" borderId="33" xfId="1" applyFont="1" applyFill="1" applyBorder="1" applyAlignment="1">
      <alignment horizontal="center" vertical="center"/>
    </xf>
    <xf numFmtId="41" fontId="11" fillId="10" borderId="36" xfId="14" applyFont="1" applyFill="1" applyBorder="1" applyAlignment="1">
      <alignment horizontal="center" vertical="center"/>
    </xf>
    <xf numFmtId="41" fontId="11" fillId="10" borderId="2" xfId="14" applyFont="1" applyFill="1" applyBorder="1" applyAlignment="1">
      <alignment horizontal="center" vertical="center"/>
    </xf>
    <xf numFmtId="168" fontId="2" fillId="0" borderId="8" xfId="0" applyNumberFormat="1" applyFont="1" applyBorder="1" applyAlignment="1" applyProtection="1">
      <alignment horizontal="right"/>
      <protection locked="0"/>
    </xf>
    <xf numFmtId="168" fontId="2" fillId="0" borderId="43" xfId="0" applyNumberFormat="1" applyFont="1" applyBorder="1" applyAlignment="1" applyProtection="1">
      <alignment horizontal="right"/>
      <protection locked="0"/>
    </xf>
    <xf numFmtId="168" fontId="2" fillId="0" borderId="23" xfId="0" applyNumberFormat="1" applyFont="1" applyBorder="1" applyAlignment="1" applyProtection="1">
      <alignment horizontal="right"/>
      <protection locked="0"/>
    </xf>
    <xf numFmtId="168" fontId="21" fillId="13" borderId="8" xfId="0" applyNumberFormat="1" applyFont="1" applyFill="1" applyBorder="1" applyAlignment="1" applyProtection="1">
      <alignment horizontal="center"/>
      <protection locked="0"/>
    </xf>
    <xf numFmtId="168" fontId="21" fillId="13" borderId="6" xfId="0" applyNumberFormat="1" applyFont="1" applyFill="1" applyBorder="1" applyAlignment="1" applyProtection="1">
      <alignment horizontal="center"/>
      <protection locked="0"/>
    </xf>
    <xf numFmtId="168" fontId="21" fillId="13" borderId="23" xfId="0" applyNumberFormat="1" applyFont="1" applyFill="1" applyBorder="1" applyAlignment="1" applyProtection="1">
      <alignment horizontal="center"/>
      <protection locked="0"/>
    </xf>
    <xf numFmtId="0" fontId="21" fillId="12" borderId="8" xfId="2" applyFont="1" applyFill="1" applyBorder="1" applyAlignment="1">
      <alignment horizontal="center" vertical="center"/>
    </xf>
    <xf numFmtId="0" fontId="21" fillId="12" borderId="6" xfId="2" applyFont="1" applyFill="1" applyBorder="1" applyAlignment="1">
      <alignment horizontal="center" vertical="center"/>
    </xf>
    <xf numFmtId="0" fontId="21" fillId="12" borderId="23" xfId="2" applyFont="1" applyFill="1" applyBorder="1" applyAlignment="1">
      <alignment horizontal="center" vertical="center"/>
    </xf>
    <xf numFmtId="0" fontId="21" fillId="13" borderId="8" xfId="1" applyFont="1" applyFill="1" applyBorder="1" applyAlignment="1">
      <alignment horizontal="center" vertical="center"/>
    </xf>
    <xf numFmtId="0" fontId="21" fillId="13" borderId="23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1" fillId="10" borderId="36" xfId="1" applyFont="1" applyFill="1" applyBorder="1" applyAlignment="1">
      <alignment horizontal="center" vertical="center"/>
    </xf>
    <xf numFmtId="0" fontId="11" fillId="10" borderId="2" xfId="1" applyFont="1" applyFill="1" applyBorder="1" applyAlignment="1">
      <alignment horizontal="center" vertical="center"/>
    </xf>
    <xf numFmtId="17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9" fillId="26" borderId="0" xfId="0" applyFont="1" applyFill="1" applyAlignment="1">
      <alignment horizontal="center" vertical="center"/>
    </xf>
    <xf numFmtId="0" fontId="39" fillId="26" borderId="0" xfId="0" applyFont="1" applyFill="1" applyAlignment="1">
      <alignment horizontal="center" vertical="center" wrapText="1"/>
    </xf>
    <xf numFmtId="17" fontId="39" fillId="26" borderId="0" xfId="0" applyNumberFormat="1" applyFont="1" applyFill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10" borderId="38" xfId="1" applyFont="1" applyFill="1" applyBorder="1" applyAlignment="1">
      <alignment horizontal="center" vertical="center"/>
    </xf>
    <xf numFmtId="0" fontId="17" fillId="20" borderId="0" xfId="0" applyFont="1" applyFill="1" applyAlignment="1">
      <alignment horizontal="center" vertical="center" wrapText="1"/>
    </xf>
    <xf numFmtId="0" fontId="43" fillId="20" borderId="36" xfId="0" applyFont="1" applyFill="1" applyBorder="1" applyAlignment="1">
      <alignment horizontal="center"/>
    </xf>
    <xf numFmtId="0" fontId="43" fillId="20" borderId="38" xfId="0" applyFont="1" applyFill="1" applyBorder="1" applyAlignment="1">
      <alignment horizontal="center"/>
    </xf>
    <xf numFmtId="0" fontId="43" fillId="20" borderId="2" xfId="0" applyFont="1" applyFill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39" fillId="24" borderId="0" xfId="0" applyFont="1" applyFill="1" applyAlignment="1">
      <alignment horizontal="center" wrapText="1"/>
    </xf>
    <xf numFmtId="0" fontId="40" fillId="9" borderId="0" xfId="0" applyFont="1" applyFill="1" applyAlignment="1">
      <alignment horizontal="center"/>
    </xf>
    <xf numFmtId="0" fontId="39" fillId="24" borderId="0" xfId="0" applyFont="1" applyFill="1" applyAlignment="1">
      <alignment horizontal="center" vertical="center" wrapText="1"/>
    </xf>
    <xf numFmtId="0" fontId="39" fillId="9" borderId="0" xfId="0" applyFont="1" applyFill="1" applyAlignment="1">
      <alignment horizontal="center" wrapText="1"/>
    </xf>
    <xf numFmtId="0" fontId="40" fillId="24" borderId="0" xfId="0" applyFont="1" applyFill="1" applyAlignment="1">
      <alignment horizontal="center" wrapText="1"/>
    </xf>
    <xf numFmtId="17" fontId="39" fillId="24" borderId="0" xfId="0" applyNumberFormat="1" applyFont="1" applyFill="1" applyAlignment="1">
      <alignment horizontal="center" wrapText="1"/>
    </xf>
    <xf numFmtId="17" fontId="39" fillId="24" borderId="0" xfId="0" applyNumberFormat="1" applyFont="1" applyFill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vertical="center"/>
    </xf>
    <xf numFmtId="168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horizontal="right" vertical="center"/>
    </xf>
    <xf numFmtId="10" fontId="2" fillId="0" borderId="1" xfId="7" applyNumberFormat="1" applyFont="1" applyFill="1" applyBorder="1" applyAlignment="1" applyProtection="1">
      <alignment horizontal="center" vertical="center"/>
    </xf>
    <xf numFmtId="3" fontId="15" fillId="0" borderId="1" xfId="0" applyNumberFormat="1" applyFont="1" applyFill="1" applyBorder="1" applyAlignment="1">
      <alignment horizontal="right" vertical="center"/>
    </xf>
    <xf numFmtId="172" fontId="2" fillId="0" borderId="1" xfId="7" applyNumberFormat="1" applyFont="1" applyFill="1" applyBorder="1" applyAlignment="1" applyProtection="1">
      <alignment horizontal="center" vertical="center"/>
    </xf>
    <xf numFmtId="3" fontId="15" fillId="0" borderId="1" xfId="14" applyNumberFormat="1" applyFont="1" applyFill="1" applyBorder="1" applyAlignment="1" applyProtection="1">
      <alignment horizontal="right" vertical="center"/>
    </xf>
    <xf numFmtId="10" fontId="2" fillId="0" borderId="1" xfId="7" applyNumberFormat="1" applyFont="1" applyFill="1" applyBorder="1" applyAlignment="1">
      <alignment horizontal="center" vertical="center"/>
    </xf>
    <xf numFmtId="41" fontId="2" fillId="0" borderId="1" xfId="14" applyFont="1" applyFill="1" applyBorder="1" applyAlignment="1">
      <alignment horizontal="right" vertical="center"/>
    </xf>
    <xf numFmtId="1" fontId="2" fillId="0" borderId="1" xfId="14" applyNumberFormat="1" applyFont="1" applyFill="1" applyBorder="1" applyAlignment="1">
      <alignment horizontal="right" vertical="center"/>
    </xf>
    <xf numFmtId="41" fontId="2" fillId="0" borderId="2" xfId="14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horizontal="right" vertical="top" wrapText="1"/>
    </xf>
    <xf numFmtId="3" fontId="1" fillId="0" borderId="1" xfId="0" applyNumberFormat="1" applyFont="1" applyFill="1" applyBorder="1" applyAlignment="1">
      <alignment horizontal="right" vertical="top" wrapText="1"/>
    </xf>
    <xf numFmtId="168" fontId="9" fillId="0" borderId="1" xfId="0" applyNumberFormat="1" applyFon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horizontal="center" vertical="center"/>
    </xf>
    <xf numFmtId="1" fontId="2" fillId="0" borderId="1" xfId="7" applyNumberFormat="1" applyFont="1" applyFill="1" applyBorder="1" applyAlignment="1" applyProtection="1">
      <alignment horizontal="right" vertical="center"/>
    </xf>
    <xf numFmtId="3" fontId="2" fillId="0" borderId="1" xfId="14" applyNumberFormat="1" applyFont="1" applyFill="1" applyBorder="1" applyAlignment="1">
      <alignment horizontal="right" vertical="center"/>
    </xf>
    <xf numFmtId="3" fontId="2" fillId="0" borderId="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horizontal="right" vertical="center" wrapText="1"/>
    </xf>
    <xf numFmtId="0" fontId="15" fillId="0" borderId="1" xfId="0" applyFont="1" applyFill="1" applyBorder="1" applyAlignment="1">
      <alignment horizontal="center" vertical="center"/>
    </xf>
    <xf numFmtId="167" fontId="15" fillId="0" borderId="1" xfId="0" applyNumberFormat="1" applyFont="1" applyFill="1" applyBorder="1" applyAlignment="1">
      <alignment horizontal="center" vertical="center"/>
    </xf>
    <xf numFmtId="168" fontId="15" fillId="0" borderId="1" xfId="0" applyNumberFormat="1" applyFont="1" applyFill="1" applyBorder="1" applyAlignment="1">
      <alignment vertical="center"/>
    </xf>
    <xf numFmtId="168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10" fontId="15" fillId="0" borderId="1" xfId="7" applyNumberFormat="1" applyFont="1" applyFill="1" applyBorder="1" applyAlignment="1" applyProtection="1">
      <alignment horizontal="center" vertical="center"/>
    </xf>
    <xf numFmtId="10" fontId="15" fillId="0" borderId="1" xfId="7" applyNumberFormat="1" applyFont="1" applyFill="1" applyBorder="1" applyAlignment="1">
      <alignment horizontal="center" vertical="center"/>
    </xf>
    <xf numFmtId="41" fontId="15" fillId="0" borderId="1" xfId="14" applyFont="1" applyFill="1" applyBorder="1" applyAlignment="1">
      <alignment horizontal="right" vertical="center"/>
    </xf>
    <xf numFmtId="1" fontId="15" fillId="0" borderId="1" xfId="14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</cellXfs>
  <cellStyles count="17">
    <cellStyle name="Bueno" xfId="15" builtinId="26"/>
    <cellStyle name="Énfasis1" xfId="1" builtinId="29"/>
    <cellStyle name="Énfasis2" xfId="2" builtinId="33"/>
    <cellStyle name="Incorrecto" xfId="16" builtinId="27"/>
    <cellStyle name="Millares" xfId="8" builtinId="3"/>
    <cellStyle name="Millares [0]" xfId="14" builtinId="6"/>
    <cellStyle name="Millares 2" xfId="3" xr:uid="{00000000-0005-0000-0000-000006000000}"/>
    <cellStyle name="Millares 2 2" xfId="9" xr:uid="{00000000-0005-0000-0000-000007000000}"/>
    <cellStyle name="Millares 3" xfId="4" xr:uid="{00000000-0005-0000-0000-000008000000}"/>
    <cellStyle name="Millares 3 2" xfId="10" xr:uid="{00000000-0005-0000-0000-000009000000}"/>
    <cellStyle name="Millares 4" xfId="13" xr:uid="{00000000-0005-0000-0000-00000A000000}"/>
    <cellStyle name="Moneda 2" xfId="11" xr:uid="{00000000-0005-0000-0000-00000B000000}"/>
    <cellStyle name="Normal" xfId="0" builtinId="0"/>
    <cellStyle name="Normal 2" xfId="5" xr:uid="{00000000-0005-0000-0000-00000D000000}"/>
    <cellStyle name="Normal 2 2" xfId="12" xr:uid="{00000000-0005-0000-0000-00000E000000}"/>
    <cellStyle name="Normal 3" xfId="6" xr:uid="{00000000-0005-0000-0000-00000F000000}"/>
    <cellStyle name="Porcentaje" xfId="7" builtinId="5"/>
  </cellStyles>
  <dxfs count="4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3" formatCode="0%"/>
    </dxf>
  </dxfs>
  <tableStyles count="0" defaultTableStyle="TableStyleMedium9" defaultPivotStyle="PivotStyleLight16"/>
  <colors>
    <mruColors>
      <color rgb="FF00FFFF"/>
      <color rgb="FFFF99CC"/>
      <color rgb="FFFF99FF"/>
      <color rgb="FF66FF99"/>
      <color rgb="FFFFFF99"/>
      <color rgb="FFFFCC66"/>
      <color rgb="FFE1C1D6"/>
      <color rgb="FFFCE010"/>
      <color rgb="FF75DFDD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22/11/relationships/FeaturePropertyBag" Target="featurePropertyBag/featurePropertyBag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31.08.2025.xlsx]GRAFICOS!TablaDinámica1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agosto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consolidado SUBSECRETARíA DE DESARROLLO REGIONAL Y ADMINISTRATIVO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3.2701602144197335E-3"/>
              <c:y val="6.332656382237199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0415113013693795"/>
          <c:y val="0.252454064290695"/>
          <c:w val="0.37908367771366286"/>
          <c:h val="0.63771627879635007"/>
        </c:manualLayout>
      </c:layout>
      <c:pieChart>
        <c:varyColors val="1"/>
        <c:ser>
          <c:idx val="0"/>
          <c:order val="0"/>
          <c:tx>
            <c:strRef>
              <c:f>GRAFICOS!$C$3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90-49B8-AD55-1A81F42D27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90-49B8-AD55-1A81F42D27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990-49B8-AD55-1A81F42D2754}"/>
              </c:ext>
            </c:extLst>
          </c:dPt>
          <c:dLbls>
            <c:dLbl>
              <c:idx val="2"/>
              <c:layout>
                <c:manualLayout>
                  <c:x val="3.2701602144197335E-3"/>
                  <c:y val="6.332656382237199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0-49B8-AD55-1A81F42D2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GRAFICOS!$B$4:$B$6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GRAFICOS!$C$4:$C$6</c:f>
              <c:numCache>
                <c:formatCode>General</c:formatCode>
                <c:ptCount val="3"/>
                <c:pt idx="0">
                  <c:v>235915199.25999999</c:v>
                </c:pt>
                <c:pt idx="1">
                  <c:v>199266625.02400002</c:v>
                </c:pt>
                <c:pt idx="2">
                  <c:v>5581251.9120000107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0-49B8-AD55-1A81F42D2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577916549598534"/>
          <c:y val="0.42909404427617903"/>
          <c:w val="0.12916462532784961"/>
          <c:h val="0.16377918874310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31.08.2025.xlsx]GRAFICOS!TablaDinámica4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agosto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P01 SUBSECRETARíA DE DESARROLLO REGIONAL Y ADMINISTRATIVO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8476079481438693"/>
          <c:y val="0.26850578609701897"/>
          <c:w val="0.36971022700507683"/>
          <c:h val="0.63363510402653078"/>
        </c:manualLayout>
      </c:layout>
      <c:pieChart>
        <c:varyColors val="1"/>
        <c:ser>
          <c:idx val="0"/>
          <c:order val="0"/>
          <c:tx>
            <c:strRef>
              <c:f>GRAFICOS!$C$30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4-46C8-ACC9-086FA0F102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D4-46C8-ACC9-086FA0F102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D4-46C8-ACC9-086FA0F102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GRAFICOS!$B$31:$B$33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GRAFICOS!$C$31:$C$33</c:f>
              <c:numCache>
                <c:formatCode>General</c:formatCode>
                <c:ptCount val="3"/>
                <c:pt idx="0">
                  <c:v>26809829.456999999</c:v>
                </c:pt>
                <c:pt idx="1">
                  <c:v>15395909.819</c:v>
                </c:pt>
                <c:pt idx="2">
                  <c:v>2226301.8240000047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0-4CDF-ABB4-B413950D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74430496148725"/>
          <c:y val="0.45600057661650933"/>
          <c:w val="0.15028212788317216"/>
          <c:h val="0.166596066041918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31.08.2025.xlsx]GRAFICOS!TablaDinámica2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agosto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P02 </a:t>
            </a:r>
            <a:r>
              <a:rPr lang="en-US" sz="1400" b="1" i="0" u="none" strike="noStrike" kern="1200" cap="none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FORTALECIMIENTO DE LA GESTIÓN SUBNACIONAL</a:t>
            </a:r>
            <a:endParaRPr lang="en-US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8747509877053418"/>
          <c:y val="0.27398763807924337"/>
          <c:w val="0.37382590505451485"/>
          <c:h val="0.63610766484520498"/>
        </c:manualLayout>
      </c:layout>
      <c:pieChart>
        <c:varyColors val="1"/>
        <c:ser>
          <c:idx val="0"/>
          <c:order val="0"/>
          <c:tx>
            <c:strRef>
              <c:f>GRAFICOS!$C$57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E6-40C8-97B6-32192BFD6D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E6-40C8-97B6-32192BFD6D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E6-40C8-97B6-32192BFD6DE7}"/>
              </c:ext>
            </c:extLst>
          </c:dPt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GRAFICOS!$B$58:$B$60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GRAFICOS!$C$58:$C$60</c:f>
              <c:numCache>
                <c:formatCode>General</c:formatCode>
                <c:ptCount val="3"/>
                <c:pt idx="0">
                  <c:v>2963573.2809999995</c:v>
                </c:pt>
                <c:pt idx="1">
                  <c:v>3107055.3620000007</c:v>
                </c:pt>
                <c:pt idx="2">
                  <c:v>1714208.3569999998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9-4233-8DFC-F9612A9DD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45036529610321"/>
          <c:y val="0.37456125702775878"/>
          <c:w val="8.8775410854709122E-2"/>
          <c:h val="0.16488944294836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31.08.2025.xlsx]GRAFICOS!TablaDinámica3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agosto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P03 deSARROLLO LOCAL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1.3533969539234967E-2"/>
              <c:y val="9.54168370142198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922583239396101"/>
          <c:y val="0.27873341619380387"/>
          <c:w val="0.37791105611186604"/>
          <c:h val="0.66197266582176684"/>
        </c:manualLayout>
      </c:layout>
      <c:pieChart>
        <c:varyColors val="1"/>
        <c:ser>
          <c:idx val="0"/>
          <c:order val="0"/>
          <c:tx>
            <c:strRef>
              <c:f>GRAFICOS!$C$85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3F-4C49-B3F4-820B6905DD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3F-4C49-B3F4-820B6905DD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A5-48D7-A9D9-BE86DE5116B5}"/>
              </c:ext>
            </c:extLst>
          </c:dPt>
          <c:dLbls>
            <c:dLbl>
              <c:idx val="2"/>
              <c:layout>
                <c:manualLayout>
                  <c:x val="-1.3533969539234967E-2"/>
                  <c:y val="9.54168370142198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5-48D7-A9D9-BE86DE511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GRAFICOS!$B$86:$B$88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GRAFICOS!$C$86:$C$88</c:f>
              <c:numCache>
                <c:formatCode>General</c:formatCode>
                <c:ptCount val="3"/>
                <c:pt idx="0">
                  <c:v>206141796.52199998</c:v>
                </c:pt>
                <c:pt idx="1">
                  <c:v>123342927.84300002</c:v>
                </c:pt>
                <c:pt idx="2">
                  <c:v>1640741.7310000062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5-48D7-A9D9-BE86DE511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72293939077506"/>
          <c:y val="0.42585352599003801"/>
          <c:w val="8.8931978149446048E-2"/>
          <c:h val="0.151422356394185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31.08.2025.xlsx]GRAFICOS!TablaDinámica5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agosto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p05 TRANSFERENCIAS A GOBIERNOS REGIONALES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6.6853677340719163E-3"/>
              <c:y val="0.1037234932807488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4.4201159219906708E-2"/>
              <c:y val="0.170847044699788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GRAFICOS!$C$113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90-4521-82AC-40461618B1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E6-4ED9-9F53-C556B76718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0-4521-82AC-40461618B15C}"/>
              </c:ext>
            </c:extLst>
          </c:dPt>
          <c:dLbls>
            <c:dLbl>
              <c:idx val="0"/>
              <c:layout>
                <c:manualLayout>
                  <c:x val="4.4201159219906708E-2"/>
                  <c:y val="0.170847044699788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0-4521-82AC-40461618B15C}"/>
                </c:ext>
              </c:extLst>
            </c:dLbl>
            <c:dLbl>
              <c:idx val="2"/>
              <c:layout>
                <c:manualLayout>
                  <c:x val="-6.6853677340719163E-3"/>
                  <c:y val="0.103723493280748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0-4521-82AC-40461618B1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GRAFICOS!$B$114:$B$116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GRAFICOS!$C$114:$C$116</c:f>
              <c:numCache>
                <c:formatCode>General</c:formatCode>
                <c:ptCount val="3"/>
                <c:pt idx="0">
                  <c:v>0</c:v>
                </c:pt>
                <c:pt idx="1">
                  <c:v>57420732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0-4521-82AC-40461618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12530281978982"/>
          <c:y val="0.45139022244817573"/>
          <c:w val="8.9405033029741218E-2"/>
          <c:h val="0.152945703865715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31.08.2025.xlsx]GRAFICOS!TablaDinámica6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 PORCENTUAL DE EJECUCIÓN POR PROGRAMA PRESUPUESTARIo </a:t>
            </a:r>
          </a:p>
          <a:p>
            <a:pPr>
              <a:defRPr/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AÑO 2024 VS 2025</a:t>
            </a:r>
          </a:p>
          <a:p>
            <a:pPr>
              <a:defRPr/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 agosto</a:t>
            </a:r>
          </a:p>
          <a:p>
            <a:pPr>
              <a:defRPr/>
            </a:pP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GRAFICOS!$C$140</c:f>
              <c:strCache>
                <c:ptCount val="1"/>
                <c:pt idx="0">
                  <c:v>% Ejecución 2025.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GRAFICOS!$B$141:$B$145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GRAFICOS!$C$141:$C$145</c:f>
              <c:numCache>
                <c:formatCode>0.0%</c:formatCode>
                <c:ptCount val="4"/>
                <c:pt idx="0">
                  <c:v>0.60338955387309445</c:v>
                </c:pt>
                <c:pt idx="1">
                  <c:v>0.38068533496590867</c:v>
                </c:pt>
                <c:pt idx="2">
                  <c:v>0.62254890556268871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A-4175-9454-2DC62819537F}"/>
            </c:ext>
          </c:extLst>
        </c:ser>
        <c:ser>
          <c:idx val="1"/>
          <c:order val="1"/>
          <c:tx>
            <c:strRef>
              <c:f>GRAFICOS!$D$140</c:f>
              <c:strCache>
                <c:ptCount val="1"/>
                <c:pt idx="0">
                  <c:v>% Ejecución 2024.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GRAFICOS!$B$141:$B$145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GRAFICOS!$D$141:$D$145</c:f>
              <c:numCache>
                <c:formatCode>0.0%</c:formatCode>
                <c:ptCount val="4"/>
                <c:pt idx="0">
                  <c:v>0.58890845105766154</c:v>
                </c:pt>
                <c:pt idx="1">
                  <c:v>0.41747682965108618</c:v>
                </c:pt>
                <c:pt idx="2">
                  <c:v>0.62518901188190312</c:v>
                </c:pt>
                <c:pt idx="3">
                  <c:v>0.16713335035815413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FA-4175-9454-2DC62819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41088"/>
        <c:axId val="1659359808"/>
      </c:barChart>
      <c:catAx>
        <c:axId val="165934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9359808"/>
        <c:crosses val="autoZero"/>
        <c:auto val="1"/>
        <c:lblAlgn val="ctr"/>
        <c:lblOffset val="100"/>
        <c:noMultiLvlLbl val="0"/>
      </c:catAx>
      <c:valAx>
        <c:axId val="165935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934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31.08.2025.xlsx]GRAFICOS!TablaDinámica7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</a:t>
            </a: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porcentual de ejecución por subtítulo presupuestario</a:t>
            </a:r>
          </a:p>
          <a:p>
            <a:pPr>
              <a:defRPr/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año 2024 vs año 2025</a:t>
            </a:r>
          </a:p>
          <a:p>
            <a:pPr>
              <a:defRPr/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 agosto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GRAFICOS!$C$172</c:f>
              <c:strCache>
                <c:ptCount val="1"/>
                <c:pt idx="0">
                  <c:v>% Ejecución 2025.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GRAFICOS!$B$173:$B$178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GRAFICOS!$C$173:$C$178</c:f>
              <c:numCache>
                <c:formatCode>0%</c:formatCode>
                <c:ptCount val="5"/>
                <c:pt idx="0">
                  <c:v>0.38033914718411277</c:v>
                </c:pt>
                <c:pt idx="1">
                  <c:v>0.5800971388117625</c:v>
                </c:pt>
                <c:pt idx="2">
                  <c:v>0.2038390854085434</c:v>
                </c:pt>
                <c:pt idx="3">
                  <c:v>0.90371385263916493</c:v>
                </c:pt>
                <c:pt idx="4">
                  <c:v>0.32265599813754131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7-4B57-ABB8-F1143A28E6D5}"/>
            </c:ext>
          </c:extLst>
        </c:ser>
        <c:ser>
          <c:idx val="1"/>
          <c:order val="1"/>
          <c:tx>
            <c:strRef>
              <c:f>GRAFICOS!$D$172</c:f>
              <c:strCache>
                <c:ptCount val="1"/>
                <c:pt idx="0">
                  <c:v>% Ejecución 2024.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GRAFICOS!$B$173:$B$178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GRAFICOS!$D$173:$D$178</c:f>
              <c:numCache>
                <c:formatCode>0%</c:formatCode>
                <c:ptCount val="5"/>
                <c:pt idx="0">
                  <c:v>0.41085360673649474</c:v>
                </c:pt>
                <c:pt idx="1">
                  <c:v>0.57919348783097047</c:v>
                </c:pt>
                <c:pt idx="2">
                  <c:v>0.53929177117341498</c:v>
                </c:pt>
                <c:pt idx="3">
                  <c:v>0.92259114831834244</c:v>
                </c:pt>
                <c:pt idx="4">
                  <c:v>0.36757191192907823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27-4B57-ABB8-F1143A28E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67840"/>
        <c:axId val="1655768320"/>
      </c:barChart>
      <c:catAx>
        <c:axId val="16557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5768320"/>
        <c:crosses val="autoZero"/>
        <c:auto val="1"/>
        <c:lblAlgn val="ctr"/>
        <c:lblOffset val="100"/>
        <c:noMultiLvlLbl val="0"/>
      </c:catAx>
      <c:valAx>
        <c:axId val="165576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576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31.08.2025.xlsx]GRAFICOS!TablaDinámica8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COMPARATIVO: PRESUPUESTO INICIAL VS PRESUPUESTO VIGENTE AÑO 2025 </a:t>
            </a:r>
          </a:p>
          <a:p>
            <a:pPr>
              <a:defRPr/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MES DE agosto POR SUBTÍTULO PRESUPUESTARIO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7931473884202402E-2"/>
              <c:y val="-4.881449952069542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7740011301348561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5652951148248578E-2"/>
              <c:y val="6.862744215075923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5652951148248655E-2"/>
              <c:y val="-1.6775403179296461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GRAFICOS!$C$203</c:f>
              <c:strCache>
                <c:ptCount val="1"/>
                <c:pt idx="0">
                  <c:v>Presupuesto Inicial 2025.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GRAFICOS!$B$204:$B$209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GRAFICOS!$C$204:$C$209</c:f>
              <c:numCache>
                <c:formatCode>#,##0</c:formatCode>
                <c:ptCount val="5"/>
                <c:pt idx="0">
                  <c:v>2943989</c:v>
                </c:pt>
                <c:pt idx="1">
                  <c:v>20227650.999999996</c:v>
                </c:pt>
                <c:pt idx="2">
                  <c:v>8610052</c:v>
                </c:pt>
                <c:pt idx="3">
                  <c:v>86148546</c:v>
                </c:pt>
                <c:pt idx="4">
                  <c:v>296545699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BDB-8E03-20EF58EDBF5E}"/>
            </c:ext>
          </c:extLst>
        </c:ser>
        <c:ser>
          <c:idx val="1"/>
          <c:order val="1"/>
          <c:tx>
            <c:strRef>
              <c:f>GRAFICOS!$D$203</c:f>
              <c:strCache>
                <c:ptCount val="1"/>
                <c:pt idx="0">
                  <c:v>Presupuesto Vigente.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4-4F01-B455-B452EEAE514A}"/>
              </c:ext>
            </c:extLst>
          </c:dPt>
          <c:dPt>
            <c:idx val="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05-4BDB-8E03-20EF58EDBF5E}"/>
              </c:ext>
            </c:extLst>
          </c:dPt>
          <c:dPt>
            <c:idx val="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05-4BDB-8E03-20EF58EDBF5E}"/>
              </c:ext>
            </c:extLst>
          </c:dPt>
          <c:dPt>
            <c:idx val="4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05-4BDB-8E03-20EF58EDBF5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05-4BDB-8E03-20EF58EDBF5E}"/>
              </c:ext>
            </c:extLst>
          </c:dPt>
          <c:dLbls>
            <c:dLbl>
              <c:idx val="1"/>
              <c:layout>
                <c:manualLayout>
                  <c:x val="1.77400113013485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B4-4F01-B455-B452EEAE514A}"/>
                </c:ext>
              </c:extLst>
            </c:dLbl>
            <c:dLbl>
              <c:idx val="2"/>
              <c:layout>
                <c:manualLayout>
                  <c:x val="1.5652951148248655E-2"/>
                  <c:y val="-1.677540317929646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05-4BDB-8E03-20EF58EDBF5E}"/>
                </c:ext>
              </c:extLst>
            </c:dLbl>
            <c:dLbl>
              <c:idx val="3"/>
              <c:layout>
                <c:manualLayout>
                  <c:x val="1.7931473884202402E-2"/>
                  <c:y val="-4.88144995206954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05-4BDB-8E03-20EF58EDBF5E}"/>
                </c:ext>
              </c:extLst>
            </c:dLbl>
            <c:dLbl>
              <c:idx val="4"/>
              <c:layout>
                <c:manualLayout>
                  <c:x val="1.5652951148248578E-2"/>
                  <c:y val="6.86274421507592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5-4BDB-8E03-20EF58EDBF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GRAFICOS!$B$204:$B$209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GRAFICOS!$D$204:$D$209</c:f>
              <c:numCache>
                <c:formatCode>#,##0</c:formatCode>
                <c:ptCount val="5"/>
                <c:pt idx="0">
                  <c:v>4547359.0000000009</c:v>
                </c:pt>
                <c:pt idx="1">
                  <c:v>19832144.999999996</c:v>
                </c:pt>
                <c:pt idx="2">
                  <c:v>8610052</c:v>
                </c:pt>
                <c:pt idx="3">
                  <c:v>88008486</c:v>
                </c:pt>
                <c:pt idx="4">
                  <c:v>255747970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5-4BDB-8E03-20EF58EDB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541359"/>
        <c:axId val="1393541839"/>
      </c:barChart>
      <c:catAx>
        <c:axId val="1393541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93541839"/>
        <c:crosses val="autoZero"/>
        <c:auto val="1"/>
        <c:lblAlgn val="ctr"/>
        <c:lblOffset val="100"/>
        <c:noMultiLvlLbl val="0"/>
      </c:catAx>
      <c:valAx>
        <c:axId val="1393541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93541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0</xdr:row>
      <xdr:rowOff>0</xdr:rowOff>
    </xdr:from>
    <xdr:to>
      <xdr:col>13</xdr:col>
      <xdr:colOff>63137</xdr:colOff>
      <xdr:row>26</xdr:row>
      <xdr:rowOff>142876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1FA1B4-3AB9-FFBB-EE45-54DFFADB1A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127609</xdr:rowOff>
    </xdr:from>
    <xdr:to>
      <xdr:col>13</xdr:col>
      <xdr:colOff>54429</xdr:colOff>
      <xdr:row>53</xdr:row>
      <xdr:rowOff>97972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5BB3E0C-9258-E39B-B892-9DD98B9D68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21771</xdr:colOff>
      <xdr:row>53</xdr:row>
      <xdr:rowOff>97971</xdr:rowOff>
    </xdr:from>
    <xdr:to>
      <xdr:col>13</xdr:col>
      <xdr:colOff>32657</xdr:colOff>
      <xdr:row>80</xdr:row>
      <xdr:rowOff>119742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94B31AF-8490-221B-4654-D0E7F7E898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21771</xdr:colOff>
      <xdr:row>79</xdr:row>
      <xdr:rowOff>87084</xdr:rowOff>
    </xdr:from>
    <xdr:to>
      <xdr:col>13</xdr:col>
      <xdr:colOff>10886</xdr:colOff>
      <xdr:row>108</xdr:row>
      <xdr:rowOff>185056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9BF654-FBD6-0F15-CDED-7F10A5339E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10885</xdr:colOff>
      <xdr:row>108</xdr:row>
      <xdr:rowOff>185056</xdr:rowOff>
    </xdr:from>
    <xdr:to>
      <xdr:col>12</xdr:col>
      <xdr:colOff>489856</xdr:colOff>
      <xdr:row>138</xdr:row>
      <xdr:rowOff>43543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62BBF4-FA61-BA73-4693-ECC8D352C9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32657</xdr:colOff>
      <xdr:row>138</xdr:row>
      <xdr:rowOff>130629</xdr:rowOff>
    </xdr:from>
    <xdr:to>
      <xdr:col>12</xdr:col>
      <xdr:colOff>478971</xdr:colOff>
      <xdr:row>170</xdr:row>
      <xdr:rowOff>54427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032B99-D462-F8C4-286C-335E7AA46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32657</xdr:colOff>
      <xdr:row>170</xdr:row>
      <xdr:rowOff>76198</xdr:rowOff>
    </xdr:from>
    <xdr:to>
      <xdr:col>12</xdr:col>
      <xdr:colOff>478971</xdr:colOff>
      <xdr:row>200</xdr:row>
      <xdr:rowOff>76199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7DD5CD-1215-BBCF-8AC3-6480D251BA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97969</xdr:colOff>
      <xdr:row>200</xdr:row>
      <xdr:rowOff>21770</xdr:rowOff>
    </xdr:from>
    <xdr:to>
      <xdr:col>12</xdr:col>
      <xdr:colOff>468084</xdr:colOff>
      <xdr:row>230</xdr:row>
      <xdr:rowOff>21771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D9EB5CA-FF47-6C65-D2E2-F61CB8F78E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0112011\escritorio\Respaldo%20pc%20seba\Respaldo%20pc%20seba\PRESUPUESTO%20SUBDERE\PRESUPUESTO%202014\Presupues%20Para%20Trabajar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esupuesto%202014\Presupuesto%202014\Presupues%20y%20Compromisos%2031.12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Mod 1"/>
      <sheetName val="Hoja3"/>
      <sheetName val="Hoja2"/>
      <sheetName val="Clasificador Presupuesta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201944543</v>
          </cell>
          <cell r="B66">
            <v>503</v>
          </cell>
          <cell r="C66" t="str">
            <v>De Otras Entidades Publicas</v>
          </cell>
        </row>
        <row r="67">
          <cell r="A67">
            <v>201944544</v>
          </cell>
          <cell r="B67">
            <v>504</v>
          </cell>
          <cell r="C67" t="str">
            <v>De Empresas Publicas no Financieras</v>
          </cell>
        </row>
        <row r="68">
          <cell r="A68">
            <v>201944545</v>
          </cell>
          <cell r="B68">
            <v>505</v>
          </cell>
          <cell r="C68" t="str">
            <v>De Empresas Publicas Financieras</v>
          </cell>
        </row>
        <row r="69">
          <cell r="A69">
            <v>201944546</v>
          </cell>
          <cell r="B69">
            <v>506</v>
          </cell>
          <cell r="C69" t="str">
            <v>De Gobiernos Extranjeros</v>
          </cell>
        </row>
        <row r="70">
          <cell r="A70">
            <v>201944547</v>
          </cell>
          <cell r="B70">
            <v>507</v>
          </cell>
          <cell r="C70" t="str">
            <v>De Organismos Internacionales</v>
          </cell>
        </row>
        <row r="71">
          <cell r="A71">
            <v>201944548</v>
          </cell>
          <cell r="B71">
            <v>6</v>
          </cell>
          <cell r="C71" t="str">
            <v>RENTAS DE LA PROPIEDAD</v>
          </cell>
        </row>
        <row r="72">
          <cell r="A72">
            <v>201944549</v>
          </cell>
          <cell r="B72">
            <v>601</v>
          </cell>
          <cell r="C72" t="str">
            <v>Arriendo de Activos No Financieros</v>
          </cell>
        </row>
        <row r="73">
          <cell r="A73">
            <v>201944550</v>
          </cell>
          <cell r="B73">
            <v>602</v>
          </cell>
          <cell r="C73" t="str">
            <v>Dividendos</v>
          </cell>
        </row>
        <row r="74">
          <cell r="A74">
            <v>201944551</v>
          </cell>
          <cell r="B74">
            <v>603</v>
          </cell>
          <cell r="C74" t="str">
            <v>Intereses</v>
          </cell>
        </row>
        <row r="75">
          <cell r="A75">
            <v>201944552</v>
          </cell>
          <cell r="B75">
            <v>604</v>
          </cell>
          <cell r="C75" t="str">
            <v>Participacion de Utilidades</v>
          </cell>
        </row>
        <row r="76">
          <cell r="A76">
            <v>201944553</v>
          </cell>
          <cell r="B76">
            <v>699</v>
          </cell>
          <cell r="C76" t="str">
            <v>Otras Rentas de la Propiedad</v>
          </cell>
        </row>
        <row r="77">
          <cell r="A77">
            <v>201944554</v>
          </cell>
          <cell r="B77">
            <v>7</v>
          </cell>
          <cell r="C77" t="str">
            <v>INGRESOS DE OPERACIN</v>
          </cell>
        </row>
        <row r="78">
          <cell r="A78">
            <v>201944555</v>
          </cell>
          <cell r="B78">
            <v>701</v>
          </cell>
          <cell r="C78" t="str">
            <v>Venta de Bienes</v>
          </cell>
        </row>
        <row r="79">
          <cell r="A79">
            <v>201944556</v>
          </cell>
          <cell r="B79">
            <v>702</v>
          </cell>
          <cell r="C79" t="str">
            <v>Venta de Servicios</v>
          </cell>
        </row>
        <row r="80">
          <cell r="A80">
            <v>201944557</v>
          </cell>
          <cell r="B80">
            <v>8</v>
          </cell>
          <cell r="C80" t="str">
            <v>OTROS INGRESOS CORRIENTES</v>
          </cell>
        </row>
        <row r="81">
          <cell r="A81">
            <v>201944558</v>
          </cell>
          <cell r="B81">
            <v>801</v>
          </cell>
          <cell r="C81" t="str">
            <v>Recuperaciones y Reembolsos por Licencias Medicas</v>
          </cell>
        </row>
        <row r="82">
          <cell r="A82">
            <v>201943631</v>
          </cell>
          <cell r="B82">
            <v>801001</v>
          </cell>
          <cell r="C82" t="str">
            <v>Reembolsos Art. 4 Ley N 19.345 y Ley N 19.117 Art. nico</v>
          </cell>
        </row>
        <row r="83">
          <cell r="A83">
            <v>201943632</v>
          </cell>
          <cell r="B83">
            <v>801002</v>
          </cell>
          <cell r="C83" t="str">
            <v>Recuperaciones Art. 12 Ley N 18.196 y Ley N 19.117 Art. nico</v>
          </cell>
        </row>
        <row r="84">
          <cell r="A84">
            <v>201943633</v>
          </cell>
          <cell r="B84">
            <v>802</v>
          </cell>
          <cell r="C84" t="str">
            <v>Multas y Sanciones Pecuniarias</v>
          </cell>
        </row>
        <row r="85">
          <cell r="A85">
            <v>201943634</v>
          </cell>
          <cell r="B85">
            <v>804</v>
          </cell>
          <cell r="C85" t="str">
            <v>Fondos de Terceros</v>
          </cell>
        </row>
        <row r="86">
          <cell r="A86">
            <v>201943635</v>
          </cell>
          <cell r="B86">
            <v>899</v>
          </cell>
          <cell r="C86" t="str">
            <v>Otros</v>
          </cell>
        </row>
        <row r="87">
          <cell r="A87">
            <v>201943636</v>
          </cell>
          <cell r="B87">
            <v>899001</v>
          </cell>
          <cell r="C87" t="str">
            <v>Devoluciones y Reintegros no Provenientes de Impuestos</v>
          </cell>
        </row>
        <row r="88">
          <cell r="A88">
            <v>201943637</v>
          </cell>
          <cell r="B88">
            <v>899003</v>
          </cell>
          <cell r="C88" t="str">
            <v>Fondos en Administracion en Banco Central</v>
          </cell>
        </row>
        <row r="89">
          <cell r="A89">
            <v>201943638</v>
          </cell>
          <cell r="B89">
            <v>899004</v>
          </cell>
          <cell r="C89" t="str">
            <v>ntegros Ley N 19.030</v>
          </cell>
        </row>
        <row r="90">
          <cell r="A90">
            <v>201943639</v>
          </cell>
          <cell r="B90">
            <v>899999</v>
          </cell>
          <cell r="C90" t="str">
            <v>Otros</v>
          </cell>
        </row>
        <row r="91">
          <cell r="A91">
            <v>201943640</v>
          </cell>
          <cell r="B91">
            <v>9</v>
          </cell>
          <cell r="C91" t="str">
            <v>APORTE FISCAL</v>
          </cell>
        </row>
        <row r="92">
          <cell r="A92">
            <v>201943641</v>
          </cell>
          <cell r="B92">
            <v>901</v>
          </cell>
          <cell r="C92" t="str">
            <v>Libre</v>
          </cell>
        </row>
        <row r="93">
          <cell r="A93">
            <v>201944574</v>
          </cell>
          <cell r="B93">
            <v>901001</v>
          </cell>
          <cell r="C93" t="str">
            <v>Remuneraciones</v>
          </cell>
        </row>
        <row r="94">
          <cell r="A94">
            <v>201944575</v>
          </cell>
          <cell r="B94">
            <v>901002</v>
          </cell>
          <cell r="C94" t="str">
            <v>Resto</v>
          </cell>
        </row>
        <row r="95">
          <cell r="A95">
            <v>201943642</v>
          </cell>
          <cell r="B95">
            <v>902</v>
          </cell>
          <cell r="C95" t="str">
            <v>Servicio de la Deuda Interna</v>
          </cell>
        </row>
        <row r="96">
          <cell r="A96">
            <v>201943643</v>
          </cell>
          <cell r="B96">
            <v>902001</v>
          </cell>
          <cell r="C96" t="str">
            <v>Amortizaciones</v>
          </cell>
        </row>
        <row r="97">
          <cell r="A97">
            <v>201943644</v>
          </cell>
          <cell r="B97">
            <v>902002</v>
          </cell>
          <cell r="C97" t="str">
            <v>Intereses</v>
          </cell>
        </row>
        <row r="98">
          <cell r="A98">
            <v>201943645</v>
          </cell>
          <cell r="B98">
            <v>902003</v>
          </cell>
          <cell r="C98" t="str">
            <v>Otros Gastos Financieros</v>
          </cell>
        </row>
        <row r="99">
          <cell r="A99">
            <v>201943646</v>
          </cell>
          <cell r="B99">
            <v>903</v>
          </cell>
          <cell r="C99" t="str">
            <v>Servicio de la Deuda Externa</v>
          </cell>
        </row>
        <row r="100">
          <cell r="A100">
            <v>201943647</v>
          </cell>
          <cell r="B100">
            <v>903001</v>
          </cell>
          <cell r="C100" t="str">
            <v>Amortizaciones</v>
          </cell>
        </row>
        <row r="101">
          <cell r="A101">
            <v>201943648</v>
          </cell>
          <cell r="B101">
            <v>903002</v>
          </cell>
          <cell r="C101" t="str">
            <v>Intereses</v>
          </cell>
        </row>
        <row r="102">
          <cell r="A102">
            <v>201944567</v>
          </cell>
          <cell r="B102">
            <v>903002001</v>
          </cell>
          <cell r="C102" t="str">
            <v>Intereses Servicio a la Deuda</v>
          </cell>
        </row>
        <row r="103">
          <cell r="A103">
            <v>201944566</v>
          </cell>
          <cell r="B103">
            <v>903002002</v>
          </cell>
          <cell r="C103" t="str">
            <v>Comisiones Servicio a la Deuda</v>
          </cell>
        </row>
        <row r="104">
          <cell r="A104">
            <v>201943649</v>
          </cell>
          <cell r="B104">
            <v>903003</v>
          </cell>
          <cell r="C104" t="str">
            <v>Otros Gastos Financieros</v>
          </cell>
        </row>
        <row r="105">
          <cell r="A105">
            <v>201943650</v>
          </cell>
          <cell r="B105">
            <v>10</v>
          </cell>
          <cell r="C105" t="str">
            <v>VENTA DE ACTIVOS NO FINANCIEROS</v>
          </cell>
        </row>
        <row r="106">
          <cell r="A106">
            <v>201943651</v>
          </cell>
          <cell r="B106">
            <v>1001</v>
          </cell>
          <cell r="C106" t="str">
            <v>Terrenos</v>
          </cell>
        </row>
        <row r="107">
          <cell r="A107">
            <v>201943652</v>
          </cell>
          <cell r="B107">
            <v>1002</v>
          </cell>
          <cell r="C107" t="str">
            <v>Edificios</v>
          </cell>
        </row>
        <row r="108">
          <cell r="A108">
            <v>201943653</v>
          </cell>
          <cell r="B108">
            <v>1003</v>
          </cell>
          <cell r="C108" t="str">
            <v>Vehiculos</v>
          </cell>
        </row>
        <row r="109">
          <cell r="A109">
            <v>201943654</v>
          </cell>
          <cell r="B109">
            <v>1004</v>
          </cell>
          <cell r="C109" t="str">
            <v>Mobiliario y Otros</v>
          </cell>
        </row>
        <row r="110">
          <cell r="A110">
            <v>201943655</v>
          </cell>
          <cell r="B110">
            <v>1005</v>
          </cell>
          <cell r="C110" t="str">
            <v>Maquinas y Equipos</v>
          </cell>
        </row>
        <row r="111">
          <cell r="A111">
            <v>201943656</v>
          </cell>
          <cell r="B111">
            <v>1006</v>
          </cell>
          <cell r="C111" t="str">
            <v>Equipos Informaticos</v>
          </cell>
        </row>
        <row r="112">
          <cell r="A112">
            <v>201943657</v>
          </cell>
          <cell r="B112">
            <v>1007</v>
          </cell>
          <cell r="C112" t="str">
            <v>Programas Informaticos</v>
          </cell>
        </row>
        <row r="113">
          <cell r="A113">
            <v>201943658</v>
          </cell>
          <cell r="B113">
            <v>1099</v>
          </cell>
          <cell r="C113" t="str">
            <v>Otros Activos no Financieros</v>
          </cell>
        </row>
        <row r="114">
          <cell r="A114">
            <v>201943659</v>
          </cell>
          <cell r="B114">
            <v>11</v>
          </cell>
          <cell r="C114" t="str">
            <v>VENTA DE ACTIVOS FINANCIEROS</v>
          </cell>
        </row>
        <row r="115">
          <cell r="A115">
            <v>201943660</v>
          </cell>
          <cell r="B115">
            <v>1101</v>
          </cell>
          <cell r="C115" t="str">
            <v>Venta o Rescate de Titulos y Valores</v>
          </cell>
        </row>
        <row r="116">
          <cell r="A116">
            <v>201943661</v>
          </cell>
          <cell r="B116">
            <v>1101001</v>
          </cell>
          <cell r="C116" t="str">
            <v>Depositos a Plazo</v>
          </cell>
        </row>
        <row r="117">
          <cell r="A117">
            <v>201943662</v>
          </cell>
          <cell r="B117">
            <v>1101002</v>
          </cell>
          <cell r="C117" t="str">
            <v>Pactos de Retrocompra</v>
          </cell>
        </row>
        <row r="118">
          <cell r="A118">
            <v>201943663</v>
          </cell>
          <cell r="B118">
            <v>1101003</v>
          </cell>
          <cell r="C118" t="str">
            <v>Cuotas de Fondos Mutuos</v>
          </cell>
        </row>
        <row r="119">
          <cell r="A119">
            <v>201943664</v>
          </cell>
          <cell r="B119">
            <v>1101004</v>
          </cell>
          <cell r="C119" t="str">
            <v>Bonos o Pagares</v>
          </cell>
        </row>
        <row r="120">
          <cell r="A120">
            <v>201943665</v>
          </cell>
          <cell r="B120">
            <v>1101005</v>
          </cell>
          <cell r="C120" t="str">
            <v>Letras Hipotecarias</v>
          </cell>
        </row>
        <row r="121">
          <cell r="A121">
            <v>201943666</v>
          </cell>
          <cell r="B121">
            <v>1101999</v>
          </cell>
          <cell r="C121" t="str">
            <v>Otros</v>
          </cell>
        </row>
        <row r="122">
          <cell r="A122">
            <v>201943667</v>
          </cell>
          <cell r="B122">
            <v>1102</v>
          </cell>
          <cell r="C122" t="str">
            <v>Venta de Acciones y Participaciones de Capital</v>
          </cell>
        </row>
        <row r="123">
          <cell r="A123">
            <v>201943668</v>
          </cell>
          <cell r="B123">
            <v>1103</v>
          </cell>
          <cell r="C123" t="str">
            <v>Operaciones de Cambio</v>
          </cell>
        </row>
        <row r="124">
          <cell r="A124">
            <v>201943669</v>
          </cell>
          <cell r="B124">
            <v>1199</v>
          </cell>
          <cell r="C124" t="str">
            <v>Otros Activos Financieros</v>
          </cell>
        </row>
        <row r="125">
          <cell r="A125">
            <v>201943670</v>
          </cell>
          <cell r="B125">
            <v>12</v>
          </cell>
          <cell r="C125" t="str">
            <v>RECUPERACION DE PRESTAMOS</v>
          </cell>
        </row>
        <row r="126">
          <cell r="A126">
            <v>201943671</v>
          </cell>
          <cell r="B126">
            <v>1201</v>
          </cell>
          <cell r="C126" t="str">
            <v>De Asistencia Social</v>
          </cell>
        </row>
        <row r="127">
          <cell r="A127">
            <v>201943672</v>
          </cell>
          <cell r="B127">
            <v>1202</v>
          </cell>
          <cell r="C127" t="str">
            <v>Hipotecarios</v>
          </cell>
        </row>
        <row r="128">
          <cell r="A128">
            <v>201943673</v>
          </cell>
          <cell r="B128">
            <v>1203</v>
          </cell>
          <cell r="C128" t="str">
            <v>Pignoraticios</v>
          </cell>
        </row>
        <row r="129">
          <cell r="A129">
            <v>201943674</v>
          </cell>
          <cell r="B129">
            <v>1204</v>
          </cell>
          <cell r="C129" t="str">
            <v>De Fomento</v>
          </cell>
        </row>
        <row r="130">
          <cell r="A130">
            <v>201943675</v>
          </cell>
          <cell r="B130">
            <v>1205</v>
          </cell>
          <cell r="C130" t="str">
            <v>Medicos</v>
          </cell>
        </row>
        <row r="131">
          <cell r="A131">
            <v>201943676</v>
          </cell>
          <cell r="B131">
            <v>1206</v>
          </cell>
          <cell r="C131" t="str">
            <v>Por Anticipos a Contratistas</v>
          </cell>
        </row>
        <row r="132">
          <cell r="A132">
            <v>201943677</v>
          </cell>
          <cell r="B132">
            <v>1207</v>
          </cell>
          <cell r="C132" t="str">
            <v>Por Anticipos por Cambio de Residencia</v>
          </cell>
        </row>
        <row r="133">
          <cell r="A133">
            <v>201943678</v>
          </cell>
          <cell r="B133">
            <v>1209</v>
          </cell>
          <cell r="C133" t="str">
            <v>Por Ventas a Plazo</v>
          </cell>
        </row>
        <row r="134">
          <cell r="A134">
            <v>201943679</v>
          </cell>
          <cell r="B134">
            <v>1210</v>
          </cell>
          <cell r="C134" t="str">
            <v>Ingresos por Percibir</v>
          </cell>
        </row>
        <row r="135">
          <cell r="A135">
            <v>201943680</v>
          </cell>
          <cell r="B135">
            <v>13</v>
          </cell>
          <cell r="C135" t="str">
            <v>TRANSFERENCIAS PARA GASTOS DE CAPITAL</v>
          </cell>
        </row>
        <row r="136">
          <cell r="A136">
            <v>201943681</v>
          </cell>
          <cell r="B136">
            <v>1301</v>
          </cell>
          <cell r="C136" t="str">
            <v>Del Sector Privado</v>
          </cell>
        </row>
        <row r="137">
          <cell r="A137">
            <v>201943682</v>
          </cell>
          <cell r="B137">
            <v>1302</v>
          </cell>
          <cell r="C137" t="str">
            <v>Del Gobierno Central</v>
          </cell>
        </row>
        <row r="138">
          <cell r="A138">
            <v>201944576</v>
          </cell>
          <cell r="B138">
            <v>1302006</v>
          </cell>
          <cell r="C138" t="str">
            <v>Subsecretaria de Educacion</v>
          </cell>
        </row>
        <row r="139">
          <cell r="A139">
            <v>201946402</v>
          </cell>
          <cell r="B139">
            <v>1302080</v>
          </cell>
          <cell r="C139" t="str">
            <v>Tesoro Publico Ley N20.378 - Fondo De Apoyo Regional (FAR)</v>
          </cell>
        </row>
        <row r="140">
          <cell r="A140">
            <v>201943683</v>
          </cell>
          <cell r="B140">
            <v>1303</v>
          </cell>
          <cell r="C140" t="str">
            <v>De Otras Entidades Publicas</v>
          </cell>
        </row>
        <row r="141">
          <cell r="A141">
            <v>201943684</v>
          </cell>
          <cell r="B141">
            <v>1304</v>
          </cell>
          <cell r="C141" t="str">
            <v>De Empresas Publicas no Financieras</v>
          </cell>
        </row>
        <row r="142">
          <cell r="A142">
            <v>201943685</v>
          </cell>
          <cell r="B142">
            <v>1305</v>
          </cell>
          <cell r="C142" t="str">
            <v>De Empresas Publicas Financieras</v>
          </cell>
        </row>
        <row r="143">
          <cell r="A143">
            <v>201943686</v>
          </cell>
          <cell r="B143">
            <v>1306</v>
          </cell>
          <cell r="C143" t="str">
            <v>De Gobiernos Extranjeros</v>
          </cell>
        </row>
        <row r="144">
          <cell r="A144">
            <v>201943687</v>
          </cell>
          <cell r="B144">
            <v>1307</v>
          </cell>
          <cell r="C144" t="str">
            <v>De Organismos Internacionales</v>
          </cell>
        </row>
        <row r="145">
          <cell r="A145">
            <v>201943688</v>
          </cell>
          <cell r="B145">
            <v>14</v>
          </cell>
          <cell r="C145" t="str">
            <v>ENDEUDAMIENTO</v>
          </cell>
        </row>
        <row r="146">
          <cell r="A146">
            <v>201943689</v>
          </cell>
          <cell r="B146">
            <v>1401</v>
          </cell>
          <cell r="C146" t="str">
            <v>Endeudamiento Interno</v>
          </cell>
        </row>
        <row r="147">
          <cell r="A147">
            <v>201943690</v>
          </cell>
          <cell r="B147">
            <v>1401001</v>
          </cell>
          <cell r="C147" t="str">
            <v>Colocacion de Valores</v>
          </cell>
        </row>
        <row r="148">
          <cell r="A148">
            <v>201943691</v>
          </cell>
          <cell r="B148">
            <v>1401002</v>
          </cell>
          <cell r="C148" t="str">
            <v>Emprestitos</v>
          </cell>
        </row>
        <row r="149">
          <cell r="A149">
            <v>201943692</v>
          </cell>
          <cell r="B149">
            <v>1401003</v>
          </cell>
          <cell r="C149" t="str">
            <v>Creditos de Proveedores</v>
          </cell>
        </row>
        <row r="150">
          <cell r="A150">
            <v>201943693</v>
          </cell>
          <cell r="B150">
            <v>1402</v>
          </cell>
          <cell r="C150" t="str">
            <v>Endeudamiento Externo</v>
          </cell>
        </row>
        <row r="151">
          <cell r="A151">
            <v>201943694</v>
          </cell>
          <cell r="B151">
            <v>1402001</v>
          </cell>
          <cell r="C151" t="str">
            <v>Colocacion de Valores</v>
          </cell>
        </row>
        <row r="152">
          <cell r="A152">
            <v>201943695</v>
          </cell>
          <cell r="B152">
            <v>1402002</v>
          </cell>
          <cell r="C152" t="str">
            <v>Emprestitos</v>
          </cell>
        </row>
        <row r="153">
          <cell r="A153">
            <v>201943696</v>
          </cell>
          <cell r="B153">
            <v>1402003</v>
          </cell>
          <cell r="C153" t="str">
            <v>Creditos de Proveedores</v>
          </cell>
        </row>
        <row r="154">
          <cell r="A154">
            <v>201943697</v>
          </cell>
          <cell r="B154">
            <v>15</v>
          </cell>
          <cell r="C154" t="str">
            <v>SALDO INICIAL DE CAJA</v>
          </cell>
        </row>
        <row r="155">
          <cell r="A155">
            <v>201943698</v>
          </cell>
          <cell r="B155">
            <v>21</v>
          </cell>
          <cell r="C155" t="str">
            <v>GASTOS EN PERSONAL</v>
          </cell>
        </row>
        <row r="156">
          <cell r="A156">
            <v>201943699</v>
          </cell>
          <cell r="B156">
            <v>2101</v>
          </cell>
          <cell r="C156" t="str">
            <v>Personal de Planta</v>
          </cell>
        </row>
        <row r="157">
          <cell r="A157">
            <v>201943700</v>
          </cell>
          <cell r="B157">
            <v>2101001</v>
          </cell>
          <cell r="C157" t="str">
            <v>Sueldos y Sobresueldos</v>
          </cell>
        </row>
        <row r="158">
          <cell r="A158">
            <v>201943701</v>
          </cell>
          <cell r="B158">
            <v>2101001001</v>
          </cell>
          <cell r="C158" t="str">
            <v>Sueldos Bases</v>
          </cell>
        </row>
        <row r="159">
          <cell r="A159">
            <v>201943702</v>
          </cell>
          <cell r="B159">
            <v>2101001002</v>
          </cell>
          <cell r="C159" t="str">
            <v>Asignacion de Antigedad</v>
          </cell>
        </row>
        <row r="160">
          <cell r="A160">
            <v>201943703</v>
          </cell>
          <cell r="B160">
            <v>2101001003</v>
          </cell>
          <cell r="C160" t="str">
            <v>Asignacion Profesional</v>
          </cell>
        </row>
        <row r="161">
          <cell r="A161">
            <v>201943704</v>
          </cell>
          <cell r="B161">
            <v>2101001004</v>
          </cell>
          <cell r="C161" t="str">
            <v>Asignacion de Zona</v>
          </cell>
        </row>
        <row r="162">
          <cell r="A162">
            <v>201943705</v>
          </cell>
          <cell r="B162">
            <v>2101001005</v>
          </cell>
          <cell r="C162" t="str">
            <v>Asignacion de Rancho</v>
          </cell>
        </row>
        <row r="163">
          <cell r="A163">
            <v>201943706</v>
          </cell>
          <cell r="B163">
            <v>2101001006</v>
          </cell>
          <cell r="C163" t="str">
            <v>Asignaciones del DL N 2.411, de 1978</v>
          </cell>
        </row>
        <row r="164">
          <cell r="A164">
            <v>201943707</v>
          </cell>
          <cell r="B164">
            <v>2101001007</v>
          </cell>
          <cell r="C164" t="str">
            <v>Asignaciones del DL N 3.551, de 1981</v>
          </cell>
        </row>
        <row r="165">
          <cell r="A165">
            <v>201943708</v>
          </cell>
          <cell r="B165">
            <v>2101001008</v>
          </cell>
          <cell r="C165" t="str">
            <v>Asignacion de Nivelacion</v>
          </cell>
        </row>
        <row r="166">
          <cell r="A166">
            <v>201943709</v>
          </cell>
          <cell r="B166">
            <v>2101001009</v>
          </cell>
          <cell r="C166" t="str">
            <v>Asignaciones Especiales</v>
          </cell>
        </row>
        <row r="167">
          <cell r="A167">
            <v>201943710</v>
          </cell>
          <cell r="B167">
            <v>2101001010</v>
          </cell>
          <cell r="C167" t="str">
            <v>Asignacion de Perdida de Caja</v>
          </cell>
        </row>
        <row r="168">
          <cell r="A168">
            <v>201943711</v>
          </cell>
          <cell r="B168">
            <v>2101001011</v>
          </cell>
          <cell r="C168" t="str">
            <v>Asignacion de Movilizacion</v>
          </cell>
        </row>
        <row r="169">
          <cell r="A169">
            <v>201943712</v>
          </cell>
          <cell r="B169">
            <v>2101001012</v>
          </cell>
          <cell r="C169" t="str">
            <v>Gastos de Representacion</v>
          </cell>
        </row>
        <row r="170">
          <cell r="A170">
            <v>201943713</v>
          </cell>
          <cell r="B170">
            <v>2101001013</v>
          </cell>
          <cell r="C170" t="str">
            <v>Asignacion de Direccion Superior</v>
          </cell>
        </row>
        <row r="171">
          <cell r="A171">
            <v>201943714</v>
          </cell>
          <cell r="B171">
            <v>2101001014</v>
          </cell>
          <cell r="C171" t="str">
            <v>Asignaciones Compensatorias</v>
          </cell>
        </row>
        <row r="172">
          <cell r="A172">
            <v>201943715</v>
          </cell>
          <cell r="B172">
            <v>2101001015</v>
          </cell>
          <cell r="C172" t="str">
            <v>Asignaciones Sustitutivas</v>
          </cell>
        </row>
        <row r="173">
          <cell r="A173">
            <v>201943716</v>
          </cell>
          <cell r="B173">
            <v>2101001016</v>
          </cell>
          <cell r="C173" t="str">
            <v>Asignacion de Dedicacion Exclusiva</v>
          </cell>
        </row>
        <row r="174">
          <cell r="A174">
            <v>201943717</v>
          </cell>
          <cell r="B174">
            <v>2101001017</v>
          </cell>
          <cell r="C174" t="str">
            <v>Asignacion para Operador de Maquinaria Pesada</v>
          </cell>
        </row>
        <row r="175">
          <cell r="A175">
            <v>201943718</v>
          </cell>
          <cell r="B175">
            <v>2101001018</v>
          </cell>
          <cell r="C175" t="str">
            <v>Asignacion de Defensa Judicial Estatal</v>
          </cell>
        </row>
        <row r="176">
          <cell r="A176">
            <v>201943719</v>
          </cell>
          <cell r="B176">
            <v>2101001019</v>
          </cell>
          <cell r="C176" t="str">
            <v>Asignacion de Responsabilidad</v>
          </cell>
        </row>
        <row r="177">
          <cell r="A177">
            <v>201943720</v>
          </cell>
          <cell r="B177">
            <v>2101001020</v>
          </cell>
          <cell r="C177" t="str">
            <v>Asignacion por Turno</v>
          </cell>
        </row>
        <row r="178">
          <cell r="A178">
            <v>201943721</v>
          </cell>
          <cell r="B178">
            <v>2101001021</v>
          </cell>
          <cell r="C178" t="str">
            <v>Asignacion Articulo 1 Ley N 19.264</v>
          </cell>
        </row>
        <row r="179">
          <cell r="A179">
            <v>201943722</v>
          </cell>
          <cell r="B179">
            <v>2101001022</v>
          </cell>
          <cell r="C179" t="str">
            <v>Componente Base Asignacion de Desempeno</v>
          </cell>
        </row>
        <row r="180">
          <cell r="A180">
            <v>201943723</v>
          </cell>
          <cell r="B180">
            <v>2101001023</v>
          </cell>
          <cell r="C180" t="str">
            <v>Asignacion de Control</v>
          </cell>
        </row>
        <row r="181">
          <cell r="A181">
            <v>201943724</v>
          </cell>
          <cell r="B181">
            <v>2101001024</v>
          </cell>
          <cell r="C181" t="str">
            <v>Asignacion de Defensa Penal Publica</v>
          </cell>
        </row>
        <row r="182">
          <cell r="A182">
            <v>201943725</v>
          </cell>
          <cell r="B182">
            <v>2101001025</v>
          </cell>
          <cell r="C182" t="str">
            <v>Asignacion Articulo 1 Ley N 19. 112</v>
          </cell>
        </row>
        <row r="183">
          <cell r="A183">
            <v>201943726</v>
          </cell>
          <cell r="B183">
            <v>2101001026</v>
          </cell>
          <cell r="C183" t="str">
            <v>Asignacion Articulo 1 Ley N 19.432</v>
          </cell>
        </row>
        <row r="184">
          <cell r="A184">
            <v>201943727</v>
          </cell>
          <cell r="B184">
            <v>2101001027</v>
          </cell>
          <cell r="C184" t="str">
            <v>Asignacion de Estimulo Personal Medico Diurno</v>
          </cell>
        </row>
        <row r="185">
          <cell r="A185">
            <v>201943728</v>
          </cell>
          <cell r="B185">
            <v>2101001028</v>
          </cell>
          <cell r="C185" t="str">
            <v>Asignacion de Estimulo Personal Medico y Profesores</v>
          </cell>
        </row>
        <row r="186">
          <cell r="A186">
            <v>201943729</v>
          </cell>
          <cell r="B186">
            <v>2101001029</v>
          </cell>
          <cell r="C186" t="str">
            <v>Aplicacion Articulo 7 Ley N 19.112</v>
          </cell>
        </row>
        <row r="187">
          <cell r="A187">
            <v>201943730</v>
          </cell>
          <cell r="B187">
            <v>2101001030</v>
          </cell>
          <cell r="C187" t="str">
            <v>Asignacion de Estimulo por Falencia</v>
          </cell>
        </row>
        <row r="188">
          <cell r="A188">
            <v>201943731</v>
          </cell>
          <cell r="B188">
            <v>2101001031</v>
          </cell>
          <cell r="C188" t="str">
            <v>Asignacion de Experiencia Calificada</v>
          </cell>
        </row>
        <row r="189">
          <cell r="A189">
            <v>201943732</v>
          </cell>
          <cell r="B189">
            <v>2101001032</v>
          </cell>
          <cell r="C189" t="str">
            <v>Asignacion de Reforzamiento Profesional Diurno</v>
          </cell>
        </row>
        <row r="190">
          <cell r="A190">
            <v>201943733</v>
          </cell>
          <cell r="B190">
            <v>2101001033</v>
          </cell>
          <cell r="C190" t="str">
            <v>Asignacion Judicial</v>
          </cell>
        </row>
        <row r="191">
          <cell r="A191">
            <v>201943734</v>
          </cell>
          <cell r="B191">
            <v>2101001034</v>
          </cell>
          <cell r="C191" t="str">
            <v>Asignacion de Casa</v>
          </cell>
        </row>
        <row r="192">
          <cell r="A192">
            <v>201943735</v>
          </cell>
          <cell r="B192">
            <v>2101001035</v>
          </cell>
          <cell r="C192" t="str">
            <v>Asignacion Legislativa</v>
          </cell>
        </row>
        <row r="193">
          <cell r="A193">
            <v>201943736</v>
          </cell>
          <cell r="B193">
            <v>2101001036</v>
          </cell>
          <cell r="C193" t="str">
            <v>Asignacion Articulo 11 Ley N 19.041</v>
          </cell>
        </row>
        <row r="194">
          <cell r="A194">
            <v>201943737</v>
          </cell>
          <cell r="B194">
            <v>2101001037</v>
          </cell>
          <cell r="C194" t="str">
            <v>Asignacion nica</v>
          </cell>
        </row>
        <row r="195">
          <cell r="A195">
            <v>201943738</v>
          </cell>
          <cell r="B195">
            <v>2101001038</v>
          </cell>
          <cell r="C195" t="str">
            <v>Asignacion Zonas Extremas</v>
          </cell>
        </row>
        <row r="196">
          <cell r="A196">
            <v>201943739</v>
          </cell>
          <cell r="B196">
            <v>2101001039</v>
          </cell>
          <cell r="C196" t="str">
            <v>Asignacion de Responsabilidad Superior</v>
          </cell>
        </row>
        <row r="197">
          <cell r="A197">
            <v>201943740</v>
          </cell>
          <cell r="B197">
            <v>2101001040</v>
          </cell>
          <cell r="C197" t="str">
            <v>Asignacion Familiar en el Exterior</v>
          </cell>
        </row>
        <row r="198">
          <cell r="A198">
            <v>201943741</v>
          </cell>
          <cell r="B198">
            <v>2101001041</v>
          </cell>
          <cell r="C198" t="str">
            <v>Asignaciones Exclusivas de las Fuerzas Armadas y de Orden</v>
          </cell>
        </row>
        <row r="199">
          <cell r="A199">
            <v>201943742</v>
          </cell>
          <cell r="B199">
            <v>2101001042</v>
          </cell>
          <cell r="C199" t="str">
            <v>Asignaciones por Desempeno en el Exterior</v>
          </cell>
        </row>
        <row r="200">
          <cell r="A200">
            <v>201943743</v>
          </cell>
          <cell r="B200">
            <v>2101001043</v>
          </cell>
          <cell r="C200" t="str">
            <v>Asignacion Inherente al Cargo Ley N 18.695</v>
          </cell>
        </row>
        <row r="201">
          <cell r="A201">
            <v>201943744</v>
          </cell>
          <cell r="B201">
            <v>2101001999</v>
          </cell>
          <cell r="C201" t="str">
            <v>Otras Asignaciones</v>
          </cell>
        </row>
        <row r="202">
          <cell r="A202">
            <v>201943745</v>
          </cell>
          <cell r="B202">
            <v>2101002</v>
          </cell>
          <cell r="C202" t="str">
            <v>Aportes del Empleador</v>
          </cell>
        </row>
        <row r="203">
          <cell r="A203">
            <v>201943746</v>
          </cell>
          <cell r="B203">
            <v>2101002001</v>
          </cell>
          <cell r="C203" t="str">
            <v>A Servicios de Bienestar</v>
          </cell>
        </row>
        <row r="204">
          <cell r="A204">
            <v>201943747</v>
          </cell>
          <cell r="B204">
            <v>2101002002</v>
          </cell>
          <cell r="C204" t="str">
            <v>Otras Cotizaciones Previsionales</v>
          </cell>
        </row>
        <row r="205">
          <cell r="A205">
            <v>201943748</v>
          </cell>
          <cell r="B205">
            <v>2101002003</v>
          </cell>
          <cell r="C205" t="str">
            <v>Cotizacion Adicional, Articulo 8 Ley N 18.566</v>
          </cell>
        </row>
        <row r="206">
          <cell r="A206">
            <v>201943749</v>
          </cell>
          <cell r="B206">
            <v>2101003</v>
          </cell>
          <cell r="C206" t="str">
            <v>Asignaciones por Desempeno</v>
          </cell>
        </row>
        <row r="207">
          <cell r="A207">
            <v>201943750</v>
          </cell>
          <cell r="B207">
            <v>2101003001</v>
          </cell>
          <cell r="C207" t="str">
            <v>Desempeno Institucional</v>
          </cell>
        </row>
        <row r="208">
          <cell r="A208">
            <v>201943751</v>
          </cell>
          <cell r="B208">
            <v>2101003002</v>
          </cell>
          <cell r="C208" t="str">
            <v>Desempeno Colectivo</v>
          </cell>
        </row>
        <row r="209">
          <cell r="A209">
            <v>201943752</v>
          </cell>
          <cell r="B209">
            <v>2101003003</v>
          </cell>
          <cell r="C209" t="str">
            <v>Desempeno Individual</v>
          </cell>
        </row>
        <row r="210">
          <cell r="A210">
            <v>201947065</v>
          </cell>
          <cell r="B210">
            <v>2101003004</v>
          </cell>
          <cell r="C210" t="str">
            <v>Asignacion por Produccion</v>
          </cell>
        </row>
        <row r="211">
          <cell r="A211">
            <v>201947066</v>
          </cell>
          <cell r="B211">
            <v>2101003005</v>
          </cell>
          <cell r="C211" t="str">
            <v>Asignacion Mejoramiento de Trato a los Usuarios</v>
          </cell>
        </row>
        <row r="212">
          <cell r="A212">
            <v>201943753</v>
          </cell>
          <cell r="B212">
            <v>2101004</v>
          </cell>
          <cell r="C212" t="str">
            <v>Remuneraciones Variables</v>
          </cell>
        </row>
        <row r="213">
          <cell r="A213">
            <v>201943754</v>
          </cell>
          <cell r="B213">
            <v>2101004001</v>
          </cell>
          <cell r="C213" t="str">
            <v>Asignacion Articulo 12 Ley N 19.041</v>
          </cell>
        </row>
        <row r="214">
          <cell r="A214">
            <v>201943755</v>
          </cell>
          <cell r="B214">
            <v>2101004002</v>
          </cell>
          <cell r="C214" t="str">
            <v>Asignacion de Estimulo Jornadas Prioritarias</v>
          </cell>
        </row>
        <row r="215">
          <cell r="A215">
            <v>201943756</v>
          </cell>
          <cell r="B215">
            <v>2101004003</v>
          </cell>
          <cell r="C215" t="str">
            <v>Asignacion Articulo 3 Ley N 19.264</v>
          </cell>
        </row>
        <row r="216">
          <cell r="A216">
            <v>201943757</v>
          </cell>
          <cell r="B216">
            <v>2101004004</v>
          </cell>
          <cell r="C216" t="str">
            <v>Asignacion por Desempeno de Funciones Criticas</v>
          </cell>
        </row>
        <row r="217">
          <cell r="A217">
            <v>201943758</v>
          </cell>
          <cell r="B217">
            <v>2101004005</v>
          </cell>
          <cell r="C217" t="str">
            <v>Trabajos Extraordinarios</v>
          </cell>
        </row>
        <row r="218">
          <cell r="A218">
            <v>201943759</v>
          </cell>
          <cell r="B218">
            <v>2101004006</v>
          </cell>
          <cell r="C218" t="str">
            <v>Comisiones de Servicios en el Pais</v>
          </cell>
        </row>
        <row r="219">
          <cell r="A219">
            <v>201943760</v>
          </cell>
          <cell r="B219">
            <v>2101004007</v>
          </cell>
          <cell r="C219" t="str">
            <v>Comisiones de Servicios en el Exterior</v>
          </cell>
        </row>
        <row r="220">
          <cell r="A220">
            <v>201943761</v>
          </cell>
          <cell r="B220">
            <v>2101005</v>
          </cell>
          <cell r="C220" t="str">
            <v>Aguinaldos y Bonos</v>
          </cell>
        </row>
        <row r="221">
          <cell r="A221">
            <v>201943762</v>
          </cell>
          <cell r="B221">
            <v>2101005001</v>
          </cell>
          <cell r="C221" t="str">
            <v>Aguinaldos</v>
          </cell>
        </row>
        <row r="222">
          <cell r="A222">
            <v>201943763</v>
          </cell>
          <cell r="B222">
            <v>2101005002</v>
          </cell>
          <cell r="C222" t="str">
            <v>Bono de Escolaridad</v>
          </cell>
        </row>
        <row r="223">
          <cell r="A223">
            <v>201943764</v>
          </cell>
          <cell r="B223">
            <v>2101005003</v>
          </cell>
          <cell r="C223" t="str">
            <v>Bonos Especiales</v>
          </cell>
        </row>
        <row r="224">
          <cell r="A224">
            <v>201943765</v>
          </cell>
          <cell r="B224">
            <v>2101005004</v>
          </cell>
          <cell r="C224" t="str">
            <v>Bonificacion Adicional al Bono de Escolaridad</v>
          </cell>
        </row>
        <row r="225">
          <cell r="A225">
            <v>201943766</v>
          </cell>
          <cell r="B225">
            <v>2102</v>
          </cell>
          <cell r="C225" t="str">
            <v>Personal a Contrata</v>
          </cell>
        </row>
        <row r="226">
          <cell r="A226">
            <v>201943767</v>
          </cell>
          <cell r="B226">
            <v>2102001</v>
          </cell>
          <cell r="C226" t="str">
            <v>Sueldos y Sobresueldos</v>
          </cell>
        </row>
        <row r="227">
          <cell r="A227">
            <v>201943768</v>
          </cell>
          <cell r="B227">
            <v>2102001001</v>
          </cell>
          <cell r="C227" t="str">
            <v>Sueldos Bases</v>
          </cell>
        </row>
        <row r="228">
          <cell r="A228">
            <v>201943769</v>
          </cell>
          <cell r="B228">
            <v>2102001002</v>
          </cell>
          <cell r="C228" t="str">
            <v>Asignacion de Antigedad</v>
          </cell>
        </row>
        <row r="229">
          <cell r="A229">
            <v>201943770</v>
          </cell>
          <cell r="B229">
            <v>2102001003</v>
          </cell>
          <cell r="C229" t="str">
            <v>Asignacion Profesional</v>
          </cell>
        </row>
        <row r="230">
          <cell r="A230">
            <v>201943771</v>
          </cell>
          <cell r="B230">
            <v>2102001004</v>
          </cell>
          <cell r="C230" t="str">
            <v>Asignacion de Zona</v>
          </cell>
        </row>
        <row r="231">
          <cell r="A231">
            <v>201943772</v>
          </cell>
          <cell r="B231">
            <v>2102001005</v>
          </cell>
          <cell r="C231" t="str">
            <v>Asignacion de Rancho</v>
          </cell>
        </row>
        <row r="232">
          <cell r="A232">
            <v>201943773</v>
          </cell>
          <cell r="B232">
            <v>2102001006</v>
          </cell>
          <cell r="C232" t="str">
            <v>Asignaciones del DL N 2.411, de 1978</v>
          </cell>
        </row>
        <row r="233">
          <cell r="A233">
            <v>201943774</v>
          </cell>
          <cell r="B233">
            <v>2102001007</v>
          </cell>
          <cell r="C233" t="str">
            <v>Asignaciones del DL N 3.551, de 1981</v>
          </cell>
        </row>
        <row r="234">
          <cell r="A234">
            <v>201943775</v>
          </cell>
          <cell r="B234">
            <v>2102001008</v>
          </cell>
          <cell r="C234" t="str">
            <v>Asignacion de Nivelacion</v>
          </cell>
        </row>
        <row r="235">
          <cell r="A235">
            <v>201943776</v>
          </cell>
          <cell r="B235">
            <v>2102001009</v>
          </cell>
          <cell r="C235" t="str">
            <v>Asignaciones Especiales</v>
          </cell>
        </row>
        <row r="236">
          <cell r="A236">
            <v>201943777</v>
          </cell>
          <cell r="B236">
            <v>2102001010</v>
          </cell>
          <cell r="C236" t="str">
            <v>Asignacion de Perdida de Caja</v>
          </cell>
        </row>
        <row r="237">
          <cell r="A237">
            <v>201943778</v>
          </cell>
          <cell r="B237">
            <v>2102001011</v>
          </cell>
          <cell r="C237" t="str">
            <v>Asignacion de Movilizacion</v>
          </cell>
        </row>
        <row r="238">
          <cell r="A238">
            <v>201943779</v>
          </cell>
          <cell r="B238">
            <v>2102001012</v>
          </cell>
          <cell r="C238" t="str">
            <v>Gastos de Representacion</v>
          </cell>
        </row>
        <row r="239">
          <cell r="A239">
            <v>201943780</v>
          </cell>
          <cell r="B239">
            <v>2102001013</v>
          </cell>
          <cell r="C239" t="str">
            <v>Asignaciones Compensatorias</v>
          </cell>
        </row>
        <row r="240">
          <cell r="A240">
            <v>201943781</v>
          </cell>
          <cell r="B240">
            <v>2102001014</v>
          </cell>
          <cell r="C240" t="str">
            <v>Asignaciones Sustitutivas</v>
          </cell>
        </row>
        <row r="241">
          <cell r="A241">
            <v>201943782</v>
          </cell>
          <cell r="B241">
            <v>2102001015</v>
          </cell>
          <cell r="C241" t="str">
            <v>Asignacion de Dedicacion Exclusiva</v>
          </cell>
        </row>
        <row r="242">
          <cell r="A242">
            <v>201943783</v>
          </cell>
          <cell r="B242">
            <v>2102001016</v>
          </cell>
          <cell r="C242" t="str">
            <v>Asignacion para Operador de Maquinaria Pesada</v>
          </cell>
        </row>
        <row r="243">
          <cell r="A243">
            <v>201943784</v>
          </cell>
          <cell r="B243">
            <v>2102001017</v>
          </cell>
          <cell r="C243" t="str">
            <v>Asignacion de Defensa Judicial Estatal</v>
          </cell>
        </row>
        <row r="244">
          <cell r="A244">
            <v>201943785</v>
          </cell>
          <cell r="B244">
            <v>2102001018</v>
          </cell>
          <cell r="C244" t="str">
            <v>Asignacion de Responsabilidad</v>
          </cell>
        </row>
        <row r="245">
          <cell r="A245">
            <v>201943786</v>
          </cell>
          <cell r="B245">
            <v>2102001019</v>
          </cell>
          <cell r="C245" t="str">
            <v>Asignacion por Turno</v>
          </cell>
        </row>
        <row r="246">
          <cell r="A246">
            <v>201943787</v>
          </cell>
          <cell r="B246">
            <v>2102001020</v>
          </cell>
          <cell r="C246" t="str">
            <v>Asignacion Articulo 1 Ley N 19.264</v>
          </cell>
        </row>
        <row r="247">
          <cell r="A247">
            <v>201943788</v>
          </cell>
          <cell r="B247">
            <v>2102001021</v>
          </cell>
          <cell r="C247" t="str">
            <v>Componente Base Asignacion de Desempeno</v>
          </cell>
        </row>
        <row r="248">
          <cell r="A248">
            <v>201943789</v>
          </cell>
          <cell r="B248">
            <v>2102001022</v>
          </cell>
          <cell r="C248" t="str">
            <v>Asignacion de Control</v>
          </cell>
        </row>
        <row r="249">
          <cell r="A249">
            <v>201943790</v>
          </cell>
          <cell r="B249">
            <v>2102001023</v>
          </cell>
          <cell r="C249" t="str">
            <v>Asignacion de Defensa Penal Publica</v>
          </cell>
        </row>
        <row r="250">
          <cell r="A250">
            <v>201943791</v>
          </cell>
          <cell r="B250">
            <v>2102001024</v>
          </cell>
          <cell r="C250" t="str">
            <v>Asignacion Articulo 1 Ley N 19. 112</v>
          </cell>
        </row>
        <row r="251">
          <cell r="A251">
            <v>201943792</v>
          </cell>
          <cell r="B251">
            <v>2102001025</v>
          </cell>
          <cell r="C251" t="str">
            <v>Asignacion Articulo 1 Ley N 19.432</v>
          </cell>
        </row>
        <row r="252">
          <cell r="A252">
            <v>201943793</v>
          </cell>
          <cell r="B252">
            <v>2102001026</v>
          </cell>
          <cell r="C252" t="str">
            <v>Asignacion de Estimulo Personal Medico Diurno</v>
          </cell>
        </row>
        <row r="253">
          <cell r="A253">
            <v>201943794</v>
          </cell>
          <cell r="B253">
            <v>2102001027</v>
          </cell>
          <cell r="C253" t="str">
            <v>Asignacion de Estimulo Personal Medico y Profesores</v>
          </cell>
        </row>
        <row r="254">
          <cell r="A254">
            <v>201943795</v>
          </cell>
          <cell r="B254">
            <v>2102001028</v>
          </cell>
          <cell r="C254" t="str">
            <v>Aplicacion Articulo 7 Ley N 19.112</v>
          </cell>
        </row>
        <row r="255">
          <cell r="A255">
            <v>201943796</v>
          </cell>
          <cell r="B255">
            <v>2102001029</v>
          </cell>
          <cell r="C255" t="str">
            <v>Asignacion de Estimulo por Falencia</v>
          </cell>
        </row>
        <row r="256">
          <cell r="A256">
            <v>201943797</v>
          </cell>
          <cell r="B256">
            <v>2102001030</v>
          </cell>
          <cell r="C256" t="str">
            <v>Asignacion de Experiencia Calificada</v>
          </cell>
        </row>
        <row r="257">
          <cell r="A257">
            <v>201943798</v>
          </cell>
          <cell r="B257">
            <v>2102001031</v>
          </cell>
          <cell r="C257" t="str">
            <v>Asignacion de Reforzamiento Profesional Diurno</v>
          </cell>
        </row>
        <row r="258">
          <cell r="A258">
            <v>201943799</v>
          </cell>
          <cell r="B258">
            <v>2102001032</v>
          </cell>
          <cell r="C258" t="str">
            <v>Asignacion Judicial</v>
          </cell>
        </row>
        <row r="259">
          <cell r="A259">
            <v>201943800</v>
          </cell>
          <cell r="B259">
            <v>2102001033</v>
          </cell>
          <cell r="C259" t="str">
            <v>Asignacion de Casa</v>
          </cell>
        </row>
        <row r="260">
          <cell r="A260">
            <v>201943801</v>
          </cell>
          <cell r="B260">
            <v>2102001034</v>
          </cell>
          <cell r="C260" t="str">
            <v>Asignacion Legislativa</v>
          </cell>
        </row>
        <row r="261">
          <cell r="A261">
            <v>201943802</v>
          </cell>
          <cell r="B261">
            <v>2102001035</v>
          </cell>
          <cell r="C261" t="str">
            <v>Asignacion Articulo 11 Ley N 19.041</v>
          </cell>
        </row>
        <row r="262">
          <cell r="A262">
            <v>201943803</v>
          </cell>
          <cell r="B262">
            <v>2102001036</v>
          </cell>
          <cell r="C262" t="str">
            <v>Asignacion nica</v>
          </cell>
        </row>
        <row r="263">
          <cell r="A263">
            <v>201943804</v>
          </cell>
          <cell r="B263">
            <v>2102001037</v>
          </cell>
          <cell r="C263" t="str">
            <v>Asignacion Zonas Extremas</v>
          </cell>
        </row>
        <row r="264">
          <cell r="A264">
            <v>201943805</v>
          </cell>
          <cell r="B264">
            <v>2102001038</v>
          </cell>
          <cell r="C264" t="str">
            <v>Asignacion de Responsabilidad Superior</v>
          </cell>
        </row>
        <row r="265">
          <cell r="A265">
            <v>201943806</v>
          </cell>
          <cell r="B265">
            <v>2102001039</v>
          </cell>
          <cell r="C265" t="str">
            <v>Asignacion Familiar en el Exterior</v>
          </cell>
        </row>
        <row r="266">
          <cell r="A266">
            <v>201943807</v>
          </cell>
          <cell r="B266">
            <v>2102001040</v>
          </cell>
          <cell r="C266" t="str">
            <v>Asignaciones Exclusivas de las Fuerzas Armadas y de Orden</v>
          </cell>
        </row>
        <row r="267">
          <cell r="A267">
            <v>201943808</v>
          </cell>
          <cell r="B267">
            <v>2102001041</v>
          </cell>
          <cell r="C267" t="str">
            <v>Asignaciones por Desempeno en el Exterior</v>
          </cell>
        </row>
        <row r="268">
          <cell r="A268">
            <v>201943809</v>
          </cell>
          <cell r="B268">
            <v>2102001999</v>
          </cell>
          <cell r="C268" t="str">
            <v>Otras Asignaciones</v>
          </cell>
        </row>
        <row r="269">
          <cell r="A269">
            <v>201943810</v>
          </cell>
          <cell r="B269">
            <v>2102002</v>
          </cell>
          <cell r="C269" t="str">
            <v>Aportes del Empleador</v>
          </cell>
        </row>
        <row r="270">
          <cell r="A270">
            <v>201943811</v>
          </cell>
          <cell r="B270">
            <v>2102002001</v>
          </cell>
          <cell r="C270" t="str">
            <v>A Servicios de Bienestar</v>
          </cell>
        </row>
        <row r="271">
          <cell r="A271">
            <v>201943812</v>
          </cell>
          <cell r="B271">
            <v>2102002002</v>
          </cell>
          <cell r="C271" t="str">
            <v>Otras Cotizaciones Previsionales</v>
          </cell>
        </row>
        <row r="272">
          <cell r="A272">
            <v>201943813</v>
          </cell>
          <cell r="B272">
            <v>2102002003</v>
          </cell>
          <cell r="C272" t="str">
            <v>Cotizacion Adicional, Articulo 8 Ley N 18.566</v>
          </cell>
        </row>
        <row r="273">
          <cell r="A273">
            <v>201943814</v>
          </cell>
          <cell r="B273">
            <v>2102003</v>
          </cell>
          <cell r="C273" t="str">
            <v>Asignaciones por Desempeno</v>
          </cell>
        </row>
        <row r="274">
          <cell r="A274">
            <v>201943815</v>
          </cell>
          <cell r="B274">
            <v>2102003001</v>
          </cell>
          <cell r="C274" t="str">
            <v>Desempeno Institucional</v>
          </cell>
        </row>
        <row r="275">
          <cell r="A275">
            <v>201943816</v>
          </cell>
          <cell r="B275">
            <v>2102003002</v>
          </cell>
          <cell r="C275" t="str">
            <v>Desempeno Colectivo</v>
          </cell>
        </row>
        <row r="276">
          <cell r="A276">
            <v>201943817</v>
          </cell>
          <cell r="B276">
            <v>2102003003</v>
          </cell>
          <cell r="C276" t="str">
            <v>Desempeno Individual</v>
          </cell>
        </row>
        <row r="277">
          <cell r="A277">
            <v>201947067</v>
          </cell>
          <cell r="B277">
            <v>2102003004</v>
          </cell>
          <cell r="C277" t="str">
            <v>Asignacion por Produccion</v>
          </cell>
        </row>
        <row r="278">
          <cell r="A278">
            <v>201947068</v>
          </cell>
          <cell r="B278">
            <v>2102003005</v>
          </cell>
          <cell r="C278" t="str">
            <v>Asignacion Mejoramiento de Trato a los Usuarios</v>
          </cell>
        </row>
        <row r="279">
          <cell r="A279">
            <v>201943818</v>
          </cell>
          <cell r="B279">
            <v>2102004</v>
          </cell>
          <cell r="C279" t="str">
            <v>Remuneraciones Variables</v>
          </cell>
        </row>
        <row r="280">
          <cell r="A280">
            <v>201943819</v>
          </cell>
          <cell r="B280">
            <v>2102004001</v>
          </cell>
          <cell r="C280" t="str">
            <v>Asignacion Articulo 12 Ley N 19.041</v>
          </cell>
        </row>
        <row r="281">
          <cell r="A281">
            <v>201943820</v>
          </cell>
          <cell r="B281">
            <v>2102004002</v>
          </cell>
          <cell r="C281" t="str">
            <v>Asignacion de Estimulo Jornadas Prioritarias</v>
          </cell>
        </row>
        <row r="282">
          <cell r="A282">
            <v>201943821</v>
          </cell>
          <cell r="B282">
            <v>2102004003</v>
          </cell>
          <cell r="C282" t="str">
            <v>Asignacion Articulo 3 Ley N 19.264</v>
          </cell>
        </row>
        <row r="283">
          <cell r="A283">
            <v>201943822</v>
          </cell>
          <cell r="B283">
            <v>2102004004</v>
          </cell>
          <cell r="C283" t="str">
            <v>Asignacion por Desempeno de Funciones Criticas</v>
          </cell>
        </row>
        <row r="284">
          <cell r="A284">
            <v>201943823</v>
          </cell>
          <cell r="B284">
            <v>2102004005</v>
          </cell>
          <cell r="C284" t="str">
            <v>Trabajos Extraordinarios</v>
          </cell>
        </row>
        <row r="285">
          <cell r="A285">
            <v>201943824</v>
          </cell>
          <cell r="B285">
            <v>2102004006</v>
          </cell>
          <cell r="C285" t="str">
            <v>Comisiones de Servicios en el Pais</v>
          </cell>
        </row>
        <row r="286">
          <cell r="A286">
            <v>201943825</v>
          </cell>
          <cell r="B286">
            <v>2102004007</v>
          </cell>
          <cell r="C286" t="str">
            <v>Comisiones de Servicios en el Exterior</v>
          </cell>
        </row>
        <row r="287">
          <cell r="A287">
            <v>201943826</v>
          </cell>
          <cell r="B287">
            <v>2102005</v>
          </cell>
          <cell r="C287" t="str">
            <v>Aguinaldos y Bonos</v>
          </cell>
        </row>
        <row r="288">
          <cell r="A288">
            <v>201943827</v>
          </cell>
          <cell r="B288">
            <v>2102005001</v>
          </cell>
          <cell r="C288" t="str">
            <v>Aguinaldos</v>
          </cell>
        </row>
        <row r="289">
          <cell r="A289">
            <v>201943828</v>
          </cell>
          <cell r="B289">
            <v>2102005002</v>
          </cell>
          <cell r="C289" t="str">
            <v>Bono de Escolaridad</v>
          </cell>
        </row>
        <row r="290">
          <cell r="A290">
            <v>201943829</v>
          </cell>
          <cell r="B290">
            <v>2102005003</v>
          </cell>
          <cell r="C290" t="str">
            <v>Bonos Especiales</v>
          </cell>
        </row>
        <row r="291">
          <cell r="A291">
            <v>201943830</v>
          </cell>
          <cell r="B291">
            <v>2102005004</v>
          </cell>
          <cell r="C291" t="str">
            <v>Bonificacion Adicional al Bono de Escolaridad</v>
          </cell>
        </row>
        <row r="292">
          <cell r="A292">
            <v>201943831</v>
          </cell>
          <cell r="B292">
            <v>2103</v>
          </cell>
          <cell r="C292" t="str">
            <v>Otras Remuneraciones</v>
          </cell>
        </row>
        <row r="293">
          <cell r="A293">
            <v>201943832</v>
          </cell>
          <cell r="B293">
            <v>2103001</v>
          </cell>
          <cell r="C293" t="str">
            <v>Honorarios a Suma Alzada - Personas Naturales</v>
          </cell>
        </row>
        <row r="294">
          <cell r="A294">
            <v>201944570</v>
          </cell>
          <cell r="B294">
            <v>2103001001</v>
          </cell>
          <cell r="C294" t="str">
            <v>Honorarios a Suma Alzada-Honorarios</v>
          </cell>
        </row>
        <row r="295">
          <cell r="A295">
            <v>201944569</v>
          </cell>
          <cell r="B295">
            <v>2103001002</v>
          </cell>
          <cell r="C295" t="str">
            <v>Honorarios a Suma Alzada-Viaticos</v>
          </cell>
        </row>
        <row r="296">
          <cell r="A296">
            <v>201944561</v>
          </cell>
          <cell r="B296">
            <v>2103001111</v>
          </cell>
          <cell r="C296" t="str">
            <v>Honorarios AGES</v>
          </cell>
        </row>
        <row r="297">
          <cell r="A297">
            <v>201943833</v>
          </cell>
          <cell r="B297">
            <v>2103002</v>
          </cell>
          <cell r="C297" t="str">
            <v>Honorarios Asimilados a Grados</v>
          </cell>
        </row>
        <row r="298">
          <cell r="A298">
            <v>201943834</v>
          </cell>
          <cell r="B298">
            <v>2103003</v>
          </cell>
          <cell r="C298" t="str">
            <v>Jornales</v>
          </cell>
        </row>
        <row r="299">
          <cell r="A299">
            <v>201943835</v>
          </cell>
          <cell r="B299">
            <v>2103004</v>
          </cell>
          <cell r="C299" t="str">
            <v>Remuneraciones Reguladas por el Codigo del Trabajo</v>
          </cell>
        </row>
        <row r="300">
          <cell r="A300">
            <v>201943836</v>
          </cell>
          <cell r="B300">
            <v>2103005</v>
          </cell>
          <cell r="C300" t="str">
            <v>Suplencias y Reemplazos</v>
          </cell>
        </row>
        <row r="301">
          <cell r="A301">
            <v>201943837</v>
          </cell>
          <cell r="B301">
            <v>2103006</v>
          </cell>
          <cell r="C301" t="str">
            <v>Personal a Trato y/o Temporal</v>
          </cell>
        </row>
        <row r="302">
          <cell r="A302">
            <v>201943838</v>
          </cell>
          <cell r="B302">
            <v>2103007</v>
          </cell>
          <cell r="C302" t="str">
            <v>Alumnos en Practica</v>
          </cell>
        </row>
        <row r="303">
          <cell r="A303">
            <v>201943839</v>
          </cell>
          <cell r="B303">
            <v>2103999</v>
          </cell>
          <cell r="C303" t="str">
            <v>Otras</v>
          </cell>
        </row>
        <row r="304">
          <cell r="A304">
            <v>201943840</v>
          </cell>
          <cell r="B304">
            <v>2104</v>
          </cell>
          <cell r="C304" t="str">
            <v>Otros Gastos en Personal</v>
          </cell>
        </row>
        <row r="305">
          <cell r="A305">
            <v>201943841</v>
          </cell>
          <cell r="B305">
            <v>2104001</v>
          </cell>
          <cell r="C305" t="str">
            <v>Asignacion de Traslado</v>
          </cell>
        </row>
        <row r="306">
          <cell r="A306">
            <v>201943842</v>
          </cell>
          <cell r="B306">
            <v>2104002</v>
          </cell>
          <cell r="C306" t="str">
            <v>Dieta Parlamentaria</v>
          </cell>
        </row>
        <row r="307">
          <cell r="A307">
            <v>201943843</v>
          </cell>
          <cell r="B307">
            <v>2104003</v>
          </cell>
          <cell r="C307" t="str">
            <v>Dietas a Juntas, Consejos y Comisiones</v>
          </cell>
        </row>
        <row r="308">
          <cell r="A308">
            <v>201943844</v>
          </cell>
          <cell r="B308">
            <v>22</v>
          </cell>
          <cell r="C308" t="str">
            <v>BIENES Y SERVICIOS DE CONSUMO</v>
          </cell>
        </row>
        <row r="309">
          <cell r="A309">
            <v>201943845</v>
          </cell>
          <cell r="B309">
            <v>2201</v>
          </cell>
          <cell r="C309" t="str">
            <v>Alimentos y Bebidas</v>
          </cell>
        </row>
        <row r="310">
          <cell r="A310">
            <v>201943846</v>
          </cell>
          <cell r="B310">
            <v>2201001</v>
          </cell>
          <cell r="C310" t="str">
            <v>Para Personas</v>
          </cell>
        </row>
        <row r="311">
          <cell r="A311">
            <v>201943847</v>
          </cell>
          <cell r="B311">
            <v>2201002</v>
          </cell>
          <cell r="C311" t="str">
            <v>Para Animales</v>
          </cell>
        </row>
        <row r="312">
          <cell r="A312">
            <v>201943848</v>
          </cell>
          <cell r="B312">
            <v>2202</v>
          </cell>
          <cell r="C312" t="str">
            <v>Textiles, Vestuario y Calzado</v>
          </cell>
        </row>
        <row r="313">
          <cell r="A313">
            <v>201943849</v>
          </cell>
          <cell r="B313">
            <v>2202001</v>
          </cell>
          <cell r="C313" t="str">
            <v>Textiles y Acabados Textiles</v>
          </cell>
        </row>
        <row r="314">
          <cell r="A314">
            <v>201943850</v>
          </cell>
          <cell r="B314">
            <v>2202002</v>
          </cell>
          <cell r="C314" t="str">
            <v>Vestuario, Accesorios y Prendas Diversas</v>
          </cell>
        </row>
        <row r="315">
          <cell r="A315">
            <v>201943851</v>
          </cell>
          <cell r="B315">
            <v>2202003</v>
          </cell>
          <cell r="C315" t="str">
            <v>Calzado</v>
          </cell>
        </row>
        <row r="316">
          <cell r="A316">
            <v>201943852</v>
          </cell>
          <cell r="B316">
            <v>2203</v>
          </cell>
          <cell r="C316" t="str">
            <v>Combustibles y Lubricantes</v>
          </cell>
        </row>
        <row r="317">
          <cell r="A317">
            <v>201943853</v>
          </cell>
          <cell r="B317">
            <v>2203001</v>
          </cell>
          <cell r="C317" t="str">
            <v>Para Vehiculos</v>
          </cell>
        </row>
        <row r="318">
          <cell r="A318">
            <v>201943854</v>
          </cell>
          <cell r="B318">
            <v>2203002</v>
          </cell>
          <cell r="C318" t="str">
            <v>Para Maquinarias, Equipos de Produccion, Traccion y Elevacion</v>
          </cell>
        </row>
        <row r="319">
          <cell r="A319">
            <v>201943855</v>
          </cell>
          <cell r="B319">
            <v>2203003</v>
          </cell>
          <cell r="C319" t="str">
            <v>Para Calefaccion</v>
          </cell>
        </row>
        <row r="320">
          <cell r="A320">
            <v>201943856</v>
          </cell>
          <cell r="B320">
            <v>2203999</v>
          </cell>
          <cell r="C320" t="str">
            <v>Para Otros</v>
          </cell>
        </row>
        <row r="321">
          <cell r="A321">
            <v>201943952</v>
          </cell>
          <cell r="B321">
            <v>2204</v>
          </cell>
          <cell r="C321" t="str">
            <v>Materiales de Uso o Consumo</v>
          </cell>
        </row>
        <row r="322">
          <cell r="A322">
            <v>201943953</v>
          </cell>
          <cell r="B322">
            <v>2204001</v>
          </cell>
          <cell r="C322" t="str">
            <v>Materiales de Oficina</v>
          </cell>
        </row>
        <row r="323">
          <cell r="A323">
            <v>201943954</v>
          </cell>
          <cell r="B323">
            <v>2204002</v>
          </cell>
          <cell r="C323" t="str">
            <v>Textos y Otros Materiales de Ensenanza</v>
          </cell>
        </row>
        <row r="324">
          <cell r="A324">
            <v>201943955</v>
          </cell>
          <cell r="B324">
            <v>2204003</v>
          </cell>
          <cell r="C324" t="str">
            <v>Productos Quimicos</v>
          </cell>
        </row>
        <row r="325">
          <cell r="A325">
            <v>201943956</v>
          </cell>
          <cell r="B325">
            <v>2204004</v>
          </cell>
          <cell r="C325" t="str">
            <v>Productos Farmaceuticos</v>
          </cell>
        </row>
        <row r="326">
          <cell r="A326">
            <v>201943957</v>
          </cell>
          <cell r="B326">
            <v>2204005</v>
          </cell>
          <cell r="C326" t="str">
            <v>Materiales y tiles Quirurgicos</v>
          </cell>
        </row>
        <row r="327">
          <cell r="A327">
            <v>201943958</v>
          </cell>
          <cell r="B327">
            <v>2204006</v>
          </cell>
          <cell r="C327" t="str">
            <v>Fertilizantes, Insecticidas, Fungicidas y Otros</v>
          </cell>
        </row>
        <row r="328">
          <cell r="A328">
            <v>201943959</v>
          </cell>
          <cell r="B328">
            <v>2204007</v>
          </cell>
          <cell r="C328" t="str">
            <v>Materiales y tiles de Aseo</v>
          </cell>
        </row>
        <row r="329">
          <cell r="A329">
            <v>201943960</v>
          </cell>
          <cell r="B329">
            <v>2204008</v>
          </cell>
          <cell r="C329" t="str">
            <v>Menaje para Oficina, Casino y Otros</v>
          </cell>
        </row>
        <row r="330">
          <cell r="A330">
            <v>201943961</v>
          </cell>
          <cell r="B330">
            <v>2204009</v>
          </cell>
          <cell r="C330" t="str">
            <v>Insumos, Repuestos y Accesorios Computacionales</v>
          </cell>
        </row>
        <row r="331">
          <cell r="A331">
            <v>201943962</v>
          </cell>
          <cell r="B331">
            <v>2204010</v>
          </cell>
          <cell r="C331" t="str">
            <v>Materiales para Mantenimiento y Reparaciones de Inmuebles</v>
          </cell>
        </row>
        <row r="332">
          <cell r="A332">
            <v>201943963</v>
          </cell>
          <cell r="B332">
            <v>2204011</v>
          </cell>
          <cell r="C332" t="str">
            <v>Repuestos y Accesorios para Mantenimiento y Reparaciones de Vehiculos</v>
          </cell>
        </row>
        <row r="333">
          <cell r="A333">
            <v>201943964</v>
          </cell>
          <cell r="B333">
            <v>2204012</v>
          </cell>
          <cell r="C333" t="str">
            <v>Otros Materiales, Repuestos y tiles Diversos para Mantenimiento y Reparaciones</v>
          </cell>
        </row>
        <row r="334">
          <cell r="A334">
            <v>201943965</v>
          </cell>
          <cell r="B334">
            <v>2204013</v>
          </cell>
          <cell r="C334" t="str">
            <v>Equipos Menores</v>
          </cell>
        </row>
        <row r="335">
          <cell r="A335">
            <v>201943966</v>
          </cell>
          <cell r="B335">
            <v>2204014</v>
          </cell>
          <cell r="C335" t="str">
            <v>Productos Elaborados de Cuero, Caucho y Plasticos</v>
          </cell>
        </row>
        <row r="336">
          <cell r="A336">
            <v>201943967</v>
          </cell>
          <cell r="B336">
            <v>2204015</v>
          </cell>
          <cell r="C336" t="str">
            <v>Productos Agropecuarios y Forestales</v>
          </cell>
        </row>
        <row r="337">
          <cell r="A337">
            <v>201943968</v>
          </cell>
          <cell r="B337">
            <v>2204016</v>
          </cell>
          <cell r="C337" t="str">
            <v>Materias Primas y Semielaboradas</v>
          </cell>
        </row>
        <row r="338">
          <cell r="A338">
            <v>201943969</v>
          </cell>
          <cell r="B338">
            <v>2204999</v>
          </cell>
          <cell r="C338" t="str">
            <v>Otros</v>
          </cell>
        </row>
        <row r="339">
          <cell r="A339">
            <v>201943970</v>
          </cell>
          <cell r="B339">
            <v>2205</v>
          </cell>
          <cell r="C339" t="str">
            <v>Servicios Basicos</v>
          </cell>
        </row>
        <row r="340">
          <cell r="A340">
            <v>201943971</v>
          </cell>
          <cell r="B340">
            <v>2205001</v>
          </cell>
          <cell r="C340" t="str">
            <v>Electricidad</v>
          </cell>
        </row>
        <row r="341">
          <cell r="A341">
            <v>201943972</v>
          </cell>
          <cell r="B341">
            <v>2205002</v>
          </cell>
          <cell r="C341" t="str">
            <v>Agua</v>
          </cell>
        </row>
        <row r="342">
          <cell r="A342">
            <v>201943973</v>
          </cell>
          <cell r="B342">
            <v>2205003</v>
          </cell>
          <cell r="C342" t="str">
            <v>Gas</v>
          </cell>
        </row>
        <row r="343">
          <cell r="A343">
            <v>201943974</v>
          </cell>
          <cell r="B343">
            <v>2205004</v>
          </cell>
          <cell r="C343" t="str">
            <v>Correo</v>
          </cell>
        </row>
        <row r="344">
          <cell r="A344">
            <v>201943975</v>
          </cell>
          <cell r="B344">
            <v>2205005</v>
          </cell>
          <cell r="C344" t="str">
            <v>Telefonia Fija</v>
          </cell>
        </row>
        <row r="345">
          <cell r="A345">
            <v>201943976</v>
          </cell>
          <cell r="B345">
            <v>2205006</v>
          </cell>
          <cell r="C345" t="str">
            <v>Telefonia Celular</v>
          </cell>
        </row>
        <row r="346">
          <cell r="A346">
            <v>201943977</v>
          </cell>
          <cell r="B346">
            <v>2205007</v>
          </cell>
          <cell r="C346" t="str">
            <v>Acceso a Internet</v>
          </cell>
        </row>
        <row r="347">
          <cell r="A347">
            <v>201943978</v>
          </cell>
          <cell r="B347">
            <v>2205008</v>
          </cell>
          <cell r="C347" t="str">
            <v>Enlaces de Telecomunicaciones</v>
          </cell>
        </row>
        <row r="348">
          <cell r="A348">
            <v>201943979</v>
          </cell>
          <cell r="B348">
            <v>2205999</v>
          </cell>
          <cell r="C348" t="str">
            <v>Otros</v>
          </cell>
        </row>
        <row r="349">
          <cell r="A349">
            <v>201943980</v>
          </cell>
          <cell r="B349">
            <v>2206</v>
          </cell>
          <cell r="C349" t="str">
            <v>Mantenimiento y Reparaciones</v>
          </cell>
        </row>
        <row r="350">
          <cell r="A350">
            <v>201943981</v>
          </cell>
          <cell r="B350">
            <v>2206001</v>
          </cell>
          <cell r="C350" t="str">
            <v>Mantenimiento y Reparacion de Edificaciones</v>
          </cell>
        </row>
        <row r="351">
          <cell r="A351">
            <v>201943982</v>
          </cell>
          <cell r="B351">
            <v>2206002</v>
          </cell>
          <cell r="C351" t="str">
            <v>Mantenimiento y Reparacion de Vehiculos</v>
          </cell>
        </row>
        <row r="352">
          <cell r="A352">
            <v>201943983</v>
          </cell>
          <cell r="B352">
            <v>2206003</v>
          </cell>
          <cell r="C352" t="str">
            <v>Mantenimiento y Reparacion de Mobiliarios y Otros</v>
          </cell>
        </row>
        <row r="353">
          <cell r="A353">
            <v>201943984</v>
          </cell>
          <cell r="B353">
            <v>2206004</v>
          </cell>
          <cell r="C353" t="str">
            <v>Mantenimiento y Reparacion de Maquinas y Equipos de Oficina</v>
          </cell>
        </row>
        <row r="354">
          <cell r="A354">
            <v>201943985</v>
          </cell>
          <cell r="B354">
            <v>2206005</v>
          </cell>
          <cell r="C354" t="str">
            <v>Mantenimiento y Reparaciones de Maquinarias y Equipos de Produccion</v>
          </cell>
        </row>
        <row r="355">
          <cell r="A355">
            <v>201943986</v>
          </cell>
          <cell r="B355">
            <v>2206006</v>
          </cell>
          <cell r="C355" t="str">
            <v>Mantenimiento y Reparacion de Otras Maquinarias y Equipos</v>
          </cell>
        </row>
        <row r="356">
          <cell r="A356">
            <v>201943987</v>
          </cell>
          <cell r="B356">
            <v>2206007</v>
          </cell>
          <cell r="C356" t="str">
            <v>Mantenimiento y Reparacion de Equipos Informaticos</v>
          </cell>
        </row>
        <row r="357">
          <cell r="A357">
            <v>201943988</v>
          </cell>
          <cell r="B357">
            <v>2206999</v>
          </cell>
          <cell r="C357" t="str">
            <v>Otros</v>
          </cell>
        </row>
        <row r="358">
          <cell r="A358">
            <v>201943989</v>
          </cell>
          <cell r="B358">
            <v>2207</v>
          </cell>
          <cell r="C358" t="str">
            <v>Publicidad y Difusion</v>
          </cell>
        </row>
        <row r="359">
          <cell r="A359">
            <v>201943990</v>
          </cell>
          <cell r="B359">
            <v>2207001</v>
          </cell>
          <cell r="C359" t="str">
            <v>Servicios de Publicidad</v>
          </cell>
        </row>
        <row r="360">
          <cell r="A360">
            <v>201943991</v>
          </cell>
          <cell r="B360">
            <v>2207002</v>
          </cell>
          <cell r="C360" t="str">
            <v>Servicios de Impresion</v>
          </cell>
        </row>
        <row r="361">
          <cell r="A361">
            <v>201943992</v>
          </cell>
          <cell r="B361">
            <v>2207003</v>
          </cell>
          <cell r="C361" t="str">
            <v>Servicios de Encuadernacion y Empaste</v>
          </cell>
        </row>
        <row r="362">
          <cell r="A362">
            <v>201943993</v>
          </cell>
          <cell r="B362">
            <v>2207999</v>
          </cell>
          <cell r="C362" t="str">
            <v>Otros</v>
          </cell>
        </row>
        <row r="363">
          <cell r="A363">
            <v>201943994</v>
          </cell>
          <cell r="B363">
            <v>2208</v>
          </cell>
          <cell r="C363" t="str">
            <v>Servicios Generales</v>
          </cell>
        </row>
        <row r="364">
          <cell r="A364">
            <v>201943995</v>
          </cell>
          <cell r="B364">
            <v>2208001</v>
          </cell>
          <cell r="C364" t="str">
            <v>Servicios de Aseo</v>
          </cell>
        </row>
        <row r="365">
          <cell r="A365">
            <v>201943996</v>
          </cell>
          <cell r="B365">
            <v>2208002</v>
          </cell>
          <cell r="C365" t="str">
            <v>Servicios de Vigilancia</v>
          </cell>
        </row>
        <row r="366">
          <cell r="A366">
            <v>201943997</v>
          </cell>
          <cell r="B366">
            <v>2208003</v>
          </cell>
          <cell r="C366" t="str">
            <v>Servicios de Mantencion de Jardines</v>
          </cell>
        </row>
        <row r="367">
          <cell r="A367">
            <v>201943998</v>
          </cell>
          <cell r="B367">
            <v>2208007</v>
          </cell>
          <cell r="C367" t="str">
            <v>Pasajes, Fletes y Bodegajes</v>
          </cell>
        </row>
        <row r="368">
          <cell r="A368">
            <v>201943999</v>
          </cell>
          <cell r="B368">
            <v>2208008</v>
          </cell>
          <cell r="C368" t="str">
            <v>Salas Cunas y/o Jardines Infantiles</v>
          </cell>
        </row>
        <row r="369">
          <cell r="A369">
            <v>201944000</v>
          </cell>
          <cell r="B369">
            <v>2208009</v>
          </cell>
          <cell r="C369" t="str">
            <v>Servicios de Pago y Cobranza</v>
          </cell>
        </row>
        <row r="370">
          <cell r="A370">
            <v>201944001</v>
          </cell>
          <cell r="B370">
            <v>2208010</v>
          </cell>
          <cell r="C370" t="str">
            <v>Servicios de Suscripcion y Similares</v>
          </cell>
        </row>
        <row r="371">
          <cell r="A371">
            <v>201944002</v>
          </cell>
          <cell r="B371">
            <v>2208011</v>
          </cell>
          <cell r="C371" t="str">
            <v>Servicios de Produccion y Desarrollo de Eventos</v>
          </cell>
        </row>
        <row r="372">
          <cell r="A372">
            <v>201944003</v>
          </cell>
          <cell r="B372">
            <v>2208999</v>
          </cell>
          <cell r="C372" t="str">
            <v>Otros</v>
          </cell>
        </row>
        <row r="373">
          <cell r="A373">
            <v>201944004</v>
          </cell>
          <cell r="B373">
            <v>2209</v>
          </cell>
          <cell r="C373" t="str">
            <v>Arriendos</v>
          </cell>
        </row>
        <row r="374">
          <cell r="A374">
            <v>201944005</v>
          </cell>
          <cell r="B374">
            <v>2209001</v>
          </cell>
          <cell r="C374" t="str">
            <v>Arriendo de Terrenos</v>
          </cell>
        </row>
        <row r="375">
          <cell r="A375">
            <v>201944006</v>
          </cell>
          <cell r="B375">
            <v>2209002</v>
          </cell>
          <cell r="C375" t="str">
            <v>Arriendo de Edificios</v>
          </cell>
        </row>
        <row r="376">
          <cell r="A376">
            <v>201944007</v>
          </cell>
          <cell r="B376">
            <v>2209003</v>
          </cell>
          <cell r="C376" t="str">
            <v>Arriendo de Vehiculos</v>
          </cell>
        </row>
        <row r="377">
          <cell r="A377">
            <v>201944008</v>
          </cell>
          <cell r="B377">
            <v>2209004</v>
          </cell>
          <cell r="C377" t="str">
            <v>Arriendo de Mobiliario y Otros</v>
          </cell>
        </row>
        <row r="378">
          <cell r="A378">
            <v>201944009</v>
          </cell>
          <cell r="B378">
            <v>2209005</v>
          </cell>
          <cell r="C378" t="str">
            <v>Arriendo de Maquinas y Equipos</v>
          </cell>
        </row>
        <row r="379">
          <cell r="A379">
            <v>201944010</v>
          </cell>
          <cell r="B379">
            <v>2209006</v>
          </cell>
          <cell r="C379" t="str">
            <v>Arriendo de Equipos Informaticos</v>
          </cell>
        </row>
        <row r="380">
          <cell r="A380">
            <v>201944011</v>
          </cell>
          <cell r="B380">
            <v>2209999</v>
          </cell>
          <cell r="C380" t="str">
            <v>Otros</v>
          </cell>
        </row>
        <row r="381">
          <cell r="A381">
            <v>201944012</v>
          </cell>
          <cell r="B381">
            <v>2210</v>
          </cell>
          <cell r="C381" t="str">
            <v>Servicios Financieros y de Seguros</v>
          </cell>
        </row>
        <row r="382">
          <cell r="A382">
            <v>201944013</v>
          </cell>
          <cell r="B382">
            <v>2210001</v>
          </cell>
          <cell r="C382" t="str">
            <v>Gastos Financieros por Compra y Venta de Titulos y Valores</v>
          </cell>
        </row>
        <row r="383">
          <cell r="A383">
            <v>201944014</v>
          </cell>
          <cell r="B383">
            <v>2210002</v>
          </cell>
          <cell r="C383" t="str">
            <v>Primas y Gastos de Seguros</v>
          </cell>
        </row>
        <row r="384">
          <cell r="A384">
            <v>201944015</v>
          </cell>
          <cell r="B384">
            <v>2210003</v>
          </cell>
          <cell r="C384" t="str">
            <v>Servicios de Giros y Remesas</v>
          </cell>
        </row>
        <row r="385">
          <cell r="A385">
            <v>201944016</v>
          </cell>
          <cell r="B385">
            <v>2210004</v>
          </cell>
          <cell r="C385" t="str">
            <v>Gastos Bancarios</v>
          </cell>
        </row>
        <row r="386">
          <cell r="A386">
            <v>201944017</v>
          </cell>
          <cell r="B386">
            <v>2210999</v>
          </cell>
          <cell r="C386" t="str">
            <v>Otros</v>
          </cell>
        </row>
        <row r="387">
          <cell r="A387">
            <v>201944018</v>
          </cell>
          <cell r="B387">
            <v>2211</v>
          </cell>
          <cell r="C387" t="str">
            <v>Servicios Tecnicos y Profesionales</v>
          </cell>
        </row>
        <row r="388">
          <cell r="A388">
            <v>201944019</v>
          </cell>
          <cell r="B388">
            <v>2211001</v>
          </cell>
          <cell r="C388" t="str">
            <v>Estudios e Investigaciones</v>
          </cell>
        </row>
        <row r="389">
          <cell r="A389">
            <v>201944020</v>
          </cell>
          <cell r="B389">
            <v>2211002</v>
          </cell>
          <cell r="C389" t="str">
            <v>Cursos de Capacitacion</v>
          </cell>
        </row>
        <row r="390">
          <cell r="A390">
            <v>201944021</v>
          </cell>
          <cell r="B390">
            <v>2211003</v>
          </cell>
          <cell r="C390" t="str">
            <v>Servicios Informaticos</v>
          </cell>
        </row>
        <row r="391">
          <cell r="A391">
            <v>201944022</v>
          </cell>
          <cell r="B391">
            <v>2211999</v>
          </cell>
          <cell r="C391" t="str">
            <v>Otros</v>
          </cell>
        </row>
        <row r="392">
          <cell r="A392">
            <v>201944023</v>
          </cell>
          <cell r="B392">
            <v>2212</v>
          </cell>
          <cell r="C392" t="str">
            <v>Otros Gastos en Bienes y Servicios de Consumo</v>
          </cell>
        </row>
        <row r="393">
          <cell r="A393">
            <v>201944024</v>
          </cell>
          <cell r="B393">
            <v>2212001</v>
          </cell>
          <cell r="C393" t="str">
            <v>Gastos Reservados</v>
          </cell>
        </row>
        <row r="394">
          <cell r="A394">
            <v>201944025</v>
          </cell>
          <cell r="B394">
            <v>2212002</v>
          </cell>
          <cell r="C394" t="str">
            <v>Gastos Menores</v>
          </cell>
        </row>
        <row r="395">
          <cell r="A395">
            <v>201944026</v>
          </cell>
          <cell r="B395">
            <v>2212003</v>
          </cell>
          <cell r="C395" t="str">
            <v>Gastos de Representacion, Protocolo y Ceremonial</v>
          </cell>
        </row>
        <row r="396">
          <cell r="A396">
            <v>201944027</v>
          </cell>
          <cell r="B396">
            <v>2212004</v>
          </cell>
          <cell r="C396" t="str">
            <v>Intereses, Multas y Recargos</v>
          </cell>
        </row>
        <row r="397">
          <cell r="A397">
            <v>201944028</v>
          </cell>
          <cell r="B397">
            <v>2212005</v>
          </cell>
          <cell r="C397" t="str">
            <v>Derechos y Tasas</v>
          </cell>
        </row>
        <row r="398">
          <cell r="A398">
            <v>201944029</v>
          </cell>
          <cell r="B398">
            <v>2212006</v>
          </cell>
          <cell r="C398" t="str">
            <v>Contribuciones</v>
          </cell>
        </row>
        <row r="399">
          <cell r="A399">
            <v>201944030</v>
          </cell>
          <cell r="B399">
            <v>2212999</v>
          </cell>
          <cell r="C399" t="str">
            <v>Otros</v>
          </cell>
        </row>
        <row r="400">
          <cell r="A400">
            <v>201944031</v>
          </cell>
          <cell r="B400">
            <v>2215</v>
          </cell>
          <cell r="C400" t="str">
            <v>Material Policial y Militar</v>
          </cell>
        </row>
        <row r="401">
          <cell r="A401">
            <v>201944032</v>
          </cell>
          <cell r="B401">
            <v>23</v>
          </cell>
          <cell r="C401" t="str">
            <v>PRESTACIONES DE SEGURIDAD SOCIAL</v>
          </cell>
        </row>
        <row r="402">
          <cell r="A402">
            <v>201944033</v>
          </cell>
          <cell r="B402">
            <v>2301</v>
          </cell>
          <cell r="C402" t="str">
            <v>Prestaciones Previsionales</v>
          </cell>
        </row>
        <row r="403">
          <cell r="A403">
            <v>201944034</v>
          </cell>
          <cell r="B403">
            <v>2301001</v>
          </cell>
          <cell r="C403" t="str">
            <v>Jubilaciones, Pensiones y Montepios</v>
          </cell>
        </row>
        <row r="404">
          <cell r="A404">
            <v>201944035</v>
          </cell>
          <cell r="B404">
            <v>2301002</v>
          </cell>
          <cell r="C404" t="str">
            <v>Bonificaciones</v>
          </cell>
        </row>
        <row r="405">
          <cell r="A405">
            <v>201944036</v>
          </cell>
          <cell r="B405">
            <v>2301003</v>
          </cell>
          <cell r="C405" t="str">
            <v>Bono de Reconocimiento</v>
          </cell>
        </row>
        <row r="406">
          <cell r="A406">
            <v>201944037</v>
          </cell>
          <cell r="B406">
            <v>2301004</v>
          </cell>
          <cell r="C406" t="str">
            <v>Desahucios e Indemnizaciones</v>
          </cell>
        </row>
        <row r="407">
          <cell r="A407">
            <v>201944038</v>
          </cell>
          <cell r="B407">
            <v>2301005</v>
          </cell>
          <cell r="C407" t="str">
            <v>Fondo de Seguro Social de los Empleados Publicos</v>
          </cell>
        </row>
        <row r="408">
          <cell r="A408">
            <v>201944039</v>
          </cell>
          <cell r="B408">
            <v>2301006</v>
          </cell>
          <cell r="C408" t="str">
            <v>Asignacion por Muerte</v>
          </cell>
        </row>
        <row r="409">
          <cell r="A409">
            <v>201944040</v>
          </cell>
          <cell r="B409">
            <v>2301007</v>
          </cell>
          <cell r="C409" t="str">
            <v>Seguro de Vida</v>
          </cell>
        </row>
        <row r="410">
          <cell r="A410">
            <v>201944041</v>
          </cell>
          <cell r="B410">
            <v>2301008</v>
          </cell>
          <cell r="C410" t="str">
            <v>Devolucion de Imposiciones</v>
          </cell>
        </row>
        <row r="411">
          <cell r="A411">
            <v>201944042</v>
          </cell>
          <cell r="B411">
            <v>2301009</v>
          </cell>
          <cell r="C411" t="str">
            <v>Bonificaciones de Salud</v>
          </cell>
        </row>
        <row r="412">
          <cell r="A412">
            <v>201944043</v>
          </cell>
          <cell r="B412">
            <v>2301010</v>
          </cell>
          <cell r="C412" t="str">
            <v>Subsidios de Reposo Preventivo</v>
          </cell>
        </row>
        <row r="413">
          <cell r="A413">
            <v>201944044</v>
          </cell>
          <cell r="B413">
            <v>2301011</v>
          </cell>
          <cell r="C413" t="str">
            <v>Subsidio de Enfermedad y Medicina Curativa</v>
          </cell>
        </row>
        <row r="414">
          <cell r="A414">
            <v>201944045</v>
          </cell>
          <cell r="B414">
            <v>2301012</v>
          </cell>
          <cell r="C414" t="str">
            <v>Subsidios por Accidentes del Trabajo</v>
          </cell>
        </row>
        <row r="415">
          <cell r="A415">
            <v>201944046</v>
          </cell>
          <cell r="B415">
            <v>2301013</v>
          </cell>
          <cell r="C415" t="str">
            <v>Subsidios de Reposo Maternal, Articulo 196 Codigo del Trabajo</v>
          </cell>
        </row>
        <row r="416">
          <cell r="A416">
            <v>201944047</v>
          </cell>
          <cell r="B416">
            <v>2301014</v>
          </cell>
          <cell r="C416" t="str">
            <v>Subsidio Cajas de Compensacion de Asignacion Familiar</v>
          </cell>
        </row>
        <row r="417">
          <cell r="A417">
            <v>201944048</v>
          </cell>
          <cell r="B417">
            <v>2301015</v>
          </cell>
          <cell r="C417" t="str">
            <v>Aporte Fondo de Cesantia Solidario Ley N 19.728</v>
          </cell>
        </row>
        <row r="418">
          <cell r="A418">
            <v>201944150</v>
          </cell>
          <cell r="B418">
            <v>2301016</v>
          </cell>
          <cell r="C418" t="str">
            <v>Bonificacion por Hijo para las Mujeres</v>
          </cell>
        </row>
        <row r="419">
          <cell r="A419">
            <v>201944151</v>
          </cell>
          <cell r="B419">
            <v>2301017</v>
          </cell>
          <cell r="C419" t="str">
            <v>Fondo Bono Laboral Ley N 20.305</v>
          </cell>
        </row>
        <row r="420">
          <cell r="A420">
            <v>201944152</v>
          </cell>
          <cell r="B420">
            <v>2302</v>
          </cell>
          <cell r="C420" t="str">
            <v>Prestaciones de Asistencia Social</v>
          </cell>
        </row>
        <row r="421">
          <cell r="A421">
            <v>201944153</v>
          </cell>
          <cell r="B421">
            <v>2302001</v>
          </cell>
          <cell r="C421" t="str">
            <v>Asignacion Familiar</v>
          </cell>
        </row>
        <row r="422">
          <cell r="A422">
            <v>201944154</v>
          </cell>
          <cell r="B422">
            <v>2302002</v>
          </cell>
          <cell r="C422" t="str">
            <v>Pensiones Asistenciales</v>
          </cell>
        </row>
        <row r="423">
          <cell r="A423">
            <v>201944155</v>
          </cell>
          <cell r="B423">
            <v>2302003</v>
          </cell>
          <cell r="C423" t="str">
            <v>Garantia Estatal Pensiones Minimas</v>
          </cell>
        </row>
        <row r="424">
          <cell r="A424">
            <v>201944156</v>
          </cell>
          <cell r="B424">
            <v>2302004</v>
          </cell>
          <cell r="C424" t="str">
            <v>Ayudas Economicas y Otros Pagos Preventivos</v>
          </cell>
        </row>
        <row r="425">
          <cell r="A425">
            <v>201944157</v>
          </cell>
          <cell r="B425">
            <v>2302005</v>
          </cell>
          <cell r="C425" t="str">
            <v>Subsidios de Reposo Maternal y Cuidado del Nino</v>
          </cell>
        </row>
        <row r="426">
          <cell r="A426">
            <v>201944158</v>
          </cell>
          <cell r="B426">
            <v>2302006</v>
          </cell>
          <cell r="C426" t="str">
            <v>Subsidio de Cesantia</v>
          </cell>
        </row>
        <row r="427">
          <cell r="A427">
            <v>201944159</v>
          </cell>
          <cell r="B427">
            <v>2302007</v>
          </cell>
          <cell r="C427" t="str">
            <v>Pensiones Basicas Solidarias de Vejez</v>
          </cell>
        </row>
        <row r="428">
          <cell r="A428">
            <v>201944160</v>
          </cell>
          <cell r="B428">
            <v>2302008</v>
          </cell>
          <cell r="C428" t="str">
            <v>Pensiones Basicas Solidarias de Invalidez</v>
          </cell>
        </row>
        <row r="429">
          <cell r="A429">
            <v>201944161</v>
          </cell>
          <cell r="B429">
            <v>2302009</v>
          </cell>
          <cell r="C429" t="str">
            <v>Subsidio de Discapacidad Mental</v>
          </cell>
        </row>
        <row r="430">
          <cell r="A430">
            <v>201944162</v>
          </cell>
          <cell r="B430">
            <v>2302010</v>
          </cell>
          <cell r="C430" t="str">
            <v>Bono para Conyuges que cumplan Cincuenta Anos de Matrimonio</v>
          </cell>
        </row>
        <row r="431">
          <cell r="A431">
            <v>201944163</v>
          </cell>
          <cell r="B431">
            <v>2302011</v>
          </cell>
          <cell r="C431" t="str">
            <v>Bonificacion Ley N20.531</v>
          </cell>
        </row>
        <row r="432">
          <cell r="A432">
            <v>201944164</v>
          </cell>
          <cell r="B432">
            <v>2303</v>
          </cell>
          <cell r="C432" t="str">
            <v>Prestaciones Sociales del Empleador</v>
          </cell>
        </row>
        <row r="433">
          <cell r="A433">
            <v>201944165</v>
          </cell>
          <cell r="B433">
            <v>2303001</v>
          </cell>
          <cell r="C433" t="str">
            <v>Indemnizacion de Cargo Fiscal</v>
          </cell>
        </row>
        <row r="434">
          <cell r="A434">
            <v>201944166</v>
          </cell>
          <cell r="B434">
            <v>2303002</v>
          </cell>
          <cell r="C434" t="str">
            <v>Beneficios Medicos</v>
          </cell>
        </row>
        <row r="435">
          <cell r="A435">
            <v>201944167</v>
          </cell>
          <cell r="B435">
            <v>2303003</v>
          </cell>
          <cell r="C435" t="str">
            <v>Fondo Retiro Funcionarios Publicos Ley N 19.882</v>
          </cell>
        </row>
        <row r="436">
          <cell r="A436">
            <v>201944168</v>
          </cell>
          <cell r="B436">
            <v>2303004</v>
          </cell>
          <cell r="C436" t="str">
            <v>Otras Indemnizaciones</v>
          </cell>
        </row>
        <row r="437">
          <cell r="A437">
            <v>201944169</v>
          </cell>
          <cell r="B437">
            <v>24</v>
          </cell>
          <cell r="C437" t="str">
            <v>TRANSFERENCIAS CORRIENTES</v>
          </cell>
        </row>
        <row r="438">
          <cell r="A438">
            <v>201944170</v>
          </cell>
          <cell r="B438">
            <v>2401</v>
          </cell>
          <cell r="C438" t="str">
            <v>Al Sector Privado</v>
          </cell>
        </row>
        <row r="439">
          <cell r="A439">
            <v>201944171</v>
          </cell>
          <cell r="B439">
            <v>2402</v>
          </cell>
          <cell r="C439" t="str">
            <v>Al Gobierno Central</v>
          </cell>
        </row>
        <row r="440">
          <cell r="A440">
            <v>201944663</v>
          </cell>
          <cell r="B440">
            <v>2402005</v>
          </cell>
          <cell r="C440" t="str">
            <v>A la Direccion de Bibliotecas Archivos y Museos</v>
          </cell>
        </row>
        <row r="441">
          <cell r="A441">
            <v>201944172</v>
          </cell>
          <cell r="B441">
            <v>2403</v>
          </cell>
          <cell r="C441" t="str">
            <v>A Otras Entidades Publicas</v>
          </cell>
        </row>
        <row r="442">
          <cell r="A442">
            <v>201944560</v>
          </cell>
          <cell r="B442">
            <v>2403024</v>
          </cell>
          <cell r="C442" t="str">
            <v>Capacitacion en Desarrollo Regional y Comunal</v>
          </cell>
        </row>
        <row r="443">
          <cell r="A443">
            <v>201944664</v>
          </cell>
          <cell r="B443">
            <v>2403026</v>
          </cell>
          <cell r="C443" t="str">
            <v>Programa Academia Capacitacion Municipal y Regional</v>
          </cell>
        </row>
        <row r="444">
          <cell r="A444">
            <v>201944577</v>
          </cell>
          <cell r="B444">
            <v>2403029</v>
          </cell>
          <cell r="C444" t="str">
            <v>Municipalidades</v>
          </cell>
        </row>
        <row r="445">
          <cell r="A445">
            <v>201944573</v>
          </cell>
          <cell r="B445">
            <v>2403031</v>
          </cell>
          <cell r="C445" t="str">
            <v>Programa de Apoyo a la Acreditacion de Calidad de Servicios Municipales</v>
          </cell>
        </row>
        <row r="446">
          <cell r="A446">
            <v>201944559</v>
          </cell>
          <cell r="B446">
            <v>2403032</v>
          </cell>
          <cell r="C446" t="str">
            <v>Programa de Mejoramiento de la Gestion Municipal</v>
          </cell>
        </row>
        <row r="447">
          <cell r="A447">
            <v>201944665</v>
          </cell>
          <cell r="B447">
            <v>2403112</v>
          </cell>
          <cell r="C447" t="str">
            <v>Oficina Fondo Recuperacion de Ciudades</v>
          </cell>
        </row>
        <row r="448">
          <cell r="A448">
            <v>201944653</v>
          </cell>
          <cell r="B448">
            <v>2403399</v>
          </cell>
          <cell r="C448" t="str">
            <v>Oficina Credito de Apoyo a la Gestion Subnacional</v>
          </cell>
        </row>
        <row r="449">
          <cell r="A449">
            <v>201944568</v>
          </cell>
          <cell r="B449">
            <v>2403403</v>
          </cell>
          <cell r="C449" t="str">
            <v>Municipalidades (Compensacion por Predios Exentos)</v>
          </cell>
        </row>
        <row r="450">
          <cell r="A450">
            <v>201944572</v>
          </cell>
          <cell r="B450">
            <v>2403405</v>
          </cell>
          <cell r="C450" t="str">
            <v>Oficina Credito Puesta en Valor del Patrimonio</v>
          </cell>
        </row>
        <row r="451">
          <cell r="A451">
            <v>201944173</v>
          </cell>
          <cell r="B451">
            <v>2404</v>
          </cell>
          <cell r="C451" t="str">
            <v>A Empresas Publicas no Financieras</v>
          </cell>
        </row>
        <row r="452">
          <cell r="A452">
            <v>201944174</v>
          </cell>
          <cell r="B452">
            <v>2405</v>
          </cell>
          <cell r="C452" t="str">
            <v>A Empresas Publicas Financieras</v>
          </cell>
        </row>
        <row r="453">
          <cell r="A453">
            <v>201944175</v>
          </cell>
          <cell r="B453">
            <v>2406</v>
          </cell>
          <cell r="C453" t="str">
            <v>A Gobiernos Extranjeros</v>
          </cell>
        </row>
        <row r="454">
          <cell r="A454">
            <v>201944176</v>
          </cell>
          <cell r="B454">
            <v>2407</v>
          </cell>
          <cell r="C454" t="str">
            <v>A Organismos Internacionales</v>
          </cell>
        </row>
        <row r="455">
          <cell r="A455">
            <v>201944177</v>
          </cell>
          <cell r="B455">
            <v>25</v>
          </cell>
          <cell r="C455" t="str">
            <v>INTEGROS AL FISCO</v>
          </cell>
        </row>
        <row r="456">
          <cell r="A456">
            <v>201944178</v>
          </cell>
          <cell r="B456">
            <v>2501</v>
          </cell>
          <cell r="C456" t="str">
            <v>Impuestos</v>
          </cell>
        </row>
        <row r="457">
          <cell r="A457">
            <v>201944179</v>
          </cell>
          <cell r="B457">
            <v>2502</v>
          </cell>
          <cell r="C457" t="str">
            <v>Anticipos y/o Utilidades</v>
          </cell>
        </row>
        <row r="458">
          <cell r="A458">
            <v>201944180</v>
          </cell>
          <cell r="B458">
            <v>2503</v>
          </cell>
          <cell r="C458" t="str">
            <v>Excedentes de Caja</v>
          </cell>
        </row>
        <row r="459">
          <cell r="A459">
            <v>201944181</v>
          </cell>
          <cell r="B459">
            <v>2599</v>
          </cell>
          <cell r="C459" t="str">
            <v>Otros ntegros al Fisco</v>
          </cell>
        </row>
        <row r="460">
          <cell r="A460">
            <v>201944182</v>
          </cell>
          <cell r="B460">
            <v>26</v>
          </cell>
          <cell r="C460" t="str">
            <v>OTROS GASTOS CORRIENTES</v>
          </cell>
        </row>
        <row r="461">
          <cell r="A461">
            <v>201944183</v>
          </cell>
          <cell r="B461">
            <v>2601</v>
          </cell>
          <cell r="C461" t="str">
            <v>Devoluciones</v>
          </cell>
        </row>
        <row r="462">
          <cell r="A462">
            <v>201944184</v>
          </cell>
          <cell r="B462">
            <v>2602</v>
          </cell>
          <cell r="C462" t="str">
            <v>Compensaciones por Danos a Terceros y/o a la Propiedad</v>
          </cell>
        </row>
        <row r="463">
          <cell r="A463">
            <v>201944185</v>
          </cell>
          <cell r="B463">
            <v>2603</v>
          </cell>
          <cell r="C463" t="str">
            <v>2% Constitucional</v>
          </cell>
        </row>
        <row r="464">
          <cell r="A464">
            <v>201944186</v>
          </cell>
          <cell r="B464">
            <v>2604</v>
          </cell>
          <cell r="C464" t="str">
            <v>Aplicacion Fondos de Terceros</v>
          </cell>
        </row>
        <row r="465">
          <cell r="A465">
            <v>201944187</v>
          </cell>
          <cell r="B465">
            <v>27</v>
          </cell>
          <cell r="C465" t="str">
            <v>APORTE FISCAL LIBRE</v>
          </cell>
        </row>
        <row r="466">
          <cell r="A466">
            <v>201944188</v>
          </cell>
          <cell r="B466">
            <v>28</v>
          </cell>
          <cell r="C466" t="str">
            <v>APORTE FISCAL PARA SERVICIO DE LA DEUDA</v>
          </cell>
        </row>
        <row r="467">
          <cell r="A467">
            <v>201944189</v>
          </cell>
          <cell r="B467">
            <v>29</v>
          </cell>
          <cell r="C467" t="str">
            <v>ADQUISICION DE ACTIVOS NO FINANCIEROS</v>
          </cell>
        </row>
        <row r="468">
          <cell r="A468">
            <v>201944190</v>
          </cell>
          <cell r="B468">
            <v>2901</v>
          </cell>
          <cell r="C468" t="str">
            <v>Terrenos</v>
          </cell>
        </row>
        <row r="469">
          <cell r="A469">
            <v>201944191</v>
          </cell>
          <cell r="B469">
            <v>2902</v>
          </cell>
          <cell r="C469" t="str">
            <v>Edificios</v>
          </cell>
        </row>
        <row r="470">
          <cell r="A470">
            <v>201944192</v>
          </cell>
          <cell r="B470">
            <v>2903</v>
          </cell>
          <cell r="C470" t="str">
            <v>Vehiculos</v>
          </cell>
        </row>
        <row r="471">
          <cell r="A471">
            <v>201944193</v>
          </cell>
          <cell r="B471">
            <v>2904</v>
          </cell>
          <cell r="C471" t="str">
            <v>Mobiliario y Otros</v>
          </cell>
        </row>
        <row r="472">
          <cell r="A472">
            <v>201944194</v>
          </cell>
          <cell r="B472">
            <v>2905</v>
          </cell>
          <cell r="C472" t="str">
            <v>Maquinas y Equipos</v>
          </cell>
        </row>
        <row r="473">
          <cell r="A473">
            <v>201944195</v>
          </cell>
          <cell r="B473">
            <v>2905001</v>
          </cell>
          <cell r="C473" t="str">
            <v>Maquinas y Equipos de Oficina</v>
          </cell>
        </row>
        <row r="474">
          <cell r="A474">
            <v>201944196</v>
          </cell>
          <cell r="B474">
            <v>2905002</v>
          </cell>
          <cell r="C474" t="str">
            <v>Maquinarias y Equipos para la Produccion</v>
          </cell>
        </row>
        <row r="475">
          <cell r="A475">
            <v>201944197</v>
          </cell>
          <cell r="B475">
            <v>2905999</v>
          </cell>
          <cell r="C475" t="str">
            <v>Otras</v>
          </cell>
        </row>
        <row r="476">
          <cell r="A476">
            <v>201944198</v>
          </cell>
          <cell r="B476">
            <v>2906</v>
          </cell>
          <cell r="C476" t="str">
            <v>Equipos Informaticos</v>
          </cell>
        </row>
        <row r="477">
          <cell r="A477">
            <v>201944199</v>
          </cell>
          <cell r="B477">
            <v>2906001</v>
          </cell>
          <cell r="C477" t="str">
            <v>Equipos Computacionales y Perifericos</v>
          </cell>
        </row>
        <row r="478">
          <cell r="A478">
            <v>201944441</v>
          </cell>
          <cell r="B478">
            <v>2906002</v>
          </cell>
          <cell r="C478" t="str">
            <v>Equipos de Comunicaciones para Redes Informaticas</v>
          </cell>
        </row>
        <row r="479">
          <cell r="A479">
            <v>201944442</v>
          </cell>
          <cell r="B479">
            <v>2907</v>
          </cell>
          <cell r="C479" t="str">
            <v>Programas Informaticos</v>
          </cell>
        </row>
        <row r="480">
          <cell r="A480">
            <v>201944443</v>
          </cell>
          <cell r="B480">
            <v>2907001</v>
          </cell>
          <cell r="C480" t="str">
            <v>Programas Computacionales</v>
          </cell>
        </row>
        <row r="481">
          <cell r="A481">
            <v>201944444</v>
          </cell>
          <cell r="B481">
            <v>2907002</v>
          </cell>
          <cell r="C481" t="str">
            <v>Sistemas de Informacion</v>
          </cell>
        </row>
        <row r="482">
          <cell r="A482">
            <v>201944445</v>
          </cell>
          <cell r="B482">
            <v>2999</v>
          </cell>
          <cell r="C482" t="str">
            <v>Otros Activos no Financieros</v>
          </cell>
        </row>
        <row r="483">
          <cell r="A483">
            <v>201944446</v>
          </cell>
          <cell r="B483">
            <v>30</v>
          </cell>
          <cell r="C483" t="str">
            <v>ADQUISICION DE ACTIVOS FINANCIEROS</v>
          </cell>
        </row>
        <row r="484">
          <cell r="A484">
            <v>201944447</v>
          </cell>
          <cell r="B484">
            <v>3001</v>
          </cell>
          <cell r="C484" t="str">
            <v>Compra de Titulos y Valores</v>
          </cell>
        </row>
        <row r="485">
          <cell r="A485">
            <v>201944448</v>
          </cell>
          <cell r="B485">
            <v>3001001</v>
          </cell>
          <cell r="C485" t="str">
            <v>Depositos a Plazo</v>
          </cell>
        </row>
        <row r="486">
          <cell r="A486">
            <v>201944449</v>
          </cell>
          <cell r="B486">
            <v>3001002</v>
          </cell>
          <cell r="C486" t="str">
            <v>Pactos de Retrocompra</v>
          </cell>
        </row>
        <row r="487">
          <cell r="A487">
            <v>201944450</v>
          </cell>
          <cell r="B487">
            <v>3001003</v>
          </cell>
          <cell r="C487" t="str">
            <v>Cuotas de Fondos Mutuos</v>
          </cell>
        </row>
        <row r="488">
          <cell r="A488">
            <v>201944451</v>
          </cell>
          <cell r="B488">
            <v>3001004</v>
          </cell>
          <cell r="C488" t="str">
            <v>Bonos o Pagares</v>
          </cell>
        </row>
        <row r="489">
          <cell r="A489">
            <v>201944452</v>
          </cell>
          <cell r="B489">
            <v>3001005</v>
          </cell>
          <cell r="C489" t="str">
            <v>Letras Hipotecarias</v>
          </cell>
        </row>
        <row r="490">
          <cell r="A490">
            <v>201944453</v>
          </cell>
          <cell r="B490">
            <v>3001999</v>
          </cell>
          <cell r="C490" t="str">
            <v>Otros</v>
          </cell>
        </row>
        <row r="491">
          <cell r="A491">
            <v>201944454</v>
          </cell>
          <cell r="B491">
            <v>3002</v>
          </cell>
          <cell r="C491" t="str">
            <v>Compra de Acciones y Participaciones de Capital</v>
          </cell>
        </row>
        <row r="492">
          <cell r="A492">
            <v>201944455</v>
          </cell>
          <cell r="B492">
            <v>3003</v>
          </cell>
          <cell r="C492" t="str">
            <v>Operaciones de Cambio</v>
          </cell>
        </row>
        <row r="493">
          <cell r="A493">
            <v>201944456</v>
          </cell>
          <cell r="B493">
            <v>3099</v>
          </cell>
          <cell r="C493" t="str">
            <v>Otros Activos Financieros</v>
          </cell>
        </row>
        <row r="494">
          <cell r="A494">
            <v>201944457</v>
          </cell>
          <cell r="B494">
            <v>31</v>
          </cell>
          <cell r="C494" t="str">
            <v>INICIATIVAS DE INVERSION</v>
          </cell>
        </row>
        <row r="495">
          <cell r="A495">
            <v>201944458</v>
          </cell>
          <cell r="B495">
            <v>3101</v>
          </cell>
          <cell r="C495" t="str">
            <v>Estudios Basicos</v>
          </cell>
        </row>
        <row r="496">
          <cell r="A496">
            <v>201944459</v>
          </cell>
          <cell r="B496">
            <v>3101001</v>
          </cell>
          <cell r="C496" t="str">
            <v>Gastos Administrativos</v>
          </cell>
        </row>
        <row r="497">
          <cell r="A497">
            <v>201944460</v>
          </cell>
          <cell r="B497">
            <v>3101002</v>
          </cell>
          <cell r="C497" t="str">
            <v>Consultorias</v>
          </cell>
        </row>
        <row r="498">
          <cell r="A498">
            <v>201944461</v>
          </cell>
          <cell r="B498">
            <v>3102</v>
          </cell>
          <cell r="C498" t="str">
            <v>Proyectos</v>
          </cell>
        </row>
        <row r="499">
          <cell r="A499">
            <v>201944462</v>
          </cell>
          <cell r="B499">
            <v>3102001</v>
          </cell>
          <cell r="C499" t="str">
            <v>Gastos Administrativos</v>
          </cell>
        </row>
        <row r="500">
          <cell r="A500">
            <v>201944463</v>
          </cell>
          <cell r="B500">
            <v>3102002</v>
          </cell>
          <cell r="C500" t="str">
            <v>Consultorias</v>
          </cell>
        </row>
        <row r="501">
          <cell r="A501">
            <v>201944464</v>
          </cell>
          <cell r="B501">
            <v>3102003</v>
          </cell>
          <cell r="C501" t="str">
            <v>Terrenos</v>
          </cell>
        </row>
        <row r="502">
          <cell r="A502">
            <v>201944465</v>
          </cell>
          <cell r="B502">
            <v>3102004</v>
          </cell>
          <cell r="C502" t="str">
            <v>Obras Civiles</v>
          </cell>
        </row>
        <row r="503">
          <cell r="A503">
            <v>201944466</v>
          </cell>
          <cell r="B503">
            <v>3102005</v>
          </cell>
          <cell r="C503" t="str">
            <v>Equipamiento</v>
          </cell>
        </row>
        <row r="504">
          <cell r="A504">
            <v>201944467</v>
          </cell>
          <cell r="B504">
            <v>3102006</v>
          </cell>
          <cell r="C504" t="str">
            <v>Equipos</v>
          </cell>
        </row>
        <row r="505">
          <cell r="A505">
            <v>201944468</v>
          </cell>
          <cell r="B505">
            <v>3102007</v>
          </cell>
          <cell r="C505" t="str">
            <v>Vehiculos</v>
          </cell>
        </row>
        <row r="506">
          <cell r="A506">
            <v>201944469</v>
          </cell>
          <cell r="B506">
            <v>3102999</v>
          </cell>
          <cell r="C506" t="str">
            <v>Otros Gastos</v>
          </cell>
        </row>
        <row r="507">
          <cell r="A507">
            <v>201944470</v>
          </cell>
          <cell r="B507">
            <v>3103</v>
          </cell>
          <cell r="C507" t="str">
            <v>Programas de Inversion</v>
          </cell>
        </row>
        <row r="508">
          <cell r="A508">
            <v>201944471</v>
          </cell>
          <cell r="B508">
            <v>3103001</v>
          </cell>
          <cell r="C508" t="str">
            <v>Gastos Administrativos</v>
          </cell>
        </row>
        <row r="509">
          <cell r="A509">
            <v>201944472</v>
          </cell>
          <cell r="B509">
            <v>3103002</v>
          </cell>
          <cell r="C509" t="str">
            <v>Consultorias</v>
          </cell>
        </row>
        <row r="510">
          <cell r="A510">
            <v>201944473</v>
          </cell>
          <cell r="B510">
            <v>3103003</v>
          </cell>
          <cell r="C510" t="str">
            <v>Contratacion del Programa</v>
          </cell>
        </row>
        <row r="511">
          <cell r="A511">
            <v>201944474</v>
          </cell>
          <cell r="B511">
            <v>32</v>
          </cell>
          <cell r="C511" t="str">
            <v>PRESTAMOS</v>
          </cell>
        </row>
        <row r="512">
          <cell r="A512">
            <v>201944475</v>
          </cell>
          <cell r="B512">
            <v>3201</v>
          </cell>
          <cell r="C512" t="str">
            <v>De Asistencia Social</v>
          </cell>
        </row>
        <row r="513">
          <cell r="A513">
            <v>201944476</v>
          </cell>
          <cell r="B513">
            <v>3202</v>
          </cell>
          <cell r="C513" t="str">
            <v>Hipotecarios</v>
          </cell>
        </row>
        <row r="514">
          <cell r="A514">
            <v>201944477</v>
          </cell>
          <cell r="B514">
            <v>3203</v>
          </cell>
          <cell r="C514" t="str">
            <v>Pignoraticios</v>
          </cell>
        </row>
        <row r="515">
          <cell r="A515">
            <v>201944478</v>
          </cell>
          <cell r="B515">
            <v>3204</v>
          </cell>
          <cell r="C515" t="str">
            <v>De Fomento</v>
          </cell>
        </row>
        <row r="516">
          <cell r="A516">
            <v>201944667</v>
          </cell>
          <cell r="B516">
            <v>3204002</v>
          </cell>
          <cell r="C516" t="str">
            <v>Municipalidades</v>
          </cell>
        </row>
        <row r="517">
          <cell r="A517">
            <v>201944479</v>
          </cell>
          <cell r="B517">
            <v>3205</v>
          </cell>
          <cell r="C517" t="str">
            <v>Medicos</v>
          </cell>
        </row>
        <row r="518">
          <cell r="A518">
            <v>201944480</v>
          </cell>
          <cell r="B518">
            <v>3206</v>
          </cell>
          <cell r="C518" t="str">
            <v>Por Anticipos a Contratistas</v>
          </cell>
        </row>
        <row r="519">
          <cell r="A519">
            <v>201944481</v>
          </cell>
          <cell r="B519">
            <v>3207</v>
          </cell>
          <cell r="C519" t="str">
            <v>Por Anticipos por Cambio de Residencia</v>
          </cell>
        </row>
        <row r="520">
          <cell r="A520">
            <v>201944482</v>
          </cell>
          <cell r="B520">
            <v>3209</v>
          </cell>
          <cell r="C520" t="str">
            <v>Por Ventas a Plazo</v>
          </cell>
        </row>
        <row r="521">
          <cell r="A521">
            <v>201944483</v>
          </cell>
          <cell r="B521">
            <v>33</v>
          </cell>
          <cell r="C521" t="str">
            <v>TRANSFERENCIAS DE CAPITAL</v>
          </cell>
        </row>
        <row r="522">
          <cell r="A522">
            <v>201944484</v>
          </cell>
          <cell r="B522">
            <v>3301</v>
          </cell>
          <cell r="C522" t="str">
            <v>Al Sector Privado</v>
          </cell>
        </row>
        <row r="523">
          <cell r="A523">
            <v>201944485</v>
          </cell>
          <cell r="B523">
            <v>3302</v>
          </cell>
          <cell r="C523" t="str">
            <v>Al Gobierno Central</v>
          </cell>
        </row>
        <row r="524">
          <cell r="A524">
            <v>201944578</v>
          </cell>
          <cell r="B524">
            <v>3302001</v>
          </cell>
          <cell r="C524" t="str">
            <v>Programa Inversion Regional Region I</v>
          </cell>
        </row>
        <row r="525">
          <cell r="A525">
            <v>201944579</v>
          </cell>
          <cell r="B525">
            <v>3302002</v>
          </cell>
          <cell r="C525" t="str">
            <v>Programa Inversion Regional Region II</v>
          </cell>
        </row>
        <row r="526">
          <cell r="A526">
            <v>201944580</v>
          </cell>
          <cell r="B526">
            <v>3302003</v>
          </cell>
          <cell r="C526" t="str">
            <v>Programa Inversion Regional Region III</v>
          </cell>
        </row>
        <row r="527">
          <cell r="A527">
            <v>201944581</v>
          </cell>
          <cell r="B527">
            <v>3302004</v>
          </cell>
          <cell r="C527" t="str">
            <v>Programa Inversion Regional Region IV</v>
          </cell>
        </row>
        <row r="528">
          <cell r="A528">
            <v>201944582</v>
          </cell>
          <cell r="B528">
            <v>3302005</v>
          </cell>
          <cell r="C528" t="str">
            <v>Programa Inversion Regional Region V</v>
          </cell>
        </row>
        <row r="529">
          <cell r="A529">
            <v>201944583</v>
          </cell>
          <cell r="B529">
            <v>3302006</v>
          </cell>
          <cell r="C529" t="str">
            <v>Programa Inversion Regional Region VI</v>
          </cell>
        </row>
        <row r="530">
          <cell r="A530">
            <v>201944584</v>
          </cell>
          <cell r="B530">
            <v>3302007</v>
          </cell>
          <cell r="C530" t="str">
            <v>Programa Inversion Regional Region VII</v>
          </cell>
        </row>
        <row r="531">
          <cell r="A531">
            <v>201944585</v>
          </cell>
          <cell r="B531">
            <v>3302008</v>
          </cell>
          <cell r="C531" t="str">
            <v>Programa Inversion Regional Region VIII</v>
          </cell>
        </row>
        <row r="532">
          <cell r="A532">
            <v>201944586</v>
          </cell>
          <cell r="B532">
            <v>3302009</v>
          </cell>
          <cell r="C532" t="str">
            <v>Programa Inversion Regional Region IX</v>
          </cell>
        </row>
        <row r="533">
          <cell r="A533">
            <v>201944587</v>
          </cell>
          <cell r="B533">
            <v>3302010</v>
          </cell>
          <cell r="C533" t="str">
            <v>Programa Inversion Regional Region X</v>
          </cell>
        </row>
        <row r="534">
          <cell r="A534">
            <v>201944658</v>
          </cell>
          <cell r="B534">
            <v>3302011</v>
          </cell>
          <cell r="C534" t="str">
            <v>Programa Inversion Regional Region XI</v>
          </cell>
        </row>
        <row r="535">
          <cell r="A535">
            <v>201944588</v>
          </cell>
          <cell r="B535">
            <v>3302012</v>
          </cell>
          <cell r="C535" t="str">
            <v>Programa Inversion Regional Region XII</v>
          </cell>
        </row>
        <row r="536">
          <cell r="A536">
            <v>201944642</v>
          </cell>
          <cell r="B536">
            <v>3302013</v>
          </cell>
          <cell r="C536" t="str">
            <v>Programa Inversion Regional Region Metropolitana</v>
          </cell>
        </row>
        <row r="537">
          <cell r="A537">
            <v>201944656</v>
          </cell>
          <cell r="B537">
            <v>3302014</v>
          </cell>
          <cell r="C537" t="str">
            <v>Programa Inversion Regional Region XIV</v>
          </cell>
        </row>
        <row r="538">
          <cell r="A538">
            <v>201944657</v>
          </cell>
          <cell r="B538">
            <v>3302015</v>
          </cell>
          <cell r="C538" t="str">
            <v>Programa Inversion Regional Region XV</v>
          </cell>
        </row>
        <row r="539">
          <cell r="A539">
            <v>201946403</v>
          </cell>
          <cell r="B539">
            <v>3302016</v>
          </cell>
          <cell r="C539" t="str">
            <v>Al Consejo Nacional De La Cultura Y Las Artes</v>
          </cell>
        </row>
        <row r="540">
          <cell r="A540">
            <v>201944486</v>
          </cell>
          <cell r="B540">
            <v>3303</v>
          </cell>
          <cell r="C540" t="str">
            <v>A Otras Entidades Publicas</v>
          </cell>
        </row>
        <row r="541">
          <cell r="A541">
            <v>201944643</v>
          </cell>
          <cell r="B541">
            <v>3303001</v>
          </cell>
          <cell r="C541" t="str">
            <v>Provision Fondo Nacional de Desarrollo Regional</v>
          </cell>
        </row>
        <row r="542">
          <cell r="A542">
            <v>201944644</v>
          </cell>
          <cell r="B542">
            <v>3303003</v>
          </cell>
          <cell r="C542" t="str">
            <v>Provision Infraestructura Educacional</v>
          </cell>
        </row>
        <row r="543">
          <cell r="A543">
            <v>201944645</v>
          </cell>
          <cell r="B543">
            <v>3303005</v>
          </cell>
          <cell r="C543" t="str">
            <v>Municipalidades (Programa Mejoramiento Urbano y Equipamiento Comunal)</v>
          </cell>
        </row>
        <row r="544">
          <cell r="A544">
            <v>201944650</v>
          </cell>
          <cell r="B544">
            <v>3303005001</v>
          </cell>
          <cell r="C544" t="str">
            <v>Emergencia</v>
          </cell>
        </row>
        <row r="545">
          <cell r="A545">
            <v>201944651</v>
          </cell>
          <cell r="B545">
            <v>3303005002</v>
          </cell>
          <cell r="C545" t="str">
            <v>Tradicional</v>
          </cell>
        </row>
        <row r="546">
          <cell r="A546">
            <v>201944652</v>
          </cell>
          <cell r="B546">
            <v>3303005003</v>
          </cell>
          <cell r="C546" t="str">
            <v>Emergencia FIE</v>
          </cell>
        </row>
        <row r="547">
          <cell r="A547">
            <v>201944646</v>
          </cell>
          <cell r="B547">
            <v>3303006</v>
          </cell>
          <cell r="C547" t="str">
            <v>Municipalidades (Programa Mejoramiento de Barrios)</v>
          </cell>
        </row>
        <row r="548">
          <cell r="A548">
            <v>201944571</v>
          </cell>
          <cell r="B548">
            <v>3303016</v>
          </cell>
          <cell r="C548" t="str">
            <v>Municipalidades - Sistema Informacion Financiera Municipal</v>
          </cell>
        </row>
        <row r="549">
          <cell r="A549">
            <v>201944647</v>
          </cell>
          <cell r="B549">
            <v>3303017</v>
          </cell>
          <cell r="C549" t="str">
            <v>Provision Programa Infraestructura Rural</v>
          </cell>
        </row>
        <row r="550">
          <cell r="A550">
            <v>201944659</v>
          </cell>
          <cell r="B550">
            <v>3303021</v>
          </cell>
          <cell r="C550" t="str">
            <v>Provision Puesta en Valor del Patrimonio</v>
          </cell>
        </row>
        <row r="551">
          <cell r="A551">
            <v>201944654</v>
          </cell>
          <cell r="B551">
            <v>3303024</v>
          </cell>
          <cell r="C551" t="str">
            <v>Provision Programa Fondo de Innovacion para la Competitividad</v>
          </cell>
        </row>
        <row r="552">
          <cell r="A552">
            <v>201944655</v>
          </cell>
          <cell r="B552">
            <v>3303025</v>
          </cell>
          <cell r="C552" t="str">
            <v>Provision de Apoyo a la Gestion Subnacional</v>
          </cell>
        </row>
        <row r="553">
          <cell r="A553">
            <v>201944565</v>
          </cell>
          <cell r="B553">
            <v>3303100</v>
          </cell>
          <cell r="C553" t="str">
            <v>Municipalidades (Fondo Recuperacion de Ciudades)</v>
          </cell>
        </row>
        <row r="554">
          <cell r="A554">
            <v>201944666</v>
          </cell>
          <cell r="B554">
            <v>3303110</v>
          </cell>
          <cell r="C554" t="str">
            <v>Municipalidades (Fondo de Incentivo al Mejoramiento de la Gestion Municipal)</v>
          </cell>
        </row>
        <row r="555">
          <cell r="A555">
            <v>201944648</v>
          </cell>
          <cell r="B555">
            <v>3303130</v>
          </cell>
          <cell r="C555" t="str">
            <v>Provision Programa Saneamiento Sanitario</v>
          </cell>
        </row>
        <row r="556">
          <cell r="A556">
            <v>201944649</v>
          </cell>
          <cell r="B556">
            <v>3303190</v>
          </cell>
          <cell r="C556" t="str">
            <v>Provision Programa Residuos Solidos</v>
          </cell>
        </row>
        <row r="557">
          <cell r="A557">
            <v>201944660</v>
          </cell>
          <cell r="B557">
            <v>3303418</v>
          </cell>
          <cell r="C557" t="str">
            <v>Provision Ley N 20.378 - Fondo de Apoyo Regional (FAR)</v>
          </cell>
        </row>
        <row r="558">
          <cell r="A558">
            <v>201944564</v>
          </cell>
          <cell r="B558">
            <v>3303421</v>
          </cell>
          <cell r="C558" t="str">
            <v>Provision Incorporacion Mayores Ingresos Propios</v>
          </cell>
        </row>
        <row r="559">
          <cell r="A559">
            <v>201944563</v>
          </cell>
          <cell r="B559">
            <v>3303423</v>
          </cell>
          <cell r="C559" t="str">
            <v>Provision Recuperacion Infraestructura Local Zona Centro Sur</v>
          </cell>
        </row>
        <row r="560">
          <cell r="A560">
            <v>201944562</v>
          </cell>
          <cell r="B560">
            <v>3303426</v>
          </cell>
          <cell r="C560" t="str">
            <v>Provision Energizacion</v>
          </cell>
        </row>
        <row r="561">
          <cell r="A561">
            <v>201944487</v>
          </cell>
          <cell r="B561">
            <v>3304</v>
          </cell>
          <cell r="C561" t="str">
            <v>A Empresas Publicas no Financieras</v>
          </cell>
        </row>
        <row r="562">
          <cell r="A562">
            <v>201944488</v>
          </cell>
          <cell r="B562">
            <v>3305</v>
          </cell>
          <cell r="C562" t="str">
            <v>A Empresas Publicas Financieras</v>
          </cell>
        </row>
        <row r="563">
          <cell r="A563">
            <v>201944489</v>
          </cell>
          <cell r="B563">
            <v>3306</v>
          </cell>
          <cell r="C563" t="str">
            <v>A Gobiernos Extranjeros</v>
          </cell>
        </row>
        <row r="564">
          <cell r="A564">
            <v>201944490</v>
          </cell>
          <cell r="B564">
            <v>3307</v>
          </cell>
          <cell r="C564" t="str">
            <v>A Organismos Internacionales</v>
          </cell>
        </row>
        <row r="565">
          <cell r="A565">
            <v>201944491</v>
          </cell>
          <cell r="B565">
            <v>34</v>
          </cell>
          <cell r="C565" t="str">
            <v>SERVICIO DE LA DEUDA</v>
          </cell>
        </row>
        <row r="566">
          <cell r="A566">
            <v>201944492</v>
          </cell>
          <cell r="B566">
            <v>3401</v>
          </cell>
          <cell r="C566" t="str">
            <v>Amortizacion Deuda Interna</v>
          </cell>
        </row>
        <row r="567">
          <cell r="A567">
            <v>201944589</v>
          </cell>
          <cell r="B567">
            <v>3401001</v>
          </cell>
          <cell r="C567" t="str">
            <v>Rescate de Valores</v>
          </cell>
        </row>
        <row r="568">
          <cell r="A568">
            <v>201944590</v>
          </cell>
          <cell r="B568">
            <v>3401002</v>
          </cell>
          <cell r="C568" t="str">
            <v>Emprestitos</v>
          </cell>
        </row>
        <row r="569">
          <cell r="A569">
            <v>201944591</v>
          </cell>
          <cell r="B569">
            <v>3401003</v>
          </cell>
          <cell r="C569" t="str">
            <v>Creditos de Proveedores</v>
          </cell>
        </row>
        <row r="570">
          <cell r="A570">
            <v>201944592</v>
          </cell>
          <cell r="B570">
            <v>3402</v>
          </cell>
          <cell r="C570" t="str">
            <v>Amortizacion Deuda Externa</v>
          </cell>
        </row>
        <row r="571">
          <cell r="A571">
            <v>201944593</v>
          </cell>
          <cell r="B571">
            <v>3402001</v>
          </cell>
          <cell r="C571" t="str">
            <v>Rescate de Valores</v>
          </cell>
        </row>
        <row r="572">
          <cell r="A572">
            <v>201944594</v>
          </cell>
          <cell r="B572">
            <v>3402002</v>
          </cell>
          <cell r="C572" t="str">
            <v>Emprestitos</v>
          </cell>
        </row>
        <row r="573">
          <cell r="A573">
            <v>201944595</v>
          </cell>
          <cell r="B573">
            <v>3402003</v>
          </cell>
          <cell r="C573" t="str">
            <v>Creditos de Proveedores</v>
          </cell>
        </row>
        <row r="574">
          <cell r="A574">
            <v>201944596</v>
          </cell>
          <cell r="B574">
            <v>3403</v>
          </cell>
          <cell r="C574" t="str">
            <v>Intereses Deuda Interna</v>
          </cell>
        </row>
        <row r="575">
          <cell r="A575">
            <v>201944597</v>
          </cell>
          <cell r="B575">
            <v>3403001</v>
          </cell>
          <cell r="C575" t="str">
            <v>Por Emision de Valores</v>
          </cell>
        </row>
        <row r="576">
          <cell r="A576">
            <v>201944598</v>
          </cell>
          <cell r="B576">
            <v>3403002</v>
          </cell>
          <cell r="C576" t="str">
            <v>Emprestitos</v>
          </cell>
        </row>
        <row r="577">
          <cell r="A577">
            <v>201944599</v>
          </cell>
          <cell r="B577">
            <v>3403003</v>
          </cell>
          <cell r="C577" t="str">
            <v>Creditos de Proveedores</v>
          </cell>
        </row>
        <row r="578">
          <cell r="A578">
            <v>201944600</v>
          </cell>
          <cell r="B578">
            <v>3404</v>
          </cell>
          <cell r="C578" t="str">
            <v>Intereses Deuda Externa</v>
          </cell>
        </row>
        <row r="579">
          <cell r="A579">
            <v>201944601</v>
          </cell>
          <cell r="B579">
            <v>3404001</v>
          </cell>
          <cell r="C579" t="str">
            <v>Por Emision de Valores</v>
          </cell>
        </row>
        <row r="580">
          <cell r="A580">
            <v>201944602</v>
          </cell>
          <cell r="B580">
            <v>3404002</v>
          </cell>
          <cell r="C580" t="str">
            <v>Emprestitos</v>
          </cell>
        </row>
        <row r="581">
          <cell r="A581">
            <v>201944661</v>
          </cell>
          <cell r="B581">
            <v>3404002001</v>
          </cell>
          <cell r="C581" t="str">
            <v>Intereses Deuda Publica</v>
          </cell>
        </row>
        <row r="582">
          <cell r="A582">
            <v>201944662</v>
          </cell>
          <cell r="B582">
            <v>3404002002</v>
          </cell>
          <cell r="C582" t="str">
            <v>Comisiones Deuda Publica</v>
          </cell>
        </row>
        <row r="583">
          <cell r="A583">
            <v>201944603</v>
          </cell>
          <cell r="B583">
            <v>3404003</v>
          </cell>
          <cell r="C583" t="str">
            <v>Creditos de Proveedores</v>
          </cell>
        </row>
        <row r="584">
          <cell r="A584">
            <v>201944604</v>
          </cell>
          <cell r="B584">
            <v>3405</v>
          </cell>
          <cell r="C584" t="str">
            <v>Otros Gastos Financieros Deuda Interna</v>
          </cell>
        </row>
        <row r="585">
          <cell r="A585">
            <v>201944605</v>
          </cell>
          <cell r="B585">
            <v>3405001</v>
          </cell>
          <cell r="C585" t="str">
            <v>Por Emision de Valores</v>
          </cell>
        </row>
        <row r="586">
          <cell r="A586">
            <v>201944606</v>
          </cell>
          <cell r="B586">
            <v>3405002</v>
          </cell>
          <cell r="C586" t="str">
            <v>Emprestitos</v>
          </cell>
        </row>
        <row r="587">
          <cell r="A587">
            <v>201944607</v>
          </cell>
          <cell r="B587">
            <v>3405003</v>
          </cell>
          <cell r="C587" t="str">
            <v>Creditos de Proveedores</v>
          </cell>
        </row>
        <row r="588">
          <cell r="A588">
            <v>201944608</v>
          </cell>
          <cell r="B588">
            <v>3406</v>
          </cell>
          <cell r="C588" t="str">
            <v>Otros Gastos Financieros Deuda Externa</v>
          </cell>
        </row>
        <row r="589">
          <cell r="A589">
            <v>201944609</v>
          </cell>
          <cell r="B589">
            <v>3406001</v>
          </cell>
          <cell r="C589" t="str">
            <v>Por Emision de Valores</v>
          </cell>
        </row>
        <row r="590">
          <cell r="A590">
            <v>201944610</v>
          </cell>
          <cell r="B590">
            <v>3406002</v>
          </cell>
          <cell r="C590" t="str">
            <v>Emprestitos</v>
          </cell>
        </row>
        <row r="591">
          <cell r="A591">
            <v>201944611</v>
          </cell>
          <cell r="B591">
            <v>3406003</v>
          </cell>
          <cell r="C591" t="str">
            <v>Creditos de Proveedores</v>
          </cell>
        </row>
        <row r="592">
          <cell r="A592">
            <v>201944612</v>
          </cell>
          <cell r="B592">
            <v>3407</v>
          </cell>
          <cell r="C592" t="str">
            <v>Deuda Flotante</v>
          </cell>
        </row>
        <row r="593">
          <cell r="A593">
            <v>201944613</v>
          </cell>
          <cell r="B593">
            <v>35</v>
          </cell>
          <cell r="C593" t="str">
            <v>SALDO FINAL DE CAJA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6 (2)"/>
      <sheetName val="Hoja6"/>
      <sheetName val="Analisis 21"/>
      <sheetName val="Compromisos Arrastre 2015"/>
      <sheetName val="Informatica"/>
      <sheetName val="Modificacion Sifim"/>
      <sheetName val="Academia 26"/>
      <sheetName val="Municipalidades 029"/>
      <sheetName val="Acreditación 031"/>
      <sheetName val="Mejoramiento 032"/>
      <sheetName val="Sifim 016"/>
      <sheetName val="Clasificador Presupuesta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201947082</v>
          </cell>
          <cell r="B66">
            <v>502112</v>
          </cell>
          <cell r="C66" t="str">
            <v>Subsecretaria de Desarrollo Regional y Administrativo - Programa 05</v>
          </cell>
        </row>
        <row r="67">
          <cell r="A67">
            <v>201947142</v>
          </cell>
          <cell r="B67">
            <v>502113</v>
          </cell>
          <cell r="C67" t="str">
            <v>Subsecretaria de Desarrollo Regional y Administrativo - Programa 03</v>
          </cell>
        </row>
        <row r="68">
          <cell r="A68">
            <v>201944543</v>
          </cell>
          <cell r="B68">
            <v>503</v>
          </cell>
          <cell r="C68" t="str">
            <v>De Otras Entidades Publicas</v>
          </cell>
        </row>
        <row r="69">
          <cell r="A69">
            <v>201944544</v>
          </cell>
          <cell r="B69">
            <v>504</v>
          </cell>
          <cell r="C69" t="str">
            <v>De Empresas Publicas no Financieras</v>
          </cell>
        </row>
        <row r="70">
          <cell r="A70">
            <v>201944545</v>
          </cell>
          <cell r="B70">
            <v>505</v>
          </cell>
          <cell r="C70" t="str">
            <v>De Empresas Publicas Financieras</v>
          </cell>
        </row>
        <row r="71">
          <cell r="A71">
            <v>201944546</v>
          </cell>
          <cell r="B71">
            <v>506</v>
          </cell>
          <cell r="C71" t="str">
            <v>De Gobiernos Extranjeros</v>
          </cell>
        </row>
        <row r="72">
          <cell r="A72">
            <v>201944547</v>
          </cell>
          <cell r="B72">
            <v>507</v>
          </cell>
          <cell r="C72" t="str">
            <v>De Organismos Internacionales</v>
          </cell>
        </row>
        <row r="73">
          <cell r="A73">
            <v>201944548</v>
          </cell>
          <cell r="B73">
            <v>6</v>
          </cell>
          <cell r="C73" t="str">
            <v>RENTAS DE LA PROPIEDAD</v>
          </cell>
        </row>
        <row r="74">
          <cell r="A74">
            <v>201944549</v>
          </cell>
          <cell r="B74">
            <v>601</v>
          </cell>
          <cell r="C74" t="str">
            <v>Arriendo de Activos No Financieros</v>
          </cell>
        </row>
        <row r="75">
          <cell r="A75">
            <v>201944550</v>
          </cell>
          <cell r="B75">
            <v>602</v>
          </cell>
          <cell r="C75" t="str">
            <v>Dividendos</v>
          </cell>
        </row>
        <row r="76">
          <cell r="A76">
            <v>201944551</v>
          </cell>
          <cell r="B76">
            <v>603</v>
          </cell>
          <cell r="C76" t="str">
            <v>Intereses</v>
          </cell>
        </row>
        <row r="77">
          <cell r="A77">
            <v>201944552</v>
          </cell>
          <cell r="B77">
            <v>604</v>
          </cell>
          <cell r="C77" t="str">
            <v>Participacion de Utilidades</v>
          </cell>
        </row>
        <row r="78">
          <cell r="A78">
            <v>201944553</v>
          </cell>
          <cell r="B78">
            <v>699</v>
          </cell>
          <cell r="C78" t="str">
            <v>Otras Rentas de la Propiedad</v>
          </cell>
        </row>
        <row r="79">
          <cell r="A79">
            <v>201944554</v>
          </cell>
          <cell r="B79">
            <v>7</v>
          </cell>
          <cell r="C79" t="str">
            <v>INGRESOS DE OPERACIN</v>
          </cell>
        </row>
        <row r="80">
          <cell r="A80">
            <v>201944555</v>
          </cell>
          <cell r="B80">
            <v>701</v>
          </cell>
          <cell r="C80" t="str">
            <v>Venta de Bienes</v>
          </cell>
        </row>
        <row r="81">
          <cell r="A81">
            <v>201944556</v>
          </cell>
          <cell r="B81">
            <v>702</v>
          </cell>
          <cell r="C81" t="str">
            <v>Venta de Servicios</v>
          </cell>
        </row>
        <row r="82">
          <cell r="A82">
            <v>201944557</v>
          </cell>
          <cell r="B82">
            <v>8</v>
          </cell>
          <cell r="C82" t="str">
            <v>OTROS INGRESOS CORRIENTES</v>
          </cell>
        </row>
        <row r="83">
          <cell r="A83">
            <v>201944558</v>
          </cell>
          <cell r="B83">
            <v>801</v>
          </cell>
          <cell r="C83" t="str">
            <v>Recuperaciones y Reembolsos por Licencias Medicas</v>
          </cell>
        </row>
        <row r="84">
          <cell r="A84">
            <v>201943631</v>
          </cell>
          <cell r="B84">
            <v>801001</v>
          </cell>
          <cell r="C84" t="str">
            <v>Reembolsos Art. 4 Ley N 19.345 y Ley N 19.117 Art. nico</v>
          </cell>
        </row>
        <row r="85">
          <cell r="A85">
            <v>201943632</v>
          </cell>
          <cell r="B85">
            <v>801002</v>
          </cell>
          <cell r="C85" t="str">
            <v>Recuperaciones Art. 12 Ley N 18.196 y Ley N 19.117 Art. nico</v>
          </cell>
        </row>
        <row r="86">
          <cell r="A86">
            <v>201943633</v>
          </cell>
          <cell r="B86">
            <v>802</v>
          </cell>
          <cell r="C86" t="str">
            <v>Multas y Sanciones Pecuniarias</v>
          </cell>
        </row>
        <row r="87">
          <cell r="A87">
            <v>201943634</v>
          </cell>
          <cell r="B87">
            <v>804</v>
          </cell>
          <cell r="C87" t="str">
            <v>Fondos de Terceros</v>
          </cell>
        </row>
        <row r="88">
          <cell r="A88">
            <v>201943635</v>
          </cell>
          <cell r="B88">
            <v>899</v>
          </cell>
          <cell r="C88" t="str">
            <v>Otros</v>
          </cell>
        </row>
        <row r="89">
          <cell r="A89">
            <v>201943636</v>
          </cell>
          <cell r="B89">
            <v>899001</v>
          </cell>
          <cell r="C89" t="str">
            <v>Devoluciones y Reintegros no Provenientes de Impuestos</v>
          </cell>
        </row>
        <row r="90">
          <cell r="A90">
            <v>201943637</v>
          </cell>
          <cell r="B90">
            <v>899003</v>
          </cell>
          <cell r="C90" t="str">
            <v>Fondos en Administracion en Banco Central</v>
          </cell>
        </row>
        <row r="91">
          <cell r="A91">
            <v>201943638</v>
          </cell>
          <cell r="B91">
            <v>899004</v>
          </cell>
          <cell r="C91" t="str">
            <v>ntegros Ley N 19.030</v>
          </cell>
        </row>
        <row r="92">
          <cell r="A92">
            <v>201943639</v>
          </cell>
          <cell r="B92">
            <v>899999</v>
          </cell>
          <cell r="C92" t="str">
            <v>Otros</v>
          </cell>
        </row>
        <row r="93">
          <cell r="A93">
            <v>201943640</v>
          </cell>
          <cell r="B93">
            <v>9</v>
          </cell>
          <cell r="C93" t="str">
            <v>APORTE FISCAL</v>
          </cell>
        </row>
        <row r="94">
          <cell r="A94">
            <v>201943641</v>
          </cell>
          <cell r="B94">
            <v>901</v>
          </cell>
          <cell r="C94" t="str">
            <v>Libre</v>
          </cell>
        </row>
        <row r="95">
          <cell r="A95">
            <v>201944574</v>
          </cell>
          <cell r="B95">
            <v>901001</v>
          </cell>
          <cell r="C95" t="str">
            <v>Remuneraciones</v>
          </cell>
        </row>
        <row r="96">
          <cell r="A96">
            <v>201944575</v>
          </cell>
          <cell r="B96">
            <v>901002</v>
          </cell>
          <cell r="C96" t="str">
            <v>Resto</v>
          </cell>
        </row>
        <row r="97">
          <cell r="A97">
            <v>201943642</v>
          </cell>
          <cell r="B97">
            <v>902</v>
          </cell>
          <cell r="C97" t="str">
            <v>Servicio de la Deuda Interna</v>
          </cell>
        </row>
        <row r="98">
          <cell r="A98">
            <v>201943643</v>
          </cell>
          <cell r="B98">
            <v>902001</v>
          </cell>
          <cell r="C98" t="str">
            <v>Amortizaciones</v>
          </cell>
        </row>
        <row r="99">
          <cell r="A99">
            <v>201943644</v>
          </cell>
          <cell r="B99">
            <v>902002</v>
          </cell>
          <cell r="C99" t="str">
            <v>Intereses</v>
          </cell>
        </row>
        <row r="100">
          <cell r="A100">
            <v>201943645</v>
          </cell>
          <cell r="B100">
            <v>902003</v>
          </cell>
          <cell r="C100" t="str">
            <v>Otros Gastos Financieros</v>
          </cell>
        </row>
        <row r="101">
          <cell r="A101">
            <v>201943646</v>
          </cell>
          <cell r="B101">
            <v>903</v>
          </cell>
          <cell r="C101" t="str">
            <v>Servicio de la Deuda Externa</v>
          </cell>
        </row>
        <row r="102">
          <cell r="A102">
            <v>201943647</v>
          </cell>
          <cell r="B102">
            <v>903001</v>
          </cell>
          <cell r="C102" t="str">
            <v>Amortizaciones</v>
          </cell>
        </row>
        <row r="103">
          <cell r="A103">
            <v>201943648</v>
          </cell>
          <cell r="B103">
            <v>903002</v>
          </cell>
          <cell r="C103" t="str">
            <v>Intereses</v>
          </cell>
        </row>
        <row r="104">
          <cell r="A104">
            <v>201944567</v>
          </cell>
          <cell r="B104">
            <v>903002001</v>
          </cell>
          <cell r="C104" t="str">
            <v>Intereses Servicio a la Deuda</v>
          </cell>
        </row>
        <row r="105">
          <cell r="A105">
            <v>201944566</v>
          </cell>
          <cell r="B105">
            <v>903002002</v>
          </cell>
          <cell r="C105" t="str">
            <v>Comisiones Servicio a la Deuda</v>
          </cell>
        </row>
        <row r="106">
          <cell r="A106">
            <v>201943649</v>
          </cell>
          <cell r="B106">
            <v>903003</v>
          </cell>
          <cell r="C106" t="str">
            <v>Otros Gastos Financieros</v>
          </cell>
        </row>
        <row r="107">
          <cell r="A107">
            <v>201943650</v>
          </cell>
          <cell r="B107">
            <v>10</v>
          </cell>
          <cell r="C107" t="str">
            <v>VENTA DE ACTIVOS NO FINANCIEROS</v>
          </cell>
        </row>
        <row r="108">
          <cell r="A108">
            <v>201943651</v>
          </cell>
          <cell r="B108">
            <v>1001</v>
          </cell>
          <cell r="C108" t="str">
            <v>Terrenos</v>
          </cell>
        </row>
        <row r="109">
          <cell r="A109">
            <v>201943652</v>
          </cell>
          <cell r="B109">
            <v>1002</v>
          </cell>
          <cell r="C109" t="str">
            <v>Edificios</v>
          </cell>
        </row>
        <row r="110">
          <cell r="A110">
            <v>201943653</v>
          </cell>
          <cell r="B110">
            <v>1003</v>
          </cell>
          <cell r="C110" t="str">
            <v>Vehiculos</v>
          </cell>
        </row>
        <row r="111">
          <cell r="A111">
            <v>201943654</v>
          </cell>
          <cell r="B111">
            <v>1004</v>
          </cell>
          <cell r="C111" t="str">
            <v>Mobiliario y Otros</v>
          </cell>
        </row>
        <row r="112">
          <cell r="A112">
            <v>201943655</v>
          </cell>
          <cell r="B112">
            <v>1005</v>
          </cell>
          <cell r="C112" t="str">
            <v>Maquinas y Equipos</v>
          </cell>
        </row>
        <row r="113">
          <cell r="A113">
            <v>201943656</v>
          </cell>
          <cell r="B113">
            <v>1006</v>
          </cell>
          <cell r="C113" t="str">
            <v>Equipos Informaticos</v>
          </cell>
        </row>
        <row r="114">
          <cell r="A114">
            <v>201943657</v>
          </cell>
          <cell r="B114">
            <v>1007</v>
          </cell>
          <cell r="C114" t="str">
            <v>Programas Informaticos</v>
          </cell>
        </row>
        <row r="115">
          <cell r="A115">
            <v>201943658</v>
          </cell>
          <cell r="B115">
            <v>1099</v>
          </cell>
          <cell r="C115" t="str">
            <v>Otros Activos no Financieros</v>
          </cell>
        </row>
        <row r="116">
          <cell r="A116">
            <v>201943659</v>
          </cell>
          <cell r="B116">
            <v>11</v>
          </cell>
          <cell r="C116" t="str">
            <v>VENTA DE ACTIVOS FINANCIEROS</v>
          </cell>
        </row>
        <row r="117">
          <cell r="A117">
            <v>201943660</v>
          </cell>
          <cell r="B117">
            <v>1101</v>
          </cell>
          <cell r="C117" t="str">
            <v>Venta o Rescate de Titulos y Valores</v>
          </cell>
        </row>
        <row r="118">
          <cell r="A118">
            <v>201943661</v>
          </cell>
          <cell r="B118">
            <v>1101001</v>
          </cell>
          <cell r="C118" t="str">
            <v>Depositos a Plazo</v>
          </cell>
        </row>
        <row r="119">
          <cell r="A119">
            <v>201943662</v>
          </cell>
          <cell r="B119">
            <v>1101002</v>
          </cell>
          <cell r="C119" t="str">
            <v>Pactos de Retrocompra</v>
          </cell>
        </row>
        <row r="120">
          <cell r="A120">
            <v>201943663</v>
          </cell>
          <cell r="B120">
            <v>1101003</v>
          </cell>
          <cell r="C120" t="str">
            <v>Cuotas de Fondos Mutuos</v>
          </cell>
        </row>
        <row r="121">
          <cell r="A121">
            <v>201943664</v>
          </cell>
          <cell r="B121">
            <v>1101004</v>
          </cell>
          <cell r="C121" t="str">
            <v>Bonos o Pagares</v>
          </cell>
        </row>
        <row r="122">
          <cell r="A122">
            <v>201943665</v>
          </cell>
          <cell r="B122">
            <v>1101005</v>
          </cell>
          <cell r="C122" t="str">
            <v>Letras Hipotecarias</v>
          </cell>
        </row>
        <row r="123">
          <cell r="A123">
            <v>201943666</v>
          </cell>
          <cell r="B123">
            <v>1101999</v>
          </cell>
          <cell r="C123" t="str">
            <v>Otros</v>
          </cell>
        </row>
        <row r="124">
          <cell r="A124">
            <v>201943667</v>
          </cell>
          <cell r="B124">
            <v>1102</v>
          </cell>
          <cell r="C124" t="str">
            <v>Venta de Acciones y Participaciones de Capital</v>
          </cell>
        </row>
        <row r="125">
          <cell r="A125">
            <v>201943668</v>
          </cell>
          <cell r="B125">
            <v>1103</v>
          </cell>
          <cell r="C125" t="str">
            <v>Operaciones de Cambio</v>
          </cell>
        </row>
        <row r="126">
          <cell r="A126">
            <v>201943669</v>
          </cell>
          <cell r="B126">
            <v>1199</v>
          </cell>
          <cell r="C126" t="str">
            <v>Otros Activos Financieros</v>
          </cell>
        </row>
        <row r="127">
          <cell r="A127">
            <v>201943670</v>
          </cell>
          <cell r="B127">
            <v>12</v>
          </cell>
          <cell r="C127" t="str">
            <v>RECUPERACION DE PRESTAMOS</v>
          </cell>
        </row>
        <row r="128">
          <cell r="A128">
            <v>201943671</v>
          </cell>
          <cell r="B128">
            <v>1201</v>
          </cell>
          <cell r="C128" t="str">
            <v>De Asistencia Social</v>
          </cell>
        </row>
        <row r="129">
          <cell r="A129">
            <v>201943672</v>
          </cell>
          <cell r="B129">
            <v>1202</v>
          </cell>
          <cell r="C129" t="str">
            <v>Hipotecarios</v>
          </cell>
        </row>
        <row r="130">
          <cell r="A130">
            <v>201943673</v>
          </cell>
          <cell r="B130">
            <v>1203</v>
          </cell>
          <cell r="C130" t="str">
            <v>Pignoraticios</v>
          </cell>
        </row>
        <row r="131">
          <cell r="A131">
            <v>201943674</v>
          </cell>
          <cell r="B131">
            <v>1204</v>
          </cell>
          <cell r="C131" t="str">
            <v>De Fomento</v>
          </cell>
        </row>
        <row r="132">
          <cell r="A132">
            <v>201943675</v>
          </cell>
          <cell r="B132">
            <v>1205</v>
          </cell>
          <cell r="C132" t="str">
            <v>Medicos</v>
          </cell>
        </row>
        <row r="133">
          <cell r="A133">
            <v>201943676</v>
          </cell>
          <cell r="B133">
            <v>1206</v>
          </cell>
          <cell r="C133" t="str">
            <v>Por Anticipos a Contratistas</v>
          </cell>
        </row>
        <row r="134">
          <cell r="A134">
            <v>201943677</v>
          </cell>
          <cell r="B134">
            <v>1207</v>
          </cell>
          <cell r="C134" t="str">
            <v>Por Anticipos por Cambio de Residencia</v>
          </cell>
        </row>
        <row r="135">
          <cell r="A135">
            <v>201943678</v>
          </cell>
          <cell r="B135">
            <v>1209</v>
          </cell>
          <cell r="C135" t="str">
            <v>Por Ventas a Plazo</v>
          </cell>
        </row>
        <row r="136">
          <cell r="A136">
            <v>201943679</v>
          </cell>
          <cell r="B136">
            <v>1210</v>
          </cell>
          <cell r="C136" t="str">
            <v>Ingresos por Percibir</v>
          </cell>
        </row>
        <row r="137">
          <cell r="A137">
            <v>201943680</v>
          </cell>
          <cell r="B137">
            <v>13</v>
          </cell>
          <cell r="C137" t="str">
            <v>TRANSFERENCIAS PARA GASTOS DE CAPITAL</v>
          </cell>
        </row>
        <row r="138">
          <cell r="A138">
            <v>201943681</v>
          </cell>
          <cell r="B138">
            <v>1301</v>
          </cell>
          <cell r="C138" t="str">
            <v>Del Sector Privado</v>
          </cell>
        </row>
        <row r="139">
          <cell r="A139">
            <v>201943682</v>
          </cell>
          <cell r="B139">
            <v>1302</v>
          </cell>
          <cell r="C139" t="str">
            <v>Del Gobierno Central</v>
          </cell>
        </row>
        <row r="140">
          <cell r="A140">
            <v>201944576</v>
          </cell>
          <cell r="B140">
            <v>1302006</v>
          </cell>
          <cell r="C140" t="str">
            <v>Subsecretaria de Educacion</v>
          </cell>
        </row>
        <row r="141">
          <cell r="A141">
            <v>201946402</v>
          </cell>
          <cell r="B141">
            <v>1302080</v>
          </cell>
          <cell r="C141" t="str">
            <v>Tesoro Publico Ley N20.378 - Fondo De Apoyo Regional (FAR)</v>
          </cell>
        </row>
        <row r="142">
          <cell r="A142">
            <v>201947078</v>
          </cell>
          <cell r="B142">
            <v>1302113</v>
          </cell>
          <cell r="C142" t="str">
            <v>Subsecretaria de Desarrollo Regional y Administrativo - Programa 05</v>
          </cell>
        </row>
        <row r="143">
          <cell r="A143">
            <v>201947128</v>
          </cell>
          <cell r="B143">
            <v>1302114</v>
          </cell>
          <cell r="C143" t="str">
            <v>Gobierno Regional del Bio Bio - Programa 02</v>
          </cell>
        </row>
        <row r="144">
          <cell r="A144">
            <v>201947133</v>
          </cell>
          <cell r="B144">
            <v>1302115</v>
          </cell>
          <cell r="C144" t="str">
            <v>Gobierno Regional Region IX Araucania - Programa 02</v>
          </cell>
        </row>
        <row r="145">
          <cell r="A145">
            <v>201943683</v>
          </cell>
          <cell r="B145">
            <v>1303</v>
          </cell>
          <cell r="C145" t="str">
            <v>De Otras Entidades Publicas</v>
          </cell>
        </row>
        <row r="146">
          <cell r="A146">
            <v>201943684</v>
          </cell>
          <cell r="B146">
            <v>1304</v>
          </cell>
          <cell r="C146" t="str">
            <v>De Empresas Publicas no Financieras</v>
          </cell>
        </row>
        <row r="147">
          <cell r="A147">
            <v>201943685</v>
          </cell>
          <cell r="B147">
            <v>1305</v>
          </cell>
          <cell r="C147" t="str">
            <v>De Empresas Publicas Financieras</v>
          </cell>
        </row>
        <row r="148">
          <cell r="A148">
            <v>201943686</v>
          </cell>
          <cell r="B148">
            <v>1306</v>
          </cell>
          <cell r="C148" t="str">
            <v>De Gobiernos Extranjeros</v>
          </cell>
        </row>
        <row r="149">
          <cell r="A149">
            <v>201947162</v>
          </cell>
          <cell r="B149">
            <v>1306001</v>
          </cell>
          <cell r="C149" t="str">
            <v>Del Gobierno Espanol - Instituto de Credito Oficial de Espana</v>
          </cell>
        </row>
        <row r="150">
          <cell r="A150">
            <v>201943687</v>
          </cell>
          <cell r="B150">
            <v>1307</v>
          </cell>
          <cell r="C150" t="str">
            <v>De Organismos Internacionales</v>
          </cell>
        </row>
        <row r="151">
          <cell r="A151">
            <v>201943688</v>
          </cell>
          <cell r="B151">
            <v>14</v>
          </cell>
          <cell r="C151" t="str">
            <v>ENDEUDAMIENTO</v>
          </cell>
        </row>
        <row r="152">
          <cell r="A152">
            <v>201943689</v>
          </cell>
          <cell r="B152">
            <v>1401</v>
          </cell>
          <cell r="C152" t="str">
            <v>Endeudamiento Interno</v>
          </cell>
        </row>
        <row r="153">
          <cell r="A153">
            <v>201943690</v>
          </cell>
          <cell r="B153">
            <v>1401001</v>
          </cell>
          <cell r="C153" t="str">
            <v>Colocacion de Valores</v>
          </cell>
        </row>
        <row r="154">
          <cell r="A154">
            <v>201943691</v>
          </cell>
          <cell r="B154">
            <v>1401002</v>
          </cell>
          <cell r="C154" t="str">
            <v>Emprestitos</v>
          </cell>
        </row>
        <row r="155">
          <cell r="A155">
            <v>201943692</v>
          </cell>
          <cell r="B155">
            <v>1401003</v>
          </cell>
          <cell r="C155" t="str">
            <v>Creditos de Proveedores</v>
          </cell>
        </row>
        <row r="156">
          <cell r="A156">
            <v>201943693</v>
          </cell>
          <cell r="B156">
            <v>1402</v>
          </cell>
          <cell r="C156" t="str">
            <v>Endeudamiento Externo</v>
          </cell>
        </row>
        <row r="157">
          <cell r="A157">
            <v>201943694</v>
          </cell>
          <cell r="B157">
            <v>1402001</v>
          </cell>
          <cell r="C157" t="str">
            <v>Colocacion de Valores</v>
          </cell>
        </row>
        <row r="158">
          <cell r="A158">
            <v>201943695</v>
          </cell>
          <cell r="B158">
            <v>1402002</v>
          </cell>
          <cell r="C158" t="str">
            <v>Emprestitos</v>
          </cell>
        </row>
        <row r="159">
          <cell r="A159">
            <v>201943696</v>
          </cell>
          <cell r="B159">
            <v>1402003</v>
          </cell>
          <cell r="C159" t="str">
            <v>Creditos de Proveedores</v>
          </cell>
        </row>
        <row r="160">
          <cell r="A160">
            <v>201943697</v>
          </cell>
          <cell r="B160">
            <v>15</v>
          </cell>
          <cell r="C160" t="str">
            <v>SALDO INICIAL DE CAJA</v>
          </cell>
        </row>
        <row r="161">
          <cell r="A161">
            <v>201943698</v>
          </cell>
          <cell r="B161">
            <v>21</v>
          </cell>
          <cell r="C161" t="str">
            <v>GASTOS EN PERSONAL</v>
          </cell>
        </row>
        <row r="162">
          <cell r="A162">
            <v>201943699</v>
          </cell>
          <cell r="B162">
            <v>2101</v>
          </cell>
          <cell r="C162" t="str">
            <v>Personal de Planta</v>
          </cell>
        </row>
        <row r="163">
          <cell r="A163">
            <v>201943700</v>
          </cell>
          <cell r="B163">
            <v>2101001</v>
          </cell>
          <cell r="C163" t="str">
            <v>Sueldos y Sobresueldos</v>
          </cell>
        </row>
        <row r="164">
          <cell r="A164">
            <v>201943701</v>
          </cell>
          <cell r="B164">
            <v>2101001001</v>
          </cell>
          <cell r="C164" t="str">
            <v>Sueldos Bases</v>
          </cell>
        </row>
        <row r="165">
          <cell r="A165">
            <v>201943702</v>
          </cell>
          <cell r="B165">
            <v>2101001002</v>
          </cell>
          <cell r="C165" t="str">
            <v>Asignacion de Antigedad</v>
          </cell>
        </row>
        <row r="166">
          <cell r="A166">
            <v>201943703</v>
          </cell>
          <cell r="B166">
            <v>2101001003</v>
          </cell>
          <cell r="C166" t="str">
            <v>Asignacion Profesional</v>
          </cell>
        </row>
        <row r="167">
          <cell r="A167">
            <v>201943704</v>
          </cell>
          <cell r="B167">
            <v>2101001004</v>
          </cell>
          <cell r="C167" t="str">
            <v>Asignacion de Zona</v>
          </cell>
        </row>
        <row r="168">
          <cell r="A168">
            <v>201943705</v>
          </cell>
          <cell r="B168">
            <v>2101001005</v>
          </cell>
          <cell r="C168" t="str">
            <v>Asignacion de Rancho</v>
          </cell>
        </row>
        <row r="169">
          <cell r="A169">
            <v>201943706</v>
          </cell>
          <cell r="B169">
            <v>2101001006</v>
          </cell>
          <cell r="C169" t="str">
            <v>Asignaciones del DL N 2.411, de 1978</v>
          </cell>
        </row>
        <row r="170">
          <cell r="A170">
            <v>201943707</v>
          </cell>
          <cell r="B170">
            <v>2101001007</v>
          </cell>
          <cell r="C170" t="str">
            <v>Asignaciones del DL N 3.551, de 1981</v>
          </cell>
        </row>
        <row r="171">
          <cell r="A171">
            <v>201943708</v>
          </cell>
          <cell r="B171">
            <v>2101001008</v>
          </cell>
          <cell r="C171" t="str">
            <v>Asignacion de Nivelacion</v>
          </cell>
        </row>
        <row r="172">
          <cell r="A172">
            <v>201943709</v>
          </cell>
          <cell r="B172">
            <v>2101001009</v>
          </cell>
          <cell r="C172" t="str">
            <v>Asignaciones Especiales</v>
          </cell>
        </row>
        <row r="173">
          <cell r="A173">
            <v>201943710</v>
          </cell>
          <cell r="B173">
            <v>2101001010</v>
          </cell>
          <cell r="C173" t="str">
            <v>Asignacion de Perdida de Caja</v>
          </cell>
        </row>
        <row r="174">
          <cell r="A174">
            <v>201943711</v>
          </cell>
          <cell r="B174">
            <v>2101001011</v>
          </cell>
          <cell r="C174" t="str">
            <v>Asignacion de Movilizacion</v>
          </cell>
        </row>
        <row r="175">
          <cell r="A175">
            <v>201943712</v>
          </cell>
          <cell r="B175">
            <v>2101001012</v>
          </cell>
          <cell r="C175" t="str">
            <v>Gastos de Representacion</v>
          </cell>
        </row>
        <row r="176">
          <cell r="A176">
            <v>201943713</v>
          </cell>
          <cell r="B176">
            <v>2101001013</v>
          </cell>
          <cell r="C176" t="str">
            <v>Asignacion de Direccion Superior</v>
          </cell>
        </row>
        <row r="177">
          <cell r="A177">
            <v>201943714</v>
          </cell>
          <cell r="B177">
            <v>2101001014</v>
          </cell>
          <cell r="C177" t="str">
            <v>Asignaciones Compensatorias</v>
          </cell>
        </row>
        <row r="178">
          <cell r="A178">
            <v>201943715</v>
          </cell>
          <cell r="B178">
            <v>2101001015</v>
          </cell>
          <cell r="C178" t="str">
            <v>Asignaciones Sustitutivas</v>
          </cell>
        </row>
        <row r="179">
          <cell r="A179">
            <v>201943716</v>
          </cell>
          <cell r="B179">
            <v>2101001016</v>
          </cell>
          <cell r="C179" t="str">
            <v>Asignacion de Dedicacion Exclusiva</v>
          </cell>
        </row>
        <row r="180">
          <cell r="A180">
            <v>201943717</v>
          </cell>
          <cell r="B180">
            <v>2101001017</v>
          </cell>
          <cell r="C180" t="str">
            <v>Asignacion para Operador de Maquinaria Pesada</v>
          </cell>
        </row>
        <row r="181">
          <cell r="A181">
            <v>201943718</v>
          </cell>
          <cell r="B181">
            <v>2101001018</v>
          </cell>
          <cell r="C181" t="str">
            <v>Asignacion de Defensa Judicial Estatal</v>
          </cell>
        </row>
        <row r="182">
          <cell r="A182">
            <v>201943719</v>
          </cell>
          <cell r="B182">
            <v>2101001019</v>
          </cell>
          <cell r="C182" t="str">
            <v>Asignacion de Responsabilidad</v>
          </cell>
        </row>
        <row r="183">
          <cell r="A183">
            <v>201943720</v>
          </cell>
          <cell r="B183">
            <v>2101001020</v>
          </cell>
          <cell r="C183" t="str">
            <v>Asignacion por Turno</v>
          </cell>
        </row>
        <row r="184">
          <cell r="A184">
            <v>201943721</v>
          </cell>
          <cell r="B184">
            <v>2101001021</v>
          </cell>
          <cell r="C184" t="str">
            <v>Asignacion Articulo 1 Ley N 19.264</v>
          </cell>
        </row>
        <row r="185">
          <cell r="A185">
            <v>201943722</v>
          </cell>
          <cell r="B185">
            <v>2101001022</v>
          </cell>
          <cell r="C185" t="str">
            <v>Componente Base Asignacion de Desempeno</v>
          </cell>
        </row>
        <row r="186">
          <cell r="A186">
            <v>201943723</v>
          </cell>
          <cell r="B186">
            <v>2101001023</v>
          </cell>
          <cell r="C186" t="str">
            <v>Asignacion de Control</v>
          </cell>
        </row>
        <row r="187">
          <cell r="A187">
            <v>201943724</v>
          </cell>
          <cell r="B187">
            <v>2101001024</v>
          </cell>
          <cell r="C187" t="str">
            <v>Asignacion de Defensa Penal Publica</v>
          </cell>
        </row>
        <row r="188">
          <cell r="A188">
            <v>201943725</v>
          </cell>
          <cell r="B188">
            <v>2101001025</v>
          </cell>
          <cell r="C188" t="str">
            <v>Asignacion Articulo 1 Ley N 19. 112</v>
          </cell>
        </row>
        <row r="189">
          <cell r="A189">
            <v>201943726</v>
          </cell>
          <cell r="B189">
            <v>2101001026</v>
          </cell>
          <cell r="C189" t="str">
            <v>Asignacion Articulo 1 Ley N 19.432</v>
          </cell>
        </row>
        <row r="190">
          <cell r="A190">
            <v>201943727</v>
          </cell>
          <cell r="B190">
            <v>2101001027</v>
          </cell>
          <cell r="C190" t="str">
            <v>Asignacion de Estimulo Personal Medico Diurno</v>
          </cell>
        </row>
        <row r="191">
          <cell r="A191">
            <v>201943728</v>
          </cell>
          <cell r="B191">
            <v>2101001028</v>
          </cell>
          <cell r="C191" t="str">
            <v>Asignacion de Estimulo Personal Medico y Profesores</v>
          </cell>
        </row>
        <row r="192">
          <cell r="A192">
            <v>201943729</v>
          </cell>
          <cell r="B192">
            <v>2101001029</v>
          </cell>
          <cell r="C192" t="str">
            <v>Aplicacion Articulo 7 Ley N 19.112</v>
          </cell>
        </row>
        <row r="193">
          <cell r="A193">
            <v>201943730</v>
          </cell>
          <cell r="B193">
            <v>2101001030</v>
          </cell>
          <cell r="C193" t="str">
            <v>Asignacion de Estimulo por Falencia</v>
          </cell>
        </row>
        <row r="194">
          <cell r="A194">
            <v>201943731</v>
          </cell>
          <cell r="B194">
            <v>2101001031</v>
          </cell>
          <cell r="C194" t="str">
            <v>Asignacion de Experiencia Calificada</v>
          </cell>
        </row>
        <row r="195">
          <cell r="A195">
            <v>201943732</v>
          </cell>
          <cell r="B195">
            <v>2101001032</v>
          </cell>
          <cell r="C195" t="str">
            <v>Asignacion de Reforzamiento Profesional Diurno</v>
          </cell>
        </row>
        <row r="196">
          <cell r="A196">
            <v>201943733</v>
          </cell>
          <cell r="B196">
            <v>2101001033</v>
          </cell>
          <cell r="C196" t="str">
            <v>Asignacion Judicial</v>
          </cell>
        </row>
        <row r="197">
          <cell r="A197">
            <v>201943734</v>
          </cell>
          <cell r="B197">
            <v>2101001034</v>
          </cell>
          <cell r="C197" t="str">
            <v>Asignacion de Casa</v>
          </cell>
        </row>
        <row r="198">
          <cell r="A198">
            <v>201943735</v>
          </cell>
          <cell r="B198">
            <v>2101001035</v>
          </cell>
          <cell r="C198" t="str">
            <v>Asignacion Legislativa</v>
          </cell>
        </row>
        <row r="199">
          <cell r="A199">
            <v>201943736</v>
          </cell>
          <cell r="B199">
            <v>2101001036</v>
          </cell>
          <cell r="C199" t="str">
            <v>Asignacion Articulo 11 Ley N 19.041</v>
          </cell>
        </row>
        <row r="200">
          <cell r="A200">
            <v>201943737</v>
          </cell>
          <cell r="B200">
            <v>2101001037</v>
          </cell>
          <cell r="C200" t="str">
            <v>Asignacion nica</v>
          </cell>
        </row>
        <row r="201">
          <cell r="A201">
            <v>201943738</v>
          </cell>
          <cell r="B201">
            <v>2101001038</v>
          </cell>
          <cell r="C201" t="str">
            <v>Asignacion Zonas Extremas</v>
          </cell>
        </row>
        <row r="202">
          <cell r="A202">
            <v>201943739</v>
          </cell>
          <cell r="B202">
            <v>2101001039</v>
          </cell>
          <cell r="C202" t="str">
            <v>Asignacion de Responsabilidad Superior</v>
          </cell>
        </row>
        <row r="203">
          <cell r="A203">
            <v>201943740</v>
          </cell>
          <cell r="B203">
            <v>2101001040</v>
          </cell>
          <cell r="C203" t="str">
            <v>Asignacion Familiar en el Exterior</v>
          </cell>
        </row>
        <row r="204">
          <cell r="A204">
            <v>201943741</v>
          </cell>
          <cell r="B204">
            <v>2101001041</v>
          </cell>
          <cell r="C204" t="str">
            <v>Asignaciones Exclusivas de las Fuerzas Armadas y de Orden</v>
          </cell>
        </row>
        <row r="205">
          <cell r="A205">
            <v>201943742</v>
          </cell>
          <cell r="B205">
            <v>2101001042</v>
          </cell>
          <cell r="C205" t="str">
            <v>Asignaciones por Desempeno en el Exterior</v>
          </cell>
        </row>
        <row r="206">
          <cell r="A206">
            <v>201943743</v>
          </cell>
          <cell r="B206">
            <v>2101001043</v>
          </cell>
          <cell r="C206" t="str">
            <v>Asignacion Inherente al Cargo Ley N 18.695</v>
          </cell>
        </row>
        <row r="207">
          <cell r="A207">
            <v>201943744</v>
          </cell>
          <cell r="B207">
            <v>2101001999</v>
          </cell>
          <cell r="C207" t="str">
            <v>Otras Asignaciones</v>
          </cell>
        </row>
        <row r="208">
          <cell r="A208">
            <v>201943745</v>
          </cell>
          <cell r="B208">
            <v>2101002</v>
          </cell>
          <cell r="C208" t="str">
            <v>Aportes del Empleador</v>
          </cell>
        </row>
        <row r="209">
          <cell r="A209">
            <v>201943746</v>
          </cell>
          <cell r="B209">
            <v>2101002001</v>
          </cell>
          <cell r="C209" t="str">
            <v>A Servicios de Bienestar</v>
          </cell>
        </row>
        <row r="210">
          <cell r="A210">
            <v>201943747</v>
          </cell>
          <cell r="B210">
            <v>2101002002</v>
          </cell>
          <cell r="C210" t="str">
            <v>Otras Cotizaciones Previsionales</v>
          </cell>
        </row>
        <row r="211">
          <cell r="A211">
            <v>201943748</v>
          </cell>
          <cell r="B211">
            <v>2101002003</v>
          </cell>
          <cell r="C211" t="str">
            <v>Cotizacion Adicional, Articulo 8 Ley N 18.566</v>
          </cell>
        </row>
        <row r="212">
          <cell r="A212">
            <v>201943749</v>
          </cell>
          <cell r="B212">
            <v>2101003</v>
          </cell>
          <cell r="C212" t="str">
            <v>Asignaciones por Desempeno</v>
          </cell>
        </row>
        <row r="213">
          <cell r="A213">
            <v>201943750</v>
          </cell>
          <cell r="B213">
            <v>2101003001</v>
          </cell>
          <cell r="C213" t="str">
            <v>Desempeno Institucional</v>
          </cell>
        </row>
        <row r="214">
          <cell r="A214">
            <v>201943751</v>
          </cell>
          <cell r="B214">
            <v>2101003002</v>
          </cell>
          <cell r="C214" t="str">
            <v>Desempeno Colectivo</v>
          </cell>
        </row>
        <row r="215">
          <cell r="A215">
            <v>201943752</v>
          </cell>
          <cell r="B215">
            <v>2101003003</v>
          </cell>
          <cell r="C215" t="str">
            <v>Desempeno Individual</v>
          </cell>
        </row>
        <row r="216">
          <cell r="A216">
            <v>201947065</v>
          </cell>
          <cell r="B216">
            <v>2101003004</v>
          </cell>
          <cell r="C216" t="str">
            <v>Asignacion por Produccion</v>
          </cell>
        </row>
        <row r="217">
          <cell r="A217">
            <v>201947066</v>
          </cell>
          <cell r="B217">
            <v>2101003005</v>
          </cell>
          <cell r="C217" t="str">
            <v>Asignacion Mejoramiento de Trato a los Usuarios</v>
          </cell>
        </row>
        <row r="218">
          <cell r="A218">
            <v>201943753</v>
          </cell>
          <cell r="B218">
            <v>2101004</v>
          </cell>
          <cell r="C218" t="str">
            <v>Remuneraciones Variables</v>
          </cell>
        </row>
        <row r="219">
          <cell r="A219">
            <v>201943754</v>
          </cell>
          <cell r="B219">
            <v>2101004001</v>
          </cell>
          <cell r="C219" t="str">
            <v>Asignacion Articulo 12 Ley N 19.041</v>
          </cell>
        </row>
        <row r="220">
          <cell r="A220">
            <v>201943755</v>
          </cell>
          <cell r="B220">
            <v>2101004002</v>
          </cell>
          <cell r="C220" t="str">
            <v>Asignacion de Estimulo Jornadas Prioritarias</v>
          </cell>
        </row>
        <row r="221">
          <cell r="A221">
            <v>201943756</v>
          </cell>
          <cell r="B221">
            <v>2101004003</v>
          </cell>
          <cell r="C221" t="str">
            <v>Asignacion Articulo 3 Ley N 19.264</v>
          </cell>
        </row>
        <row r="222">
          <cell r="A222">
            <v>201943757</v>
          </cell>
          <cell r="B222">
            <v>2101004004</v>
          </cell>
          <cell r="C222" t="str">
            <v>Asignacion por Desempeno de Funciones Criticas</v>
          </cell>
        </row>
        <row r="223">
          <cell r="A223">
            <v>201943758</v>
          </cell>
          <cell r="B223">
            <v>2101004005</v>
          </cell>
          <cell r="C223" t="str">
            <v>Trabajos Extraordinarios</v>
          </cell>
        </row>
        <row r="224">
          <cell r="A224">
            <v>201943759</v>
          </cell>
          <cell r="B224">
            <v>2101004006</v>
          </cell>
          <cell r="C224" t="str">
            <v>Comisiones de Servicios en el Pais</v>
          </cell>
        </row>
        <row r="225">
          <cell r="A225">
            <v>201943760</v>
          </cell>
          <cell r="B225">
            <v>2101004007</v>
          </cell>
          <cell r="C225" t="str">
            <v>Comisiones de Servicios en el Exterior</v>
          </cell>
        </row>
        <row r="226">
          <cell r="A226">
            <v>201943761</v>
          </cell>
          <cell r="B226">
            <v>2101005</v>
          </cell>
          <cell r="C226" t="str">
            <v>Aguinaldos y Bonos</v>
          </cell>
        </row>
        <row r="227">
          <cell r="A227">
            <v>201943762</v>
          </cell>
          <cell r="B227">
            <v>2101005001</v>
          </cell>
          <cell r="C227" t="str">
            <v>Aguinaldos</v>
          </cell>
        </row>
        <row r="228">
          <cell r="A228">
            <v>201943763</v>
          </cell>
          <cell r="B228">
            <v>2101005002</v>
          </cell>
          <cell r="C228" t="str">
            <v>Bono de Escolaridad</v>
          </cell>
        </row>
        <row r="229">
          <cell r="A229">
            <v>201943764</v>
          </cell>
          <cell r="B229">
            <v>2101005003</v>
          </cell>
          <cell r="C229" t="str">
            <v>Bonos Especiales</v>
          </cell>
        </row>
        <row r="230">
          <cell r="A230">
            <v>201943765</v>
          </cell>
          <cell r="B230">
            <v>2101005004</v>
          </cell>
          <cell r="C230" t="str">
            <v>Bonificacion Adicional al Bono de Escolaridad</v>
          </cell>
        </row>
        <row r="231">
          <cell r="A231">
            <v>201943766</v>
          </cell>
          <cell r="B231">
            <v>2102</v>
          </cell>
          <cell r="C231" t="str">
            <v>Personal a Contrata</v>
          </cell>
        </row>
        <row r="232">
          <cell r="A232">
            <v>201943767</v>
          </cell>
          <cell r="B232">
            <v>2102001</v>
          </cell>
          <cell r="C232" t="str">
            <v>Sueldos y Sobresueldos</v>
          </cell>
        </row>
        <row r="233">
          <cell r="A233">
            <v>201943768</v>
          </cell>
          <cell r="B233">
            <v>2102001001</v>
          </cell>
          <cell r="C233" t="str">
            <v>Sueldos Bases</v>
          </cell>
        </row>
        <row r="234">
          <cell r="A234">
            <v>201943769</v>
          </cell>
          <cell r="B234">
            <v>2102001002</v>
          </cell>
          <cell r="C234" t="str">
            <v>Asignacion de Antigedad</v>
          </cell>
        </row>
        <row r="235">
          <cell r="A235">
            <v>201943770</v>
          </cell>
          <cell r="B235">
            <v>2102001003</v>
          </cell>
          <cell r="C235" t="str">
            <v>Asignacion Profesional</v>
          </cell>
        </row>
        <row r="236">
          <cell r="A236">
            <v>201943771</v>
          </cell>
          <cell r="B236">
            <v>2102001004</v>
          </cell>
          <cell r="C236" t="str">
            <v>Asignacion de Zona</v>
          </cell>
        </row>
        <row r="237">
          <cell r="A237">
            <v>201943772</v>
          </cell>
          <cell r="B237">
            <v>2102001005</v>
          </cell>
          <cell r="C237" t="str">
            <v>Asignacion de Rancho</v>
          </cell>
        </row>
        <row r="238">
          <cell r="A238">
            <v>201943773</v>
          </cell>
          <cell r="B238">
            <v>2102001006</v>
          </cell>
          <cell r="C238" t="str">
            <v>Asignaciones del DL N 2.411, de 1978</v>
          </cell>
        </row>
        <row r="239">
          <cell r="A239">
            <v>201943774</v>
          </cell>
          <cell r="B239">
            <v>2102001007</v>
          </cell>
          <cell r="C239" t="str">
            <v>Asignaciones del DL N 3.551, de 1981</v>
          </cell>
        </row>
        <row r="240">
          <cell r="A240">
            <v>201943775</v>
          </cell>
          <cell r="B240">
            <v>2102001008</v>
          </cell>
          <cell r="C240" t="str">
            <v>Asignacion de Nivelacion</v>
          </cell>
        </row>
        <row r="241">
          <cell r="A241">
            <v>201943776</v>
          </cell>
          <cell r="B241">
            <v>2102001009</v>
          </cell>
          <cell r="C241" t="str">
            <v>Asignaciones Especiales</v>
          </cell>
        </row>
        <row r="242">
          <cell r="A242">
            <v>201943777</v>
          </cell>
          <cell r="B242">
            <v>2102001010</v>
          </cell>
          <cell r="C242" t="str">
            <v>Asignacion de Perdida de Caja</v>
          </cell>
        </row>
        <row r="243">
          <cell r="A243">
            <v>201943778</v>
          </cell>
          <cell r="B243">
            <v>2102001011</v>
          </cell>
          <cell r="C243" t="str">
            <v>Asignacion de Movilizacion</v>
          </cell>
        </row>
        <row r="244">
          <cell r="A244">
            <v>201943779</v>
          </cell>
          <cell r="B244">
            <v>2102001012</v>
          </cell>
          <cell r="C244" t="str">
            <v>Gastos de Representacion</v>
          </cell>
        </row>
        <row r="245">
          <cell r="A245">
            <v>201943780</v>
          </cell>
          <cell r="B245">
            <v>2102001013</v>
          </cell>
          <cell r="C245" t="str">
            <v>Asignaciones Compensatorias</v>
          </cell>
        </row>
        <row r="246">
          <cell r="A246">
            <v>201943781</v>
          </cell>
          <cell r="B246">
            <v>2102001014</v>
          </cell>
          <cell r="C246" t="str">
            <v>Asignaciones Sustitutivas</v>
          </cell>
        </row>
        <row r="247">
          <cell r="A247">
            <v>201943782</v>
          </cell>
          <cell r="B247">
            <v>2102001015</v>
          </cell>
          <cell r="C247" t="str">
            <v>Asignacion de Dedicacion Exclusiva</v>
          </cell>
        </row>
        <row r="248">
          <cell r="A248">
            <v>201943783</v>
          </cell>
          <cell r="B248">
            <v>2102001016</v>
          </cell>
          <cell r="C248" t="str">
            <v>Asignacion para Operador de Maquinaria Pesada</v>
          </cell>
        </row>
        <row r="249">
          <cell r="A249">
            <v>201943784</v>
          </cell>
          <cell r="B249">
            <v>2102001017</v>
          </cell>
          <cell r="C249" t="str">
            <v>Asignacion de Defensa Judicial Estatal</v>
          </cell>
        </row>
        <row r="250">
          <cell r="A250">
            <v>201943785</v>
          </cell>
          <cell r="B250">
            <v>2102001018</v>
          </cell>
          <cell r="C250" t="str">
            <v>Asignacion de Responsabilidad</v>
          </cell>
        </row>
        <row r="251">
          <cell r="A251">
            <v>201943786</v>
          </cell>
          <cell r="B251">
            <v>2102001019</v>
          </cell>
          <cell r="C251" t="str">
            <v>Asignacion por Turno</v>
          </cell>
        </row>
        <row r="252">
          <cell r="A252">
            <v>201943787</v>
          </cell>
          <cell r="B252">
            <v>2102001020</v>
          </cell>
          <cell r="C252" t="str">
            <v>Asignacion Articulo 1 Ley N 19.264</v>
          </cell>
        </row>
        <row r="253">
          <cell r="A253">
            <v>201943788</v>
          </cell>
          <cell r="B253">
            <v>2102001021</v>
          </cell>
          <cell r="C253" t="str">
            <v>Componente Base Asignacion de Desempeno</v>
          </cell>
        </row>
        <row r="254">
          <cell r="A254">
            <v>201943789</v>
          </cell>
          <cell r="B254">
            <v>2102001022</v>
          </cell>
          <cell r="C254" t="str">
            <v>Asignacion de Control</v>
          </cell>
        </row>
        <row r="255">
          <cell r="A255">
            <v>201943790</v>
          </cell>
          <cell r="B255">
            <v>2102001023</v>
          </cell>
          <cell r="C255" t="str">
            <v>Asignacion de Defensa Penal Publica</v>
          </cell>
        </row>
        <row r="256">
          <cell r="A256">
            <v>201943791</v>
          </cell>
          <cell r="B256">
            <v>2102001024</v>
          </cell>
          <cell r="C256" t="str">
            <v>Asignacion Articulo 1 Ley N 19. 112</v>
          </cell>
        </row>
        <row r="257">
          <cell r="A257">
            <v>201943792</v>
          </cell>
          <cell r="B257">
            <v>2102001025</v>
          </cell>
          <cell r="C257" t="str">
            <v>Asignacion Articulo 1 Ley N 19.432</v>
          </cell>
        </row>
        <row r="258">
          <cell r="A258">
            <v>201943793</v>
          </cell>
          <cell r="B258">
            <v>2102001026</v>
          </cell>
          <cell r="C258" t="str">
            <v>Asignacion de Estimulo Personal Medico Diurno</v>
          </cell>
        </row>
        <row r="259">
          <cell r="A259">
            <v>201943794</v>
          </cell>
          <cell r="B259">
            <v>2102001027</v>
          </cell>
          <cell r="C259" t="str">
            <v>Asignacion de Estimulo Personal Medico y Profesores</v>
          </cell>
        </row>
        <row r="260">
          <cell r="A260">
            <v>201943795</v>
          </cell>
          <cell r="B260">
            <v>2102001028</v>
          </cell>
          <cell r="C260" t="str">
            <v>Aplicacion Articulo 7 Ley N 19.112</v>
          </cell>
        </row>
        <row r="261">
          <cell r="A261">
            <v>201943796</v>
          </cell>
          <cell r="B261">
            <v>2102001029</v>
          </cell>
          <cell r="C261" t="str">
            <v>Asignacion de Estimulo por Falencia</v>
          </cell>
        </row>
        <row r="262">
          <cell r="A262">
            <v>201943797</v>
          </cell>
          <cell r="B262">
            <v>2102001030</v>
          </cell>
          <cell r="C262" t="str">
            <v>Asignacion de Experiencia Calificada</v>
          </cell>
        </row>
        <row r="263">
          <cell r="A263">
            <v>201943798</v>
          </cell>
          <cell r="B263">
            <v>2102001031</v>
          </cell>
          <cell r="C263" t="str">
            <v>Asignacion de Reforzamiento Profesional Diurno</v>
          </cell>
        </row>
        <row r="264">
          <cell r="A264">
            <v>201943799</v>
          </cell>
          <cell r="B264">
            <v>2102001032</v>
          </cell>
          <cell r="C264" t="str">
            <v>Asignacion Judicial</v>
          </cell>
        </row>
        <row r="265">
          <cell r="A265">
            <v>201943800</v>
          </cell>
          <cell r="B265">
            <v>2102001033</v>
          </cell>
          <cell r="C265" t="str">
            <v>Asignacion de Casa</v>
          </cell>
        </row>
        <row r="266">
          <cell r="A266">
            <v>201943801</v>
          </cell>
          <cell r="B266">
            <v>2102001034</v>
          </cell>
          <cell r="C266" t="str">
            <v>Asignacion Legislativa</v>
          </cell>
        </row>
        <row r="267">
          <cell r="A267">
            <v>201943802</v>
          </cell>
          <cell r="B267">
            <v>2102001035</v>
          </cell>
          <cell r="C267" t="str">
            <v>Asignacion Articulo 11 Ley N 19.041</v>
          </cell>
        </row>
        <row r="268">
          <cell r="A268">
            <v>201943803</v>
          </cell>
          <cell r="B268">
            <v>2102001036</v>
          </cell>
          <cell r="C268" t="str">
            <v>Asignacion nica</v>
          </cell>
        </row>
        <row r="269">
          <cell r="A269">
            <v>201943804</v>
          </cell>
          <cell r="B269">
            <v>2102001037</v>
          </cell>
          <cell r="C269" t="str">
            <v>Asignacion Zonas Extremas</v>
          </cell>
        </row>
        <row r="270">
          <cell r="A270">
            <v>201943805</v>
          </cell>
          <cell r="B270">
            <v>2102001038</v>
          </cell>
          <cell r="C270" t="str">
            <v>Asignacion de Responsabilidad Superior</v>
          </cell>
        </row>
        <row r="271">
          <cell r="A271">
            <v>201943806</v>
          </cell>
          <cell r="B271">
            <v>2102001039</v>
          </cell>
          <cell r="C271" t="str">
            <v>Asignacion Familiar en el Exterior</v>
          </cell>
        </row>
        <row r="272">
          <cell r="A272">
            <v>201943807</v>
          </cell>
          <cell r="B272">
            <v>2102001040</v>
          </cell>
          <cell r="C272" t="str">
            <v>Asignaciones Exclusivas de las Fuerzas Armadas y de Orden</v>
          </cell>
        </row>
        <row r="273">
          <cell r="A273">
            <v>201943808</v>
          </cell>
          <cell r="B273">
            <v>2102001041</v>
          </cell>
          <cell r="C273" t="str">
            <v>Asignaciones por Desempeno en el Exterior</v>
          </cell>
        </row>
        <row r="274">
          <cell r="A274">
            <v>201943809</v>
          </cell>
          <cell r="B274">
            <v>2102001999</v>
          </cell>
          <cell r="C274" t="str">
            <v>Otras Asignaciones</v>
          </cell>
        </row>
        <row r="275">
          <cell r="A275">
            <v>201943810</v>
          </cell>
          <cell r="B275">
            <v>2102002</v>
          </cell>
          <cell r="C275" t="str">
            <v>Aportes del Empleador</v>
          </cell>
        </row>
        <row r="276">
          <cell r="A276">
            <v>201943811</v>
          </cell>
          <cell r="B276">
            <v>2102002001</v>
          </cell>
          <cell r="C276" t="str">
            <v>A Servicios de Bienestar</v>
          </cell>
        </row>
        <row r="277">
          <cell r="A277">
            <v>201943812</v>
          </cell>
          <cell r="B277">
            <v>2102002002</v>
          </cell>
          <cell r="C277" t="str">
            <v>Otras Cotizaciones Previsionales</v>
          </cell>
        </row>
        <row r="278">
          <cell r="A278">
            <v>201943813</v>
          </cell>
          <cell r="B278">
            <v>2102002003</v>
          </cell>
          <cell r="C278" t="str">
            <v>Cotizacion Adicional, Articulo 8 Ley N 18.566</v>
          </cell>
        </row>
        <row r="279">
          <cell r="A279">
            <v>201943814</v>
          </cell>
          <cell r="B279">
            <v>2102003</v>
          </cell>
          <cell r="C279" t="str">
            <v>Asignaciones por Desempeno</v>
          </cell>
        </row>
        <row r="280">
          <cell r="A280">
            <v>201943815</v>
          </cell>
          <cell r="B280">
            <v>2102003001</v>
          </cell>
          <cell r="C280" t="str">
            <v>Desempeno Institucional</v>
          </cell>
        </row>
        <row r="281">
          <cell r="A281">
            <v>201943816</v>
          </cell>
          <cell r="B281">
            <v>2102003002</v>
          </cell>
          <cell r="C281" t="str">
            <v>Desempeno Colectivo</v>
          </cell>
        </row>
        <row r="282">
          <cell r="A282">
            <v>201943817</v>
          </cell>
          <cell r="B282">
            <v>2102003003</v>
          </cell>
          <cell r="C282" t="str">
            <v>Desempeno Individual</v>
          </cell>
        </row>
        <row r="283">
          <cell r="A283">
            <v>201947067</v>
          </cell>
          <cell r="B283">
            <v>2102003004</v>
          </cell>
          <cell r="C283" t="str">
            <v>Asignacion por Produccion</v>
          </cell>
        </row>
        <row r="284">
          <cell r="A284">
            <v>201947068</v>
          </cell>
          <cell r="B284">
            <v>2102003005</v>
          </cell>
          <cell r="C284" t="str">
            <v>Asignacion Mejoramiento de Trato a los Usuarios</v>
          </cell>
        </row>
        <row r="285">
          <cell r="A285">
            <v>201943818</v>
          </cell>
          <cell r="B285">
            <v>2102004</v>
          </cell>
          <cell r="C285" t="str">
            <v>Remuneraciones Variables</v>
          </cell>
        </row>
        <row r="286">
          <cell r="A286">
            <v>201943819</v>
          </cell>
          <cell r="B286">
            <v>2102004001</v>
          </cell>
          <cell r="C286" t="str">
            <v>Asignacion Articulo 12 Ley N 19.041</v>
          </cell>
        </row>
        <row r="287">
          <cell r="A287">
            <v>201943820</v>
          </cell>
          <cell r="B287">
            <v>2102004002</v>
          </cell>
          <cell r="C287" t="str">
            <v>Asignacion de Estimulo Jornadas Prioritarias</v>
          </cell>
        </row>
        <row r="288">
          <cell r="A288">
            <v>201943821</v>
          </cell>
          <cell r="B288">
            <v>2102004003</v>
          </cell>
          <cell r="C288" t="str">
            <v>Asignacion Articulo 3 Ley N 19.264</v>
          </cell>
        </row>
        <row r="289">
          <cell r="A289">
            <v>201943822</v>
          </cell>
          <cell r="B289">
            <v>2102004004</v>
          </cell>
          <cell r="C289" t="str">
            <v>Asignacion por Desempeno de Funciones Criticas</v>
          </cell>
        </row>
        <row r="290">
          <cell r="A290">
            <v>201943823</v>
          </cell>
          <cell r="B290">
            <v>2102004005</v>
          </cell>
          <cell r="C290" t="str">
            <v>Trabajos Extraordinarios</v>
          </cell>
        </row>
        <row r="291">
          <cell r="A291">
            <v>201943824</v>
          </cell>
          <cell r="B291">
            <v>2102004006</v>
          </cell>
          <cell r="C291" t="str">
            <v>Comisiones de Servicios en el Pais</v>
          </cell>
        </row>
        <row r="292">
          <cell r="A292">
            <v>201943825</v>
          </cell>
          <cell r="B292">
            <v>2102004007</v>
          </cell>
          <cell r="C292" t="str">
            <v>Comisiones de Servicios en el Exterior</v>
          </cell>
        </row>
        <row r="293">
          <cell r="A293">
            <v>201943826</v>
          </cell>
          <cell r="B293">
            <v>2102005</v>
          </cell>
          <cell r="C293" t="str">
            <v>Aguinaldos y Bonos</v>
          </cell>
        </row>
        <row r="294">
          <cell r="A294">
            <v>201943827</v>
          </cell>
          <cell r="B294">
            <v>2102005001</v>
          </cell>
          <cell r="C294" t="str">
            <v>Aguinaldos</v>
          </cell>
        </row>
        <row r="295">
          <cell r="A295">
            <v>201943828</v>
          </cell>
          <cell r="B295">
            <v>2102005002</v>
          </cell>
          <cell r="C295" t="str">
            <v>Bono de Escolaridad</v>
          </cell>
        </row>
        <row r="296">
          <cell r="A296">
            <v>201943829</v>
          </cell>
          <cell r="B296">
            <v>2102005003</v>
          </cell>
          <cell r="C296" t="str">
            <v>Bonos Especiales</v>
          </cell>
        </row>
        <row r="297">
          <cell r="A297">
            <v>201943830</v>
          </cell>
          <cell r="B297">
            <v>2102005004</v>
          </cell>
          <cell r="C297" t="str">
            <v>Bonificacion Adicional al Bono de Escolaridad</v>
          </cell>
        </row>
        <row r="298">
          <cell r="A298">
            <v>201943831</v>
          </cell>
          <cell r="B298">
            <v>2103</v>
          </cell>
          <cell r="C298" t="str">
            <v>Otras Remuneraciones</v>
          </cell>
        </row>
        <row r="299">
          <cell r="A299">
            <v>201943832</v>
          </cell>
          <cell r="B299">
            <v>2103001</v>
          </cell>
          <cell r="C299" t="str">
            <v>Honorarios a Suma Alzada - Personas Naturales</v>
          </cell>
        </row>
        <row r="300">
          <cell r="A300">
            <v>201944570</v>
          </cell>
          <cell r="B300">
            <v>2103001001</v>
          </cell>
          <cell r="C300" t="str">
            <v>Honorarios a Suma Alzada-Honorarios</v>
          </cell>
        </row>
        <row r="301">
          <cell r="A301">
            <v>201944569</v>
          </cell>
          <cell r="B301">
            <v>2103001002</v>
          </cell>
          <cell r="C301" t="str">
            <v>Honorarios a Suma Alzada-Viaticos</v>
          </cell>
        </row>
        <row r="302">
          <cell r="A302">
            <v>201944561</v>
          </cell>
          <cell r="B302">
            <v>2103001111</v>
          </cell>
          <cell r="C302" t="str">
            <v>Honorarios AGES</v>
          </cell>
        </row>
        <row r="303">
          <cell r="A303">
            <v>201943833</v>
          </cell>
          <cell r="B303">
            <v>2103002</v>
          </cell>
          <cell r="C303" t="str">
            <v>Honorarios Asimilados a Grados</v>
          </cell>
        </row>
        <row r="304">
          <cell r="A304">
            <v>201943834</v>
          </cell>
          <cell r="B304">
            <v>2103003</v>
          </cell>
          <cell r="C304" t="str">
            <v>Jornales</v>
          </cell>
        </row>
        <row r="305">
          <cell r="A305">
            <v>201943835</v>
          </cell>
          <cell r="B305">
            <v>2103004</v>
          </cell>
          <cell r="C305" t="str">
            <v>Remuneraciones Reguladas por el Codigo del Trabajo</v>
          </cell>
        </row>
        <row r="306">
          <cell r="A306">
            <v>201943836</v>
          </cell>
          <cell r="B306">
            <v>2103005</v>
          </cell>
          <cell r="C306" t="str">
            <v>Suplencias y Reemplazos</v>
          </cell>
        </row>
        <row r="307">
          <cell r="A307">
            <v>201943837</v>
          </cell>
          <cell r="B307">
            <v>2103006</v>
          </cell>
          <cell r="C307" t="str">
            <v>Personal a Trato y/o Temporal</v>
          </cell>
        </row>
        <row r="308">
          <cell r="A308">
            <v>201943838</v>
          </cell>
          <cell r="B308">
            <v>2103007</v>
          </cell>
          <cell r="C308" t="str">
            <v>Alumnos en Practica</v>
          </cell>
        </row>
        <row r="309">
          <cell r="A309">
            <v>201943839</v>
          </cell>
          <cell r="B309">
            <v>2103999</v>
          </cell>
          <cell r="C309" t="str">
            <v>Otras</v>
          </cell>
        </row>
        <row r="310">
          <cell r="A310">
            <v>201943840</v>
          </cell>
          <cell r="B310">
            <v>2104</v>
          </cell>
          <cell r="C310" t="str">
            <v>Otros Gastos en Personal</v>
          </cell>
        </row>
        <row r="311">
          <cell r="A311">
            <v>201943841</v>
          </cell>
          <cell r="B311">
            <v>2104001</v>
          </cell>
          <cell r="C311" t="str">
            <v>Asignacion de Traslado</v>
          </cell>
        </row>
        <row r="312">
          <cell r="A312">
            <v>201943842</v>
          </cell>
          <cell r="B312">
            <v>2104002</v>
          </cell>
          <cell r="C312" t="str">
            <v>Dieta Parlamentaria</v>
          </cell>
        </row>
        <row r="313">
          <cell r="A313">
            <v>201943843</v>
          </cell>
          <cell r="B313">
            <v>2104003</v>
          </cell>
          <cell r="C313" t="str">
            <v>Dietas a Juntas, Consejos y Comisiones</v>
          </cell>
        </row>
        <row r="314">
          <cell r="A314">
            <v>201943844</v>
          </cell>
          <cell r="B314">
            <v>22</v>
          </cell>
          <cell r="C314" t="str">
            <v>BIENES Y SERVICIOS DE CONSUMO</v>
          </cell>
        </row>
        <row r="315">
          <cell r="A315">
            <v>201943845</v>
          </cell>
          <cell r="B315">
            <v>2201</v>
          </cell>
          <cell r="C315" t="str">
            <v>Alimentos y Bebidas</v>
          </cell>
        </row>
        <row r="316">
          <cell r="A316">
            <v>201943846</v>
          </cell>
          <cell r="B316">
            <v>2201001</v>
          </cell>
          <cell r="C316" t="str">
            <v>Para Personas</v>
          </cell>
        </row>
        <row r="317">
          <cell r="A317">
            <v>201943847</v>
          </cell>
          <cell r="B317">
            <v>2201002</v>
          </cell>
          <cell r="C317" t="str">
            <v>Para Animales</v>
          </cell>
        </row>
        <row r="318">
          <cell r="A318">
            <v>201943848</v>
          </cell>
          <cell r="B318">
            <v>2202</v>
          </cell>
          <cell r="C318" t="str">
            <v>Textiles, Vestuario y Calzado</v>
          </cell>
        </row>
        <row r="319">
          <cell r="A319">
            <v>201943849</v>
          </cell>
          <cell r="B319">
            <v>2202001</v>
          </cell>
          <cell r="C319" t="str">
            <v>Textiles y Acabados Textiles</v>
          </cell>
        </row>
        <row r="320">
          <cell r="A320">
            <v>201943850</v>
          </cell>
          <cell r="B320">
            <v>2202002</v>
          </cell>
          <cell r="C320" t="str">
            <v>Vestuario, Accesorios y Prendas Diversas</v>
          </cell>
        </row>
        <row r="321">
          <cell r="A321">
            <v>201943851</v>
          </cell>
          <cell r="B321">
            <v>2202003</v>
          </cell>
          <cell r="C321" t="str">
            <v>Calzado</v>
          </cell>
        </row>
        <row r="322">
          <cell r="A322">
            <v>201943852</v>
          </cell>
          <cell r="B322">
            <v>2203</v>
          </cell>
          <cell r="C322" t="str">
            <v>Combustibles y Lubricantes</v>
          </cell>
        </row>
        <row r="323">
          <cell r="A323">
            <v>201943853</v>
          </cell>
          <cell r="B323">
            <v>2203001</v>
          </cell>
          <cell r="C323" t="str">
            <v>Para Vehiculos</v>
          </cell>
        </row>
        <row r="324">
          <cell r="A324">
            <v>201943854</v>
          </cell>
          <cell r="B324">
            <v>2203002</v>
          </cell>
          <cell r="C324" t="str">
            <v>Para Maquinarias, Equipos de Produccion, Traccion y Elevacion</v>
          </cell>
        </row>
        <row r="325">
          <cell r="A325">
            <v>201943855</v>
          </cell>
          <cell r="B325">
            <v>2203003</v>
          </cell>
          <cell r="C325" t="str">
            <v>Para Calefaccion</v>
          </cell>
        </row>
        <row r="326">
          <cell r="A326">
            <v>201943856</v>
          </cell>
          <cell r="B326">
            <v>2203999</v>
          </cell>
          <cell r="C326" t="str">
            <v>Para Otros</v>
          </cell>
        </row>
        <row r="327">
          <cell r="A327">
            <v>201943952</v>
          </cell>
          <cell r="B327">
            <v>2204</v>
          </cell>
          <cell r="C327" t="str">
            <v>Materiales de Uso o Consumo</v>
          </cell>
        </row>
        <row r="328">
          <cell r="A328">
            <v>201943953</v>
          </cell>
          <cell r="B328">
            <v>2204001</v>
          </cell>
          <cell r="C328" t="str">
            <v>Materiales de Oficina</v>
          </cell>
        </row>
        <row r="329">
          <cell r="A329">
            <v>201943954</v>
          </cell>
          <cell r="B329">
            <v>2204002</v>
          </cell>
          <cell r="C329" t="str">
            <v>Textos y Otros Materiales de Ensenanza</v>
          </cell>
        </row>
        <row r="330">
          <cell r="A330">
            <v>201943955</v>
          </cell>
          <cell r="B330">
            <v>2204003</v>
          </cell>
          <cell r="C330" t="str">
            <v>Productos Quimicos</v>
          </cell>
        </row>
        <row r="331">
          <cell r="A331">
            <v>201943956</v>
          </cell>
          <cell r="B331">
            <v>2204004</v>
          </cell>
          <cell r="C331" t="str">
            <v>Productos Farmaceuticos</v>
          </cell>
        </row>
        <row r="332">
          <cell r="A332">
            <v>201943957</v>
          </cell>
          <cell r="B332">
            <v>2204005</v>
          </cell>
          <cell r="C332" t="str">
            <v>Materiales y tiles Quirurgicos</v>
          </cell>
        </row>
        <row r="333">
          <cell r="A333">
            <v>201943958</v>
          </cell>
          <cell r="B333">
            <v>2204006</v>
          </cell>
          <cell r="C333" t="str">
            <v>Fertilizantes, Insecticidas, Fungicidas y Otros</v>
          </cell>
        </row>
        <row r="334">
          <cell r="A334">
            <v>201943959</v>
          </cell>
          <cell r="B334">
            <v>2204007</v>
          </cell>
          <cell r="C334" t="str">
            <v>Materiales y tiles de Aseo</v>
          </cell>
        </row>
        <row r="335">
          <cell r="A335">
            <v>201943960</v>
          </cell>
          <cell r="B335">
            <v>2204008</v>
          </cell>
          <cell r="C335" t="str">
            <v>Menaje para Oficina, Casino y Otros</v>
          </cell>
        </row>
        <row r="336">
          <cell r="A336">
            <v>201943961</v>
          </cell>
          <cell r="B336">
            <v>2204009</v>
          </cell>
          <cell r="C336" t="str">
            <v>Insumos, Repuestos y Accesorios Computacionales</v>
          </cell>
        </row>
        <row r="337">
          <cell r="A337">
            <v>201943962</v>
          </cell>
          <cell r="B337">
            <v>2204010</v>
          </cell>
          <cell r="C337" t="str">
            <v>Materiales para Mantenimiento y Reparaciones de Inmuebles</v>
          </cell>
        </row>
        <row r="338">
          <cell r="A338">
            <v>201943963</v>
          </cell>
          <cell r="B338">
            <v>2204011</v>
          </cell>
          <cell r="C338" t="str">
            <v>Repuestos y Accesorios para Mantenimiento y Reparaciones de Vehiculos</v>
          </cell>
        </row>
        <row r="339">
          <cell r="A339">
            <v>201943964</v>
          </cell>
          <cell r="B339">
            <v>2204012</v>
          </cell>
          <cell r="C339" t="str">
            <v>Otros Materiales, Repuestos y tiles Diversos para Mantenimiento y Reparaciones</v>
          </cell>
        </row>
        <row r="340">
          <cell r="A340">
            <v>201943965</v>
          </cell>
          <cell r="B340">
            <v>2204013</v>
          </cell>
          <cell r="C340" t="str">
            <v>Equipos Menores</v>
          </cell>
        </row>
        <row r="341">
          <cell r="A341">
            <v>201943966</v>
          </cell>
          <cell r="B341">
            <v>2204014</v>
          </cell>
          <cell r="C341" t="str">
            <v>Productos Elaborados de Cuero, Caucho y Plasticos</v>
          </cell>
        </row>
        <row r="342">
          <cell r="A342">
            <v>201943967</v>
          </cell>
          <cell r="B342">
            <v>2204015</v>
          </cell>
          <cell r="C342" t="str">
            <v>Productos Agropecuarios y Forestales</v>
          </cell>
        </row>
        <row r="343">
          <cell r="A343">
            <v>201943968</v>
          </cell>
          <cell r="B343">
            <v>2204016</v>
          </cell>
          <cell r="C343" t="str">
            <v>Materias Primas y Semielaboradas</v>
          </cell>
        </row>
        <row r="344">
          <cell r="A344">
            <v>201943969</v>
          </cell>
          <cell r="B344">
            <v>2204999</v>
          </cell>
          <cell r="C344" t="str">
            <v>Otros</v>
          </cell>
        </row>
        <row r="345">
          <cell r="A345">
            <v>201943970</v>
          </cell>
          <cell r="B345">
            <v>2205</v>
          </cell>
          <cell r="C345" t="str">
            <v>Servicios Basicos</v>
          </cell>
        </row>
        <row r="346">
          <cell r="A346">
            <v>201943971</v>
          </cell>
          <cell r="B346">
            <v>2205001</v>
          </cell>
          <cell r="C346" t="str">
            <v>Electricidad</v>
          </cell>
        </row>
        <row r="347">
          <cell r="A347">
            <v>201943972</v>
          </cell>
          <cell r="B347">
            <v>2205002</v>
          </cell>
          <cell r="C347" t="str">
            <v>Agua</v>
          </cell>
        </row>
        <row r="348">
          <cell r="A348">
            <v>201943973</v>
          </cell>
          <cell r="B348">
            <v>2205003</v>
          </cell>
          <cell r="C348" t="str">
            <v>Gas</v>
          </cell>
        </row>
        <row r="349">
          <cell r="A349">
            <v>201943974</v>
          </cell>
          <cell r="B349">
            <v>2205004</v>
          </cell>
          <cell r="C349" t="str">
            <v>Correo</v>
          </cell>
        </row>
        <row r="350">
          <cell r="A350">
            <v>201943975</v>
          </cell>
          <cell r="B350">
            <v>2205005</v>
          </cell>
          <cell r="C350" t="str">
            <v>Telefonia Fija</v>
          </cell>
        </row>
        <row r="351">
          <cell r="A351">
            <v>201943976</v>
          </cell>
          <cell r="B351">
            <v>2205006</v>
          </cell>
          <cell r="C351" t="str">
            <v>Telefonia Celular</v>
          </cell>
        </row>
        <row r="352">
          <cell r="A352">
            <v>201943977</v>
          </cell>
          <cell r="B352">
            <v>2205007</v>
          </cell>
          <cell r="C352" t="str">
            <v>Acceso a Internet</v>
          </cell>
        </row>
        <row r="353">
          <cell r="A353">
            <v>201943978</v>
          </cell>
          <cell r="B353">
            <v>2205008</v>
          </cell>
          <cell r="C353" t="str">
            <v>Enlaces de Telecomunicaciones</v>
          </cell>
        </row>
        <row r="354">
          <cell r="A354">
            <v>201943979</v>
          </cell>
          <cell r="B354">
            <v>2205999</v>
          </cell>
          <cell r="C354" t="str">
            <v>Otros</v>
          </cell>
        </row>
        <row r="355">
          <cell r="A355">
            <v>201943980</v>
          </cell>
          <cell r="B355">
            <v>2206</v>
          </cell>
          <cell r="C355" t="str">
            <v>Mantenimiento y Reparaciones</v>
          </cell>
        </row>
        <row r="356">
          <cell r="A356">
            <v>201943981</v>
          </cell>
          <cell r="B356">
            <v>2206001</v>
          </cell>
          <cell r="C356" t="str">
            <v>Mantenimiento y Reparacion de Edificaciones</v>
          </cell>
        </row>
        <row r="357">
          <cell r="A357">
            <v>201943982</v>
          </cell>
          <cell r="B357">
            <v>2206002</v>
          </cell>
          <cell r="C357" t="str">
            <v>Mantenimiento y Reparacion de Vehiculos</v>
          </cell>
        </row>
        <row r="358">
          <cell r="A358">
            <v>201943983</v>
          </cell>
          <cell r="B358">
            <v>2206003</v>
          </cell>
          <cell r="C358" t="str">
            <v>Mantenimiento y Reparacion de Mobiliarios y Otros</v>
          </cell>
        </row>
        <row r="359">
          <cell r="A359">
            <v>201943984</v>
          </cell>
          <cell r="B359">
            <v>2206004</v>
          </cell>
          <cell r="C359" t="str">
            <v>Mantenimiento y Reparacion de Maquinas y Equipos de Oficina</v>
          </cell>
        </row>
        <row r="360">
          <cell r="A360">
            <v>201943985</v>
          </cell>
          <cell r="B360">
            <v>2206005</v>
          </cell>
          <cell r="C360" t="str">
            <v>Mantenimiento y Reparaciones de Maquinarias y Equipos de Produccion</v>
          </cell>
        </row>
        <row r="361">
          <cell r="A361">
            <v>201943986</v>
          </cell>
          <cell r="B361">
            <v>2206006</v>
          </cell>
          <cell r="C361" t="str">
            <v>Mantenimiento y Reparacion de Otras Maquinarias y Equipos</v>
          </cell>
        </row>
        <row r="362">
          <cell r="A362">
            <v>201943987</v>
          </cell>
          <cell r="B362">
            <v>2206007</v>
          </cell>
          <cell r="C362" t="str">
            <v>Mantenimiento y Reparacion de Equipos Informaticos</v>
          </cell>
        </row>
        <row r="363">
          <cell r="A363">
            <v>201943988</v>
          </cell>
          <cell r="B363">
            <v>2206999</v>
          </cell>
          <cell r="C363" t="str">
            <v>Otros</v>
          </cell>
        </row>
        <row r="364">
          <cell r="A364">
            <v>201943989</v>
          </cell>
          <cell r="B364">
            <v>2207</v>
          </cell>
          <cell r="C364" t="str">
            <v>Publicidad y Difusion</v>
          </cell>
        </row>
        <row r="365">
          <cell r="A365">
            <v>201943990</v>
          </cell>
          <cell r="B365">
            <v>2207001</v>
          </cell>
          <cell r="C365" t="str">
            <v>Servicios de Publicidad</v>
          </cell>
        </row>
        <row r="366">
          <cell r="A366">
            <v>201943991</v>
          </cell>
          <cell r="B366">
            <v>2207002</v>
          </cell>
          <cell r="C366" t="str">
            <v>Servicios de Impresion</v>
          </cell>
        </row>
        <row r="367">
          <cell r="A367">
            <v>201943992</v>
          </cell>
          <cell r="B367">
            <v>2207003</v>
          </cell>
          <cell r="C367" t="str">
            <v>Servicios de Encuadernacion y Empaste</v>
          </cell>
        </row>
        <row r="368">
          <cell r="A368">
            <v>201943993</v>
          </cell>
          <cell r="B368">
            <v>2207999</v>
          </cell>
          <cell r="C368" t="str">
            <v>Otros</v>
          </cell>
        </row>
        <row r="369">
          <cell r="A369">
            <v>201943994</v>
          </cell>
          <cell r="B369">
            <v>2208</v>
          </cell>
          <cell r="C369" t="str">
            <v>Servicios Generales</v>
          </cell>
        </row>
        <row r="370">
          <cell r="A370">
            <v>201943995</v>
          </cell>
          <cell r="B370">
            <v>2208001</v>
          </cell>
          <cell r="C370" t="str">
            <v>Servicios de Aseo</v>
          </cell>
        </row>
        <row r="371">
          <cell r="A371">
            <v>201943996</v>
          </cell>
          <cell r="B371">
            <v>2208002</v>
          </cell>
          <cell r="C371" t="str">
            <v>Servicios de Vigilancia</v>
          </cell>
        </row>
        <row r="372">
          <cell r="A372">
            <v>201943997</v>
          </cell>
          <cell r="B372">
            <v>2208003</v>
          </cell>
          <cell r="C372" t="str">
            <v>Servicios de Mantencion de Jardines</v>
          </cell>
        </row>
        <row r="373">
          <cell r="A373">
            <v>201943998</v>
          </cell>
          <cell r="B373">
            <v>2208007</v>
          </cell>
          <cell r="C373" t="str">
            <v>Pasajes, Fletes y Bodegajes</v>
          </cell>
        </row>
        <row r="374">
          <cell r="A374">
            <v>201943999</v>
          </cell>
          <cell r="B374">
            <v>2208008</v>
          </cell>
          <cell r="C374" t="str">
            <v>Salas Cunas y/o Jardines Infantiles</v>
          </cell>
        </row>
        <row r="375">
          <cell r="A375">
            <v>201944000</v>
          </cell>
          <cell r="B375">
            <v>2208009</v>
          </cell>
          <cell r="C375" t="str">
            <v>Servicios de Pago y Cobranza</v>
          </cell>
        </row>
        <row r="376">
          <cell r="A376">
            <v>201944001</v>
          </cell>
          <cell r="B376">
            <v>2208010</v>
          </cell>
          <cell r="C376" t="str">
            <v>Servicios de Suscripcion y Similares</v>
          </cell>
        </row>
        <row r="377">
          <cell r="A377">
            <v>201944002</v>
          </cell>
          <cell r="B377">
            <v>2208011</v>
          </cell>
          <cell r="C377" t="str">
            <v>Servicios de Produccion y Desarrollo de Eventos</v>
          </cell>
        </row>
        <row r="378">
          <cell r="A378">
            <v>201944003</v>
          </cell>
          <cell r="B378">
            <v>2208999</v>
          </cell>
          <cell r="C378" t="str">
            <v>Otros</v>
          </cell>
        </row>
        <row r="379">
          <cell r="A379">
            <v>201944004</v>
          </cell>
          <cell r="B379">
            <v>2209</v>
          </cell>
          <cell r="C379" t="str">
            <v>Arriendos</v>
          </cell>
        </row>
        <row r="380">
          <cell r="A380">
            <v>201944005</v>
          </cell>
          <cell r="B380">
            <v>2209001</v>
          </cell>
          <cell r="C380" t="str">
            <v>Arriendo de Terrenos</v>
          </cell>
        </row>
        <row r="381">
          <cell r="A381">
            <v>201944006</v>
          </cell>
          <cell r="B381">
            <v>2209002</v>
          </cell>
          <cell r="C381" t="str">
            <v>Arriendo de Edificios</v>
          </cell>
        </row>
        <row r="382">
          <cell r="A382">
            <v>201944007</v>
          </cell>
          <cell r="B382">
            <v>2209003</v>
          </cell>
          <cell r="C382" t="str">
            <v>Arriendo de Vehiculos</v>
          </cell>
        </row>
        <row r="383">
          <cell r="A383">
            <v>201944008</v>
          </cell>
          <cell r="B383">
            <v>2209004</v>
          </cell>
          <cell r="C383" t="str">
            <v>Arriendo de Mobiliario y Otros</v>
          </cell>
        </row>
        <row r="384">
          <cell r="A384">
            <v>201944009</v>
          </cell>
          <cell r="B384">
            <v>2209005</v>
          </cell>
          <cell r="C384" t="str">
            <v>Arriendo de Maquinas y Equipos</v>
          </cell>
        </row>
        <row r="385">
          <cell r="A385">
            <v>201944010</v>
          </cell>
          <cell r="B385">
            <v>2209006</v>
          </cell>
          <cell r="C385" t="str">
            <v>Arriendo de Equipos Informaticos</v>
          </cell>
        </row>
        <row r="386">
          <cell r="A386">
            <v>201944011</v>
          </cell>
          <cell r="B386">
            <v>2209999</v>
          </cell>
          <cell r="C386" t="str">
            <v>Otros</v>
          </cell>
        </row>
        <row r="387">
          <cell r="A387">
            <v>201944012</v>
          </cell>
          <cell r="B387">
            <v>2210</v>
          </cell>
          <cell r="C387" t="str">
            <v>Servicios Financieros y de Seguros</v>
          </cell>
        </row>
        <row r="388">
          <cell r="A388">
            <v>201944013</v>
          </cell>
          <cell r="B388">
            <v>2210001</v>
          </cell>
          <cell r="C388" t="str">
            <v>Gastos Financieros por Compra y Venta de Titulos y Valores</v>
          </cell>
        </row>
        <row r="389">
          <cell r="A389">
            <v>201944014</v>
          </cell>
          <cell r="B389">
            <v>2210002</v>
          </cell>
          <cell r="C389" t="str">
            <v>Primas y Gastos de Seguros</v>
          </cell>
        </row>
        <row r="390">
          <cell r="A390">
            <v>201944015</v>
          </cell>
          <cell r="B390">
            <v>2210003</v>
          </cell>
          <cell r="C390" t="str">
            <v>Servicios de Giros y Remesas</v>
          </cell>
        </row>
        <row r="391">
          <cell r="A391">
            <v>201944016</v>
          </cell>
          <cell r="B391">
            <v>2210004</v>
          </cell>
          <cell r="C391" t="str">
            <v>Gastos Bancarios</v>
          </cell>
        </row>
        <row r="392">
          <cell r="A392">
            <v>201944017</v>
          </cell>
          <cell r="B392">
            <v>2210999</v>
          </cell>
          <cell r="C392" t="str">
            <v>Otros</v>
          </cell>
        </row>
        <row r="393">
          <cell r="A393">
            <v>201944018</v>
          </cell>
          <cell r="B393">
            <v>2211</v>
          </cell>
          <cell r="C393" t="str">
            <v>Servicios Tecnicos y Profesionales</v>
          </cell>
        </row>
        <row r="394">
          <cell r="A394">
            <v>201944019</v>
          </cell>
          <cell r="B394">
            <v>2211001</v>
          </cell>
          <cell r="C394" t="str">
            <v>Estudios e Investigaciones</v>
          </cell>
        </row>
        <row r="395">
          <cell r="A395">
            <v>201944020</v>
          </cell>
          <cell r="B395">
            <v>2211002</v>
          </cell>
          <cell r="C395" t="str">
            <v>Cursos de Capacitacion</v>
          </cell>
        </row>
        <row r="396">
          <cell r="A396">
            <v>201944021</v>
          </cell>
          <cell r="B396">
            <v>2211003</v>
          </cell>
          <cell r="C396" t="str">
            <v>Servicios Informaticos</v>
          </cell>
        </row>
        <row r="397">
          <cell r="A397">
            <v>201944022</v>
          </cell>
          <cell r="B397">
            <v>2211999</v>
          </cell>
          <cell r="C397" t="str">
            <v>Otros</v>
          </cell>
        </row>
        <row r="398">
          <cell r="A398">
            <v>201944023</v>
          </cell>
          <cell r="B398">
            <v>2212</v>
          </cell>
          <cell r="C398" t="str">
            <v>Otros Gastos en Bienes y Servicios de Consumo</v>
          </cell>
        </row>
        <row r="399">
          <cell r="A399">
            <v>201944024</v>
          </cell>
          <cell r="B399">
            <v>2212001</v>
          </cell>
          <cell r="C399" t="str">
            <v>Gastos Reservados</v>
          </cell>
        </row>
        <row r="400">
          <cell r="A400">
            <v>201944025</v>
          </cell>
          <cell r="B400">
            <v>2212002</v>
          </cell>
          <cell r="C400" t="str">
            <v>Gastos Menores</v>
          </cell>
        </row>
        <row r="401">
          <cell r="A401">
            <v>201944026</v>
          </cell>
          <cell r="B401">
            <v>2212003</v>
          </cell>
          <cell r="C401" t="str">
            <v>Gastos de Representacion, Protocolo y Ceremonial</v>
          </cell>
        </row>
        <row r="402">
          <cell r="A402">
            <v>201944027</v>
          </cell>
          <cell r="B402">
            <v>2212004</v>
          </cell>
          <cell r="C402" t="str">
            <v>Intereses, Multas y Recargos</v>
          </cell>
        </row>
        <row r="403">
          <cell r="A403">
            <v>201944028</v>
          </cell>
          <cell r="B403">
            <v>2212005</v>
          </cell>
          <cell r="C403" t="str">
            <v>Derechos y Tasas</v>
          </cell>
        </row>
        <row r="404">
          <cell r="A404">
            <v>201944029</v>
          </cell>
          <cell r="B404">
            <v>2212006</v>
          </cell>
          <cell r="C404" t="str">
            <v>Contribuciones</v>
          </cell>
        </row>
        <row r="405">
          <cell r="A405">
            <v>201944030</v>
          </cell>
          <cell r="B405">
            <v>2212999</v>
          </cell>
          <cell r="C405" t="str">
            <v>Otros</v>
          </cell>
        </row>
        <row r="406">
          <cell r="A406">
            <v>201944031</v>
          </cell>
          <cell r="B406">
            <v>2215</v>
          </cell>
          <cell r="C406" t="str">
            <v>Material Policial y Militar</v>
          </cell>
        </row>
        <row r="407">
          <cell r="A407">
            <v>201944032</v>
          </cell>
          <cell r="B407">
            <v>23</v>
          </cell>
          <cell r="C407" t="str">
            <v>PRESTACIONES DE SEGURIDAD SOCIAL</v>
          </cell>
        </row>
        <row r="408">
          <cell r="A408">
            <v>201944033</v>
          </cell>
          <cell r="B408">
            <v>2301</v>
          </cell>
          <cell r="C408" t="str">
            <v>Prestaciones Previsionales</v>
          </cell>
        </row>
        <row r="409">
          <cell r="A409">
            <v>201944034</v>
          </cell>
          <cell r="B409">
            <v>2301001</v>
          </cell>
          <cell r="C409" t="str">
            <v>Jubilaciones, Pensiones y Montepios</v>
          </cell>
        </row>
        <row r="410">
          <cell r="A410">
            <v>201944035</v>
          </cell>
          <cell r="B410">
            <v>2301002</v>
          </cell>
          <cell r="C410" t="str">
            <v>Bonificaciones</v>
          </cell>
        </row>
        <row r="411">
          <cell r="A411">
            <v>201944036</v>
          </cell>
          <cell r="B411">
            <v>2301003</v>
          </cell>
          <cell r="C411" t="str">
            <v>Bono de Reconocimiento</v>
          </cell>
        </row>
        <row r="412">
          <cell r="A412">
            <v>201944037</v>
          </cell>
          <cell r="B412">
            <v>2301004</v>
          </cell>
          <cell r="C412" t="str">
            <v>Desahucios e Indemnizaciones</v>
          </cell>
        </row>
        <row r="413">
          <cell r="A413">
            <v>201944038</v>
          </cell>
          <cell r="B413">
            <v>2301005</v>
          </cell>
          <cell r="C413" t="str">
            <v>Fondo de Seguro Social de los Empleados Publicos</v>
          </cell>
        </row>
        <row r="414">
          <cell r="A414">
            <v>201944039</v>
          </cell>
          <cell r="B414">
            <v>2301006</v>
          </cell>
          <cell r="C414" t="str">
            <v>Asignacion por Muerte</v>
          </cell>
        </row>
        <row r="415">
          <cell r="A415">
            <v>201944040</v>
          </cell>
          <cell r="B415">
            <v>2301007</v>
          </cell>
          <cell r="C415" t="str">
            <v>Seguro de Vida</v>
          </cell>
        </row>
        <row r="416">
          <cell r="A416">
            <v>201944041</v>
          </cell>
          <cell r="B416">
            <v>2301008</v>
          </cell>
          <cell r="C416" t="str">
            <v>Devolucion de Imposiciones</v>
          </cell>
        </row>
        <row r="417">
          <cell r="A417">
            <v>201944042</v>
          </cell>
          <cell r="B417">
            <v>2301009</v>
          </cell>
          <cell r="C417" t="str">
            <v>Bonificaciones de Salud</v>
          </cell>
        </row>
        <row r="418">
          <cell r="A418">
            <v>201944043</v>
          </cell>
          <cell r="B418">
            <v>2301010</v>
          </cell>
          <cell r="C418" t="str">
            <v>Subsidios de Reposo Preventivo</v>
          </cell>
        </row>
        <row r="419">
          <cell r="A419">
            <v>201944044</v>
          </cell>
          <cell r="B419">
            <v>2301011</v>
          </cell>
          <cell r="C419" t="str">
            <v>Subsidio de Enfermedad y Medicina Curativa</v>
          </cell>
        </row>
        <row r="420">
          <cell r="A420">
            <v>201944045</v>
          </cell>
          <cell r="B420">
            <v>2301012</v>
          </cell>
          <cell r="C420" t="str">
            <v>Subsidios por Accidentes del Trabajo</v>
          </cell>
        </row>
        <row r="421">
          <cell r="A421">
            <v>201944046</v>
          </cell>
          <cell r="B421">
            <v>2301013</v>
          </cell>
          <cell r="C421" t="str">
            <v>Subsidios de Reposo Maternal, Articulo 196 Codigo del Trabajo</v>
          </cell>
        </row>
        <row r="422">
          <cell r="A422">
            <v>201944047</v>
          </cell>
          <cell r="B422">
            <v>2301014</v>
          </cell>
          <cell r="C422" t="str">
            <v>Subsidio Cajas de Compensacion de Asignacion Familiar</v>
          </cell>
        </row>
        <row r="423">
          <cell r="A423">
            <v>201944048</v>
          </cell>
          <cell r="B423">
            <v>2301015</v>
          </cell>
          <cell r="C423" t="str">
            <v>Aporte Fondo de Cesantia Solidario Ley N 19.728</v>
          </cell>
        </row>
        <row r="424">
          <cell r="A424">
            <v>201944150</v>
          </cell>
          <cell r="B424">
            <v>2301016</v>
          </cell>
          <cell r="C424" t="str">
            <v>Bonificacion por Hijo para las Mujeres</v>
          </cell>
        </row>
        <row r="425">
          <cell r="A425">
            <v>201944151</v>
          </cell>
          <cell r="B425">
            <v>2301017</v>
          </cell>
          <cell r="C425" t="str">
            <v>Fondo Bono Laboral Ley N 20.305</v>
          </cell>
        </row>
        <row r="426">
          <cell r="A426">
            <v>201944152</v>
          </cell>
          <cell r="B426">
            <v>2302</v>
          </cell>
          <cell r="C426" t="str">
            <v>Prestaciones de Asistencia Social</v>
          </cell>
        </row>
        <row r="427">
          <cell r="A427">
            <v>201944153</v>
          </cell>
          <cell r="B427">
            <v>2302001</v>
          </cell>
          <cell r="C427" t="str">
            <v>Asignacion Familiar</v>
          </cell>
        </row>
        <row r="428">
          <cell r="A428">
            <v>201944154</v>
          </cell>
          <cell r="B428">
            <v>2302002</v>
          </cell>
          <cell r="C428" t="str">
            <v>Pensiones Asistenciales</v>
          </cell>
        </row>
        <row r="429">
          <cell r="A429">
            <v>201944155</v>
          </cell>
          <cell r="B429">
            <v>2302003</v>
          </cell>
          <cell r="C429" t="str">
            <v>Garantia Estatal Pensiones Minimas</v>
          </cell>
        </row>
        <row r="430">
          <cell r="A430">
            <v>201944156</v>
          </cell>
          <cell r="B430">
            <v>2302004</v>
          </cell>
          <cell r="C430" t="str">
            <v>Ayudas Economicas y Otros Pagos Preventivos</v>
          </cell>
        </row>
        <row r="431">
          <cell r="A431">
            <v>201944157</v>
          </cell>
          <cell r="B431">
            <v>2302005</v>
          </cell>
          <cell r="C431" t="str">
            <v>Subsidios de Reposo Maternal y Cuidado del Nino</v>
          </cell>
        </row>
        <row r="432">
          <cell r="A432">
            <v>201944158</v>
          </cell>
          <cell r="B432">
            <v>2302006</v>
          </cell>
          <cell r="C432" t="str">
            <v>Subsidio de Cesantia</v>
          </cell>
        </row>
        <row r="433">
          <cell r="A433">
            <v>201944159</v>
          </cell>
          <cell r="B433">
            <v>2302007</v>
          </cell>
          <cell r="C433" t="str">
            <v>Pensiones Basicas Solidarias de Vejez</v>
          </cell>
        </row>
        <row r="434">
          <cell r="A434">
            <v>201944160</v>
          </cell>
          <cell r="B434">
            <v>2302008</v>
          </cell>
          <cell r="C434" t="str">
            <v>Pensiones Basicas Solidarias de Invalidez</v>
          </cell>
        </row>
        <row r="435">
          <cell r="A435">
            <v>201944161</v>
          </cell>
          <cell r="B435">
            <v>2302009</v>
          </cell>
          <cell r="C435" t="str">
            <v>Subsidio de Discapacidad Mental</v>
          </cell>
        </row>
        <row r="436">
          <cell r="A436">
            <v>201944162</v>
          </cell>
          <cell r="B436">
            <v>2302010</v>
          </cell>
          <cell r="C436" t="str">
            <v>Bono para Conyuges que cumplan Cincuenta Anos de Matrimonio</v>
          </cell>
        </row>
        <row r="437">
          <cell r="A437">
            <v>201944163</v>
          </cell>
          <cell r="B437">
            <v>2302011</v>
          </cell>
          <cell r="C437" t="str">
            <v>Bonificacion Ley N20.531</v>
          </cell>
        </row>
        <row r="438">
          <cell r="A438">
            <v>201947140</v>
          </cell>
          <cell r="B438">
            <v>2302012</v>
          </cell>
          <cell r="C438" t="str">
            <v>Aporte Familiar Permanente de Marzo</v>
          </cell>
        </row>
        <row r="439">
          <cell r="A439">
            <v>201944164</v>
          </cell>
          <cell r="B439">
            <v>2303</v>
          </cell>
          <cell r="C439" t="str">
            <v>Prestaciones Sociales del Empleador</v>
          </cell>
        </row>
        <row r="440">
          <cell r="A440">
            <v>201944165</v>
          </cell>
          <cell r="B440">
            <v>2303001</v>
          </cell>
          <cell r="C440" t="str">
            <v>Indemnizacion de Cargo Fiscal</v>
          </cell>
        </row>
        <row r="441">
          <cell r="A441">
            <v>201944166</v>
          </cell>
          <cell r="B441">
            <v>2303002</v>
          </cell>
          <cell r="C441" t="str">
            <v>Beneficios Medicos</v>
          </cell>
        </row>
        <row r="442">
          <cell r="A442">
            <v>201944167</v>
          </cell>
          <cell r="B442">
            <v>2303003</v>
          </cell>
          <cell r="C442" t="str">
            <v>Fondo Retiro Funcionarios Publicos Ley N 19.882</v>
          </cell>
        </row>
        <row r="443">
          <cell r="A443">
            <v>201944168</v>
          </cell>
          <cell r="B443">
            <v>2303004</v>
          </cell>
          <cell r="C443" t="str">
            <v>Otras Indemnizaciones</v>
          </cell>
        </row>
        <row r="444">
          <cell r="A444">
            <v>201944169</v>
          </cell>
          <cell r="B444">
            <v>24</v>
          </cell>
          <cell r="C444" t="str">
            <v>TRANSFERENCIAS CORRIENTES</v>
          </cell>
        </row>
        <row r="445">
          <cell r="A445">
            <v>201944170</v>
          </cell>
          <cell r="B445">
            <v>2401</v>
          </cell>
          <cell r="C445" t="str">
            <v>Al Sector Privado</v>
          </cell>
        </row>
        <row r="446">
          <cell r="A446">
            <v>201944171</v>
          </cell>
          <cell r="B446">
            <v>2402</v>
          </cell>
          <cell r="C446" t="str">
            <v>Al Gobierno Central</v>
          </cell>
        </row>
        <row r="447">
          <cell r="A447">
            <v>201944663</v>
          </cell>
          <cell r="B447">
            <v>2402005</v>
          </cell>
          <cell r="C447" t="str">
            <v>A la Direccion de Bibliotecas Archivos y Museos</v>
          </cell>
        </row>
        <row r="448">
          <cell r="A448">
            <v>201947087</v>
          </cell>
          <cell r="B448">
            <v>2402010</v>
          </cell>
          <cell r="C448" t="str">
            <v>Programa Inversion Regional Region X</v>
          </cell>
        </row>
        <row r="449">
          <cell r="A449">
            <v>201947083</v>
          </cell>
          <cell r="B449">
            <v>2402016</v>
          </cell>
          <cell r="C449" t="str">
            <v>Subsecretaria de Desarrollo Regional y Administrativo - Programa 01</v>
          </cell>
        </row>
        <row r="450">
          <cell r="A450">
            <v>201947143</v>
          </cell>
          <cell r="B450">
            <v>2402017</v>
          </cell>
          <cell r="C450" t="str">
            <v>Subsecretaria de Desarollo Regional y Administrativo - Programa 02</v>
          </cell>
        </row>
        <row r="451">
          <cell r="A451">
            <v>201947088</v>
          </cell>
          <cell r="B451">
            <v>2402018</v>
          </cell>
          <cell r="C451" t="str">
            <v>Subsecretaria del Interior - Programa 01</v>
          </cell>
        </row>
        <row r="452">
          <cell r="A452">
            <v>201947089</v>
          </cell>
          <cell r="B452">
            <v>2402101</v>
          </cell>
          <cell r="C452" t="str">
            <v>Programa Gastos de Funcionamiento Region I</v>
          </cell>
        </row>
        <row r="453">
          <cell r="A453">
            <v>201947090</v>
          </cell>
          <cell r="B453">
            <v>2402102</v>
          </cell>
          <cell r="C453" t="str">
            <v>Programa Gastos de Funcionamiento Region II</v>
          </cell>
        </row>
        <row r="454">
          <cell r="A454">
            <v>201947091</v>
          </cell>
          <cell r="B454">
            <v>2402103</v>
          </cell>
          <cell r="C454" t="str">
            <v>Programa Gastos de Funcionamiento Region III</v>
          </cell>
        </row>
        <row r="455">
          <cell r="A455">
            <v>201947092</v>
          </cell>
          <cell r="B455">
            <v>2402104</v>
          </cell>
          <cell r="C455" t="str">
            <v>Programa Gastos de Funcionamiento Region IV</v>
          </cell>
        </row>
        <row r="456">
          <cell r="A456">
            <v>201947093</v>
          </cell>
          <cell r="B456">
            <v>2402105</v>
          </cell>
          <cell r="C456" t="str">
            <v>Programa Gastos de Funcionamiento Region V</v>
          </cell>
        </row>
        <row r="457">
          <cell r="A457">
            <v>201947094</v>
          </cell>
          <cell r="B457">
            <v>2402106</v>
          </cell>
          <cell r="C457" t="str">
            <v>Programa Gastos de Funcionamiento Region VI</v>
          </cell>
        </row>
        <row r="458">
          <cell r="A458">
            <v>201947095</v>
          </cell>
          <cell r="B458">
            <v>2402107</v>
          </cell>
          <cell r="C458" t="str">
            <v>Programa Gastos de Funcionamiento Region VII</v>
          </cell>
        </row>
        <row r="459">
          <cell r="A459">
            <v>201947096</v>
          </cell>
          <cell r="B459">
            <v>2402108</v>
          </cell>
          <cell r="C459" t="str">
            <v>Programa Gastos de Funcionamiento Region VIII</v>
          </cell>
        </row>
        <row r="460">
          <cell r="A460">
            <v>201947097</v>
          </cell>
          <cell r="B460">
            <v>2402109</v>
          </cell>
          <cell r="C460" t="str">
            <v>Programa Gastos de Funcionamiento Region IX</v>
          </cell>
        </row>
        <row r="461">
          <cell r="A461">
            <v>201947098</v>
          </cell>
          <cell r="B461">
            <v>2402110</v>
          </cell>
          <cell r="C461" t="str">
            <v>Programa Gastos de Funcionamiento Region X</v>
          </cell>
        </row>
        <row r="462">
          <cell r="A462">
            <v>201947099</v>
          </cell>
          <cell r="B462">
            <v>2402111</v>
          </cell>
          <cell r="C462" t="str">
            <v>Programa Gastos de Funcionamiento Region XI</v>
          </cell>
        </row>
        <row r="463">
          <cell r="A463">
            <v>201947100</v>
          </cell>
          <cell r="B463">
            <v>2402112</v>
          </cell>
          <cell r="C463" t="str">
            <v>Programa Gastos de Funcionamiento Region XII</v>
          </cell>
        </row>
        <row r="464">
          <cell r="A464">
            <v>201947101</v>
          </cell>
          <cell r="B464">
            <v>2402113</v>
          </cell>
          <cell r="C464" t="str">
            <v>Programa Gastos de Funcionamiento Region Metropolitana</v>
          </cell>
        </row>
        <row r="465">
          <cell r="A465">
            <v>201947102</v>
          </cell>
          <cell r="B465">
            <v>2402114</v>
          </cell>
          <cell r="C465" t="str">
            <v>Programa Gastos de Funcionamiento Region XIV</v>
          </cell>
        </row>
        <row r="466">
          <cell r="A466">
            <v>201947103</v>
          </cell>
          <cell r="B466">
            <v>2402115</v>
          </cell>
          <cell r="C466" t="str">
            <v>Programa Gastos de Funcionamiento Region XV</v>
          </cell>
        </row>
        <row r="467">
          <cell r="A467">
            <v>201944172</v>
          </cell>
          <cell r="B467">
            <v>2403</v>
          </cell>
          <cell r="C467" t="str">
            <v>A Otras Entidades Publicas</v>
          </cell>
        </row>
        <row r="468">
          <cell r="A468">
            <v>201944560</v>
          </cell>
          <cell r="B468">
            <v>2403024</v>
          </cell>
          <cell r="C468" t="str">
            <v>Capacitacion en Desarrollo Regional y Comunal</v>
          </cell>
        </row>
        <row r="469">
          <cell r="A469">
            <v>201944664</v>
          </cell>
          <cell r="B469">
            <v>2403026</v>
          </cell>
          <cell r="C469" t="str">
            <v>Programa Academia Capacitacion Municipal y Regional</v>
          </cell>
        </row>
        <row r="470">
          <cell r="A470">
            <v>201944577</v>
          </cell>
          <cell r="B470">
            <v>2403029</v>
          </cell>
          <cell r="C470" t="str">
            <v>Municipalidades</v>
          </cell>
        </row>
        <row r="471">
          <cell r="A471">
            <v>201944573</v>
          </cell>
          <cell r="B471">
            <v>2403031</v>
          </cell>
          <cell r="C471" t="str">
            <v>Programa de Apoyo a la Acreditacion de Calidad de Servicios Municipales</v>
          </cell>
        </row>
        <row r="472">
          <cell r="A472">
            <v>201944559</v>
          </cell>
          <cell r="B472">
            <v>2403032</v>
          </cell>
          <cell r="C472" t="str">
            <v>Programa de Mejoramiento de la Gestion Municipal</v>
          </cell>
        </row>
        <row r="473">
          <cell r="A473">
            <v>201944665</v>
          </cell>
          <cell r="B473">
            <v>2403112</v>
          </cell>
          <cell r="C473" t="str">
            <v>Oficina Fondo Recuperacion de Ciudades</v>
          </cell>
        </row>
        <row r="474">
          <cell r="A474">
            <v>201944653</v>
          </cell>
          <cell r="B474">
            <v>2403399</v>
          </cell>
          <cell r="C474" t="str">
            <v>Oficina Credito de Apoyo a la Gestion Subnacional</v>
          </cell>
        </row>
        <row r="475">
          <cell r="A475">
            <v>201944568</v>
          </cell>
          <cell r="B475">
            <v>2403403</v>
          </cell>
          <cell r="C475" t="str">
            <v>Municipalidades (Compensacion por Predios Exentos)</v>
          </cell>
        </row>
        <row r="476">
          <cell r="A476">
            <v>201944572</v>
          </cell>
          <cell r="B476">
            <v>2403405</v>
          </cell>
          <cell r="C476" t="str">
            <v>Oficina Credito Puesta en Valor del Patrimonio</v>
          </cell>
        </row>
        <row r="477">
          <cell r="A477">
            <v>201947169</v>
          </cell>
          <cell r="B477">
            <v>2403406</v>
          </cell>
          <cell r="C477" t="str">
            <v>Municipalidades (Programa Esterilizacion y Atencion Sanitaria de Animales de Compania)</v>
          </cell>
        </row>
        <row r="478">
          <cell r="A478">
            <v>201947156</v>
          </cell>
          <cell r="B478">
            <v>2403408</v>
          </cell>
          <cell r="C478" t="str">
            <v>Programa de Buenas Practicas para el Desarrollo de los Territorios</v>
          </cell>
        </row>
        <row r="479">
          <cell r="A479">
            <v>201944173</v>
          </cell>
          <cell r="B479">
            <v>2404</v>
          </cell>
          <cell r="C479" t="str">
            <v>A Empresas Publicas no Financieras</v>
          </cell>
        </row>
        <row r="480">
          <cell r="A480">
            <v>201944174</v>
          </cell>
          <cell r="B480">
            <v>2405</v>
          </cell>
          <cell r="C480" t="str">
            <v>A Empresas Publicas Financieras</v>
          </cell>
        </row>
        <row r="481">
          <cell r="A481">
            <v>201944175</v>
          </cell>
          <cell r="B481">
            <v>2406</v>
          </cell>
          <cell r="C481" t="str">
            <v>A Gobiernos Extranjeros</v>
          </cell>
        </row>
        <row r="482">
          <cell r="A482">
            <v>201944176</v>
          </cell>
          <cell r="B482">
            <v>2407</v>
          </cell>
          <cell r="C482" t="str">
            <v>A Organismos Internacionales</v>
          </cell>
        </row>
        <row r="483">
          <cell r="A483">
            <v>201947123</v>
          </cell>
          <cell r="B483">
            <v>2407001</v>
          </cell>
          <cell r="C483" t="str">
            <v>A Organizacion para la Cooperacion y Desarrollo Economico</v>
          </cell>
        </row>
        <row r="484">
          <cell r="A484">
            <v>201947124</v>
          </cell>
          <cell r="B484">
            <v>2407002</v>
          </cell>
          <cell r="C484" t="str">
            <v>A Comision Economica Para America Latina y el Caribe de las Naciones Unidas</v>
          </cell>
        </row>
        <row r="485">
          <cell r="A485">
            <v>201944177</v>
          </cell>
          <cell r="B485">
            <v>25</v>
          </cell>
          <cell r="C485" t="str">
            <v>INTEGROS AL FISCO</v>
          </cell>
        </row>
        <row r="486">
          <cell r="A486">
            <v>201944178</v>
          </cell>
          <cell r="B486">
            <v>2501</v>
          </cell>
          <cell r="C486" t="str">
            <v>Impuestos</v>
          </cell>
        </row>
        <row r="487">
          <cell r="A487">
            <v>201944179</v>
          </cell>
          <cell r="B487">
            <v>2502</v>
          </cell>
          <cell r="C487" t="str">
            <v>Anticipos y/o Utilidades</v>
          </cell>
        </row>
        <row r="488">
          <cell r="A488">
            <v>201944180</v>
          </cell>
          <cell r="B488">
            <v>2503</v>
          </cell>
          <cell r="C488" t="str">
            <v>Excedentes de Caja</v>
          </cell>
        </row>
        <row r="489">
          <cell r="A489">
            <v>201944181</v>
          </cell>
          <cell r="B489">
            <v>2599</v>
          </cell>
          <cell r="C489" t="str">
            <v>Otros ntegros al Fisco</v>
          </cell>
        </row>
        <row r="490">
          <cell r="A490">
            <v>201944182</v>
          </cell>
          <cell r="B490">
            <v>26</v>
          </cell>
          <cell r="C490" t="str">
            <v>OTROS GASTOS CORRIENTES</v>
          </cell>
        </row>
        <row r="491">
          <cell r="A491">
            <v>201944183</v>
          </cell>
          <cell r="B491">
            <v>2601</v>
          </cell>
          <cell r="C491" t="str">
            <v>Devoluciones</v>
          </cell>
        </row>
        <row r="492">
          <cell r="A492">
            <v>201944184</v>
          </cell>
          <cell r="B492">
            <v>2602</v>
          </cell>
          <cell r="C492" t="str">
            <v>Compensaciones por Danos a Terceros y/o a la Propiedad</v>
          </cell>
        </row>
        <row r="493">
          <cell r="A493">
            <v>201944185</v>
          </cell>
          <cell r="B493">
            <v>2603</v>
          </cell>
          <cell r="C493" t="str">
            <v>2% Constitucional</v>
          </cell>
        </row>
        <row r="494">
          <cell r="A494">
            <v>201944186</v>
          </cell>
          <cell r="B494">
            <v>2604</v>
          </cell>
          <cell r="C494" t="str">
            <v>Aplicacion Fondos de Terceros</v>
          </cell>
        </row>
        <row r="495">
          <cell r="A495">
            <v>201944187</v>
          </cell>
          <cell r="B495">
            <v>27</v>
          </cell>
          <cell r="C495" t="str">
            <v>APORTE FISCAL LIBRE</v>
          </cell>
        </row>
        <row r="496">
          <cell r="A496">
            <v>201944188</v>
          </cell>
          <cell r="B496">
            <v>28</v>
          </cell>
          <cell r="C496" t="str">
            <v>APORTE FISCAL PARA SERVICIO DE LA DEUDA</v>
          </cell>
        </row>
        <row r="497">
          <cell r="A497">
            <v>201944189</v>
          </cell>
          <cell r="B497">
            <v>29</v>
          </cell>
          <cell r="C497" t="str">
            <v>ADQUISICION DE ACTIVOS NO FINANCIEROS</v>
          </cell>
        </row>
        <row r="498">
          <cell r="A498">
            <v>201944190</v>
          </cell>
          <cell r="B498">
            <v>2901</v>
          </cell>
          <cell r="C498" t="str">
            <v>Terrenos</v>
          </cell>
        </row>
        <row r="499">
          <cell r="A499">
            <v>201944191</v>
          </cell>
          <cell r="B499">
            <v>2902</v>
          </cell>
          <cell r="C499" t="str">
            <v>Edificios</v>
          </cell>
        </row>
        <row r="500">
          <cell r="A500">
            <v>201944192</v>
          </cell>
          <cell r="B500">
            <v>2903</v>
          </cell>
          <cell r="C500" t="str">
            <v>Vehiculos</v>
          </cell>
        </row>
        <row r="501">
          <cell r="A501">
            <v>201944193</v>
          </cell>
          <cell r="B501">
            <v>2904</v>
          </cell>
          <cell r="C501" t="str">
            <v>Mobiliario y Otros</v>
          </cell>
        </row>
        <row r="502">
          <cell r="A502">
            <v>201944194</v>
          </cell>
          <cell r="B502">
            <v>2905</v>
          </cell>
          <cell r="C502" t="str">
            <v>Maquinas y Equipos</v>
          </cell>
        </row>
        <row r="503">
          <cell r="A503">
            <v>201944195</v>
          </cell>
          <cell r="B503">
            <v>2905001</v>
          </cell>
          <cell r="C503" t="str">
            <v>Maquinas y Equipos de Oficina</v>
          </cell>
        </row>
        <row r="504">
          <cell r="A504">
            <v>201944196</v>
          </cell>
          <cell r="B504">
            <v>2905002</v>
          </cell>
          <cell r="C504" t="str">
            <v>Maquinarias y Equipos para la Produccion</v>
          </cell>
        </row>
        <row r="505">
          <cell r="A505">
            <v>201944197</v>
          </cell>
          <cell r="B505">
            <v>2905999</v>
          </cell>
          <cell r="C505" t="str">
            <v>Otras</v>
          </cell>
        </row>
        <row r="506">
          <cell r="A506">
            <v>201944198</v>
          </cell>
          <cell r="B506">
            <v>2906</v>
          </cell>
          <cell r="C506" t="str">
            <v>Equipos Informaticos</v>
          </cell>
        </row>
        <row r="507">
          <cell r="A507">
            <v>201944199</v>
          </cell>
          <cell r="B507">
            <v>2906001</v>
          </cell>
          <cell r="C507" t="str">
            <v>Equipos Computacionales y Perifericos</v>
          </cell>
        </row>
        <row r="508">
          <cell r="A508">
            <v>201944441</v>
          </cell>
          <cell r="B508">
            <v>2906002</v>
          </cell>
          <cell r="C508" t="str">
            <v>Equipos de Comunicaciones para Redes Informaticas</v>
          </cell>
        </row>
        <row r="509">
          <cell r="A509">
            <v>201944442</v>
          </cell>
          <cell r="B509">
            <v>2907</v>
          </cell>
          <cell r="C509" t="str">
            <v>Programas Informaticos</v>
          </cell>
        </row>
        <row r="510">
          <cell r="A510">
            <v>201944443</v>
          </cell>
          <cell r="B510">
            <v>2907001</v>
          </cell>
          <cell r="C510" t="str">
            <v>Programas Computacionales</v>
          </cell>
        </row>
        <row r="511">
          <cell r="A511">
            <v>201944444</v>
          </cell>
          <cell r="B511">
            <v>2907002</v>
          </cell>
          <cell r="C511" t="str">
            <v>Sistemas de Informacion</v>
          </cell>
        </row>
        <row r="512">
          <cell r="A512">
            <v>201944445</v>
          </cell>
          <cell r="B512">
            <v>2999</v>
          </cell>
          <cell r="C512" t="str">
            <v>Otros Activos no Financieros</v>
          </cell>
        </row>
        <row r="513">
          <cell r="A513">
            <v>201944446</v>
          </cell>
          <cell r="B513">
            <v>30</v>
          </cell>
          <cell r="C513" t="str">
            <v>ADQUISICION DE ACTIVOS FINANCIEROS</v>
          </cell>
        </row>
        <row r="514">
          <cell r="A514">
            <v>201944447</v>
          </cell>
          <cell r="B514">
            <v>3001</v>
          </cell>
          <cell r="C514" t="str">
            <v>Compra de Titulos y Valores</v>
          </cell>
        </row>
        <row r="515">
          <cell r="A515">
            <v>201944448</v>
          </cell>
          <cell r="B515">
            <v>3001001</v>
          </cell>
          <cell r="C515" t="str">
            <v>Depositos a Plazo</v>
          </cell>
        </row>
        <row r="516">
          <cell r="A516">
            <v>201944449</v>
          </cell>
          <cell r="B516">
            <v>3001002</v>
          </cell>
          <cell r="C516" t="str">
            <v>Pactos de Retrocompra</v>
          </cell>
        </row>
        <row r="517">
          <cell r="A517">
            <v>201944450</v>
          </cell>
          <cell r="B517">
            <v>3001003</v>
          </cell>
          <cell r="C517" t="str">
            <v>Cuotas de Fondos Mutuos</v>
          </cell>
        </row>
        <row r="518">
          <cell r="A518">
            <v>201944451</v>
          </cell>
          <cell r="B518">
            <v>3001004</v>
          </cell>
          <cell r="C518" t="str">
            <v>Bonos o Pagares</v>
          </cell>
        </row>
        <row r="519">
          <cell r="A519">
            <v>201944452</v>
          </cell>
          <cell r="B519">
            <v>3001005</v>
          </cell>
          <cell r="C519" t="str">
            <v>Letras Hipotecarias</v>
          </cell>
        </row>
        <row r="520">
          <cell r="A520">
            <v>201944453</v>
          </cell>
          <cell r="B520">
            <v>3001999</v>
          </cell>
          <cell r="C520" t="str">
            <v>Otros</v>
          </cell>
        </row>
        <row r="521">
          <cell r="A521">
            <v>201944454</v>
          </cell>
          <cell r="B521">
            <v>3002</v>
          </cell>
          <cell r="C521" t="str">
            <v>Compra de Acciones y Participaciones de Capital</v>
          </cell>
        </row>
        <row r="522">
          <cell r="A522">
            <v>201944455</v>
          </cell>
          <cell r="B522">
            <v>3003</v>
          </cell>
          <cell r="C522" t="str">
            <v>Operaciones de Cambio</v>
          </cell>
        </row>
        <row r="523">
          <cell r="A523">
            <v>201944456</v>
          </cell>
          <cell r="B523">
            <v>3099</v>
          </cell>
          <cell r="C523" t="str">
            <v>Otros Activos Financieros</v>
          </cell>
        </row>
        <row r="524">
          <cell r="A524">
            <v>201944457</v>
          </cell>
          <cell r="B524">
            <v>31</v>
          </cell>
          <cell r="C524" t="str">
            <v>INICIATIVAS DE INVERSION</v>
          </cell>
        </row>
        <row r="525">
          <cell r="A525">
            <v>201944458</v>
          </cell>
          <cell r="B525">
            <v>3101</v>
          </cell>
          <cell r="C525" t="str">
            <v>Estudios Basicos</v>
          </cell>
        </row>
        <row r="526">
          <cell r="A526">
            <v>201944459</v>
          </cell>
          <cell r="B526">
            <v>3101001</v>
          </cell>
          <cell r="C526" t="str">
            <v>Gastos Administrativos</v>
          </cell>
        </row>
        <row r="527">
          <cell r="A527">
            <v>201944460</v>
          </cell>
          <cell r="B527">
            <v>3101002</v>
          </cell>
          <cell r="C527" t="str">
            <v>Consultorias</v>
          </cell>
        </row>
        <row r="528">
          <cell r="A528">
            <v>201944461</v>
          </cell>
          <cell r="B528">
            <v>3102</v>
          </cell>
          <cell r="C528" t="str">
            <v>Proyectos</v>
          </cell>
        </row>
        <row r="529">
          <cell r="A529">
            <v>201944462</v>
          </cell>
          <cell r="B529">
            <v>3102001</v>
          </cell>
          <cell r="C529" t="str">
            <v>Gastos Administrativos</v>
          </cell>
        </row>
        <row r="530">
          <cell r="A530">
            <v>201944463</v>
          </cell>
          <cell r="B530">
            <v>3102002</v>
          </cell>
          <cell r="C530" t="str">
            <v>Consultorias</v>
          </cell>
        </row>
        <row r="531">
          <cell r="A531">
            <v>201944464</v>
          </cell>
          <cell r="B531">
            <v>3102003</v>
          </cell>
          <cell r="C531" t="str">
            <v>Terrenos</v>
          </cell>
        </row>
        <row r="532">
          <cell r="A532">
            <v>201944465</v>
          </cell>
          <cell r="B532">
            <v>3102004</v>
          </cell>
          <cell r="C532" t="str">
            <v>Obras Civiles</v>
          </cell>
        </row>
        <row r="533">
          <cell r="A533">
            <v>201944466</v>
          </cell>
          <cell r="B533">
            <v>3102005</v>
          </cell>
          <cell r="C533" t="str">
            <v>Equipamiento</v>
          </cell>
        </row>
        <row r="534">
          <cell r="A534">
            <v>201944467</v>
          </cell>
          <cell r="B534">
            <v>3102006</v>
          </cell>
          <cell r="C534" t="str">
            <v>Equipos</v>
          </cell>
        </row>
        <row r="535">
          <cell r="A535">
            <v>201944468</v>
          </cell>
          <cell r="B535">
            <v>3102007</v>
          </cell>
          <cell r="C535" t="str">
            <v>Vehiculos</v>
          </cell>
        </row>
        <row r="536">
          <cell r="A536">
            <v>201944469</v>
          </cell>
          <cell r="B536">
            <v>3102999</v>
          </cell>
          <cell r="C536" t="str">
            <v>Otros Gastos</v>
          </cell>
        </row>
        <row r="537">
          <cell r="A537">
            <v>201944470</v>
          </cell>
          <cell r="B537">
            <v>3103</v>
          </cell>
          <cell r="C537" t="str">
            <v>Programas de Inversion</v>
          </cell>
        </row>
        <row r="538">
          <cell r="A538">
            <v>201944471</v>
          </cell>
          <cell r="B538">
            <v>3103001</v>
          </cell>
          <cell r="C538" t="str">
            <v>Gastos Administrativos</v>
          </cell>
        </row>
        <row r="539">
          <cell r="A539">
            <v>201944472</v>
          </cell>
          <cell r="B539">
            <v>3103002</v>
          </cell>
          <cell r="C539" t="str">
            <v>Consultorias</v>
          </cell>
        </row>
        <row r="540">
          <cell r="A540">
            <v>201944473</v>
          </cell>
          <cell r="B540">
            <v>3103003</v>
          </cell>
          <cell r="C540" t="str">
            <v>Contratacion del Programa</v>
          </cell>
        </row>
        <row r="541">
          <cell r="A541">
            <v>201944474</v>
          </cell>
          <cell r="B541">
            <v>32</v>
          </cell>
          <cell r="C541" t="str">
            <v>PRESTAMOS</v>
          </cell>
        </row>
        <row r="542">
          <cell r="A542">
            <v>201944475</v>
          </cell>
          <cell r="B542">
            <v>3201</v>
          </cell>
          <cell r="C542" t="str">
            <v>De Asistencia Social</v>
          </cell>
        </row>
        <row r="543">
          <cell r="A543">
            <v>201944476</v>
          </cell>
          <cell r="B543">
            <v>3202</v>
          </cell>
          <cell r="C543" t="str">
            <v>Hipotecarios</v>
          </cell>
        </row>
        <row r="544">
          <cell r="A544">
            <v>201944477</v>
          </cell>
          <cell r="B544">
            <v>3203</v>
          </cell>
          <cell r="C544" t="str">
            <v>Pignoraticios</v>
          </cell>
        </row>
        <row r="545">
          <cell r="A545">
            <v>201944478</v>
          </cell>
          <cell r="B545">
            <v>3204</v>
          </cell>
          <cell r="C545" t="str">
            <v>De Fomento</v>
          </cell>
        </row>
        <row r="546">
          <cell r="A546">
            <v>201944667</v>
          </cell>
          <cell r="B546">
            <v>3204002</v>
          </cell>
          <cell r="C546" t="str">
            <v>Municipalidades</v>
          </cell>
        </row>
        <row r="547">
          <cell r="A547">
            <v>201944479</v>
          </cell>
          <cell r="B547">
            <v>3205</v>
          </cell>
          <cell r="C547" t="str">
            <v>Medicos</v>
          </cell>
        </row>
        <row r="548">
          <cell r="A548">
            <v>201944480</v>
          </cell>
          <cell r="B548">
            <v>3206</v>
          </cell>
          <cell r="C548" t="str">
            <v>Por Anticipos a Contratistas</v>
          </cell>
        </row>
        <row r="549">
          <cell r="A549">
            <v>201944481</v>
          </cell>
          <cell r="B549">
            <v>3207</v>
          </cell>
          <cell r="C549" t="str">
            <v>Por Anticipos por Cambio de Residencia</v>
          </cell>
        </row>
        <row r="550">
          <cell r="A550">
            <v>201944482</v>
          </cell>
          <cell r="B550">
            <v>3209</v>
          </cell>
          <cell r="C550" t="str">
            <v>Por Ventas a Plazo</v>
          </cell>
        </row>
        <row r="551">
          <cell r="A551">
            <v>201944483</v>
          </cell>
          <cell r="B551">
            <v>33</v>
          </cell>
          <cell r="C551" t="str">
            <v>TRANSFERENCIAS DE CAPITAL</v>
          </cell>
        </row>
        <row r="552">
          <cell r="A552">
            <v>201944484</v>
          </cell>
          <cell r="B552">
            <v>3301</v>
          </cell>
          <cell r="C552" t="str">
            <v>Al Sector Privado</v>
          </cell>
        </row>
        <row r="553">
          <cell r="A553">
            <v>201944485</v>
          </cell>
          <cell r="B553">
            <v>3302</v>
          </cell>
          <cell r="C553" t="str">
            <v>Al Gobierno Central</v>
          </cell>
        </row>
        <row r="554">
          <cell r="A554">
            <v>201944578</v>
          </cell>
          <cell r="B554">
            <v>3302001</v>
          </cell>
          <cell r="C554" t="str">
            <v>Programa Inversion Regional Region I</v>
          </cell>
        </row>
        <row r="555">
          <cell r="A555">
            <v>201944579</v>
          </cell>
          <cell r="B555">
            <v>3302002</v>
          </cell>
          <cell r="C555" t="str">
            <v>Programa Inversion Regional Region II</v>
          </cell>
        </row>
        <row r="556">
          <cell r="A556">
            <v>201944580</v>
          </cell>
          <cell r="B556">
            <v>3302003</v>
          </cell>
          <cell r="C556" t="str">
            <v>Programa Inversion Regional Region III</v>
          </cell>
        </row>
        <row r="557">
          <cell r="A557">
            <v>201944581</v>
          </cell>
          <cell r="B557">
            <v>3302004</v>
          </cell>
          <cell r="C557" t="str">
            <v>Programa Inversion Regional Region IV</v>
          </cell>
        </row>
        <row r="558">
          <cell r="A558">
            <v>201944582</v>
          </cell>
          <cell r="B558">
            <v>3302005</v>
          </cell>
          <cell r="C558" t="str">
            <v>Programa Inversion Regional Region V</v>
          </cell>
        </row>
        <row r="559">
          <cell r="A559">
            <v>201944583</v>
          </cell>
          <cell r="B559">
            <v>3302006</v>
          </cell>
          <cell r="C559" t="str">
            <v>Programa Inversion Regional Region VI</v>
          </cell>
        </row>
        <row r="560">
          <cell r="A560">
            <v>201944584</v>
          </cell>
          <cell r="B560">
            <v>3302007</v>
          </cell>
          <cell r="C560" t="str">
            <v>Programa Inversion Regional Region VII</v>
          </cell>
        </row>
        <row r="561">
          <cell r="A561">
            <v>201944585</v>
          </cell>
          <cell r="B561">
            <v>3302008</v>
          </cell>
          <cell r="C561" t="str">
            <v>Programa Inversion Regional Region VIII</v>
          </cell>
        </row>
        <row r="562">
          <cell r="A562">
            <v>201944586</v>
          </cell>
          <cell r="B562">
            <v>3302009</v>
          </cell>
          <cell r="C562" t="str">
            <v>Programa Inversion Regional Region IX</v>
          </cell>
        </row>
        <row r="563">
          <cell r="A563">
            <v>201944587</v>
          </cell>
          <cell r="B563">
            <v>3302010</v>
          </cell>
          <cell r="C563" t="str">
            <v>Programa Inversion Regional Region X</v>
          </cell>
        </row>
        <row r="564">
          <cell r="A564">
            <v>201944658</v>
          </cell>
          <cell r="B564">
            <v>3302011</v>
          </cell>
          <cell r="C564" t="str">
            <v>Programa Inversion Regional Region XI</v>
          </cell>
        </row>
        <row r="565">
          <cell r="A565">
            <v>201944588</v>
          </cell>
          <cell r="B565">
            <v>3302012</v>
          </cell>
          <cell r="C565" t="str">
            <v>Programa Inversion Regional Region XII</v>
          </cell>
        </row>
        <row r="566">
          <cell r="A566">
            <v>201944642</v>
          </cell>
          <cell r="B566">
            <v>3302013</v>
          </cell>
          <cell r="C566" t="str">
            <v>Programa Inversion Regional Region Metropolitana</v>
          </cell>
        </row>
        <row r="567">
          <cell r="A567">
            <v>201944656</v>
          </cell>
          <cell r="B567">
            <v>3302014</v>
          </cell>
          <cell r="C567" t="str">
            <v>Programa Inversion Regional Region XIV</v>
          </cell>
        </row>
        <row r="568">
          <cell r="A568">
            <v>201944657</v>
          </cell>
          <cell r="B568">
            <v>3302015</v>
          </cell>
          <cell r="C568" t="str">
            <v>Programa Inversion Regional Region XV</v>
          </cell>
        </row>
        <row r="569">
          <cell r="A569">
            <v>201946403</v>
          </cell>
          <cell r="B569">
            <v>3302016</v>
          </cell>
          <cell r="C569" t="str">
            <v>Al Consejo Nacional De La Cultura Y Las Artes</v>
          </cell>
        </row>
        <row r="570">
          <cell r="A570">
            <v>201947079</v>
          </cell>
          <cell r="B570">
            <v>3302017</v>
          </cell>
          <cell r="C570" t="str">
            <v>Subsecretaria de Desarrollo Regional y Administrativo - Programa 03</v>
          </cell>
        </row>
        <row r="571">
          <cell r="A571">
            <v>201947104</v>
          </cell>
          <cell r="B571">
            <v>3302018</v>
          </cell>
          <cell r="C571" t="str">
            <v>Subsecretaria de Desarrollo Regional y Administrativo - Programa 01</v>
          </cell>
        </row>
        <row r="572">
          <cell r="A572">
            <v>201947167</v>
          </cell>
          <cell r="B572">
            <v>3302019</v>
          </cell>
          <cell r="C572" t="str">
            <v>Subsecretaria del Interior - Programa 01</v>
          </cell>
        </row>
        <row r="573">
          <cell r="A573">
            <v>201944486</v>
          </cell>
          <cell r="B573">
            <v>3303</v>
          </cell>
          <cell r="C573" t="str">
            <v>A Otras Entidades Publicas</v>
          </cell>
        </row>
        <row r="574">
          <cell r="A574">
            <v>201944643</v>
          </cell>
          <cell r="B574">
            <v>3303001</v>
          </cell>
          <cell r="C574" t="str">
            <v>Provision Fondo Nacional de Desarrollo Regional</v>
          </cell>
        </row>
        <row r="575">
          <cell r="A575">
            <v>201944644</v>
          </cell>
          <cell r="B575">
            <v>3303003</v>
          </cell>
          <cell r="C575" t="str">
            <v>Provision Infraestructura Educacional</v>
          </cell>
        </row>
        <row r="576">
          <cell r="A576">
            <v>201944645</v>
          </cell>
          <cell r="B576">
            <v>3303005</v>
          </cell>
          <cell r="C576" t="str">
            <v>Municipalidades (Programa Mejoramiento Urbano y Equipamiento Comunal)</v>
          </cell>
        </row>
        <row r="577">
          <cell r="A577">
            <v>201944650</v>
          </cell>
          <cell r="B577">
            <v>3303005001</v>
          </cell>
          <cell r="C577" t="str">
            <v>Emergencia</v>
          </cell>
        </row>
        <row r="578">
          <cell r="A578">
            <v>201944651</v>
          </cell>
          <cell r="B578">
            <v>3303005002</v>
          </cell>
          <cell r="C578" t="str">
            <v>Tradicional</v>
          </cell>
        </row>
        <row r="579">
          <cell r="A579">
            <v>201944652</v>
          </cell>
          <cell r="B579">
            <v>3303005003</v>
          </cell>
          <cell r="C579" t="str">
            <v>Emergencia FIE</v>
          </cell>
        </row>
        <row r="580">
          <cell r="A580">
            <v>201944646</v>
          </cell>
          <cell r="B580">
            <v>3303006</v>
          </cell>
          <cell r="C580" t="str">
            <v>Municipalidades (Programa Mejoramiento de Barrios)</v>
          </cell>
        </row>
        <row r="581">
          <cell r="A581">
            <v>201944571</v>
          </cell>
          <cell r="B581">
            <v>3303016</v>
          </cell>
          <cell r="C581" t="str">
            <v>Municipalidades - Sistema Informacion Financiera Municipal</v>
          </cell>
        </row>
        <row r="582">
          <cell r="A582">
            <v>201944647</v>
          </cell>
          <cell r="B582">
            <v>3303017</v>
          </cell>
          <cell r="C582" t="str">
            <v>Provision Programa Infraestructura Rural</v>
          </cell>
        </row>
        <row r="583">
          <cell r="A583">
            <v>201944659</v>
          </cell>
          <cell r="B583">
            <v>3303021</v>
          </cell>
          <cell r="C583" t="str">
            <v>Provision Puesta en Valor del Patrimonio</v>
          </cell>
        </row>
        <row r="584">
          <cell r="A584">
            <v>201944654</v>
          </cell>
          <cell r="B584">
            <v>3303024</v>
          </cell>
          <cell r="C584" t="str">
            <v>Provision Programa Fondo de Innovacion para la Competitividad</v>
          </cell>
        </row>
        <row r="585">
          <cell r="A585">
            <v>201944655</v>
          </cell>
          <cell r="B585">
            <v>3303025</v>
          </cell>
          <cell r="C585" t="str">
            <v>Provision de Apoyo a la Gestion Subnacional</v>
          </cell>
        </row>
        <row r="586">
          <cell r="A586">
            <v>201944565</v>
          </cell>
          <cell r="B586">
            <v>3303100</v>
          </cell>
          <cell r="C586" t="str">
            <v>Municipalidades (Fondo Recuperacion de Ciudades)</v>
          </cell>
        </row>
        <row r="587">
          <cell r="A587">
            <v>201944666</v>
          </cell>
          <cell r="B587">
            <v>3303110</v>
          </cell>
          <cell r="C587" t="str">
            <v>Municipalidades (Fondo de Incentivo al Mejoramiento de la Gestion Municipal)</v>
          </cell>
        </row>
        <row r="588">
          <cell r="A588">
            <v>201944648</v>
          </cell>
          <cell r="B588">
            <v>3303130</v>
          </cell>
          <cell r="C588" t="str">
            <v>Provision Programa Saneamiento Sanitario</v>
          </cell>
        </row>
        <row r="589">
          <cell r="A589">
            <v>201944649</v>
          </cell>
          <cell r="B589">
            <v>3303190</v>
          </cell>
          <cell r="C589" t="str">
            <v>Provision Programa Residuos Solidos</v>
          </cell>
        </row>
        <row r="590">
          <cell r="A590">
            <v>201944660</v>
          </cell>
          <cell r="B590">
            <v>3303418</v>
          </cell>
          <cell r="C590" t="str">
            <v>Provision Ley N 20.378 - Fondo de Apoyo Regional (FAR)</v>
          </cell>
        </row>
        <row r="591">
          <cell r="A591">
            <v>201944564</v>
          </cell>
          <cell r="B591">
            <v>3303421</v>
          </cell>
          <cell r="C591" t="str">
            <v>Provision Incorporacion Mayores Ingresos Propios</v>
          </cell>
        </row>
        <row r="592">
          <cell r="A592">
            <v>201944563</v>
          </cell>
          <cell r="B592">
            <v>3303423</v>
          </cell>
          <cell r="C592" t="str">
            <v>Provision Recuperacion Infraestructura Local Zona Centro Sur</v>
          </cell>
        </row>
        <row r="593">
          <cell r="A593">
            <v>201944562</v>
          </cell>
          <cell r="B593">
            <v>3303426</v>
          </cell>
          <cell r="C593" t="str">
            <v>Provision Energizacion</v>
          </cell>
        </row>
        <row r="594">
          <cell r="A594">
            <v>201947134</v>
          </cell>
          <cell r="B594">
            <v>3303500</v>
          </cell>
          <cell r="C594" t="str">
            <v>Recuperacion y Desarrollo Urbano de Valparaiso</v>
          </cell>
        </row>
        <row r="595">
          <cell r="A595">
            <v>201944487</v>
          </cell>
          <cell r="B595">
            <v>3304</v>
          </cell>
          <cell r="C595" t="str">
            <v>A Empresas Publicas no Financieras</v>
          </cell>
        </row>
        <row r="596">
          <cell r="A596">
            <v>201944488</v>
          </cell>
          <cell r="B596">
            <v>3305</v>
          </cell>
          <cell r="C596" t="str">
            <v>A Empresas Publicas Financieras</v>
          </cell>
        </row>
        <row r="597">
          <cell r="A597">
            <v>201944489</v>
          </cell>
          <cell r="B597">
            <v>3306</v>
          </cell>
          <cell r="C597" t="str">
            <v>A Gobiernos Extranjeros</v>
          </cell>
        </row>
        <row r="598">
          <cell r="A598">
            <v>201944490</v>
          </cell>
          <cell r="B598">
            <v>3307</v>
          </cell>
          <cell r="C598" t="str">
            <v>A Organismos Internacionales</v>
          </cell>
        </row>
        <row r="599">
          <cell r="A599">
            <v>201944491</v>
          </cell>
          <cell r="B599">
            <v>34</v>
          </cell>
          <cell r="C599" t="str">
            <v>SERVICIO DE LA DEUDA</v>
          </cell>
        </row>
        <row r="600">
          <cell r="A600">
            <v>201944492</v>
          </cell>
          <cell r="B600">
            <v>3401</v>
          </cell>
          <cell r="C600" t="str">
            <v>Amortizacion Deuda Interna</v>
          </cell>
        </row>
        <row r="601">
          <cell r="A601">
            <v>201944589</v>
          </cell>
          <cell r="B601">
            <v>3401001</v>
          </cell>
          <cell r="C601" t="str">
            <v>Rescate de Valores</v>
          </cell>
        </row>
        <row r="602">
          <cell r="A602">
            <v>201944590</v>
          </cell>
          <cell r="B602">
            <v>3401002</v>
          </cell>
          <cell r="C602" t="str">
            <v>Emprestitos</v>
          </cell>
        </row>
        <row r="603">
          <cell r="A603">
            <v>201944591</v>
          </cell>
          <cell r="B603">
            <v>3401003</v>
          </cell>
          <cell r="C603" t="str">
            <v>Creditos de Proveedores</v>
          </cell>
        </row>
        <row r="604">
          <cell r="A604">
            <v>201944592</v>
          </cell>
          <cell r="B604">
            <v>3402</v>
          </cell>
          <cell r="C604" t="str">
            <v>Amortizacion Deuda Externa</v>
          </cell>
        </row>
        <row r="605">
          <cell r="A605">
            <v>201944593</v>
          </cell>
          <cell r="B605">
            <v>3402001</v>
          </cell>
          <cell r="C605" t="str">
            <v>Rescate de Valores</v>
          </cell>
        </row>
        <row r="606">
          <cell r="A606">
            <v>201944594</v>
          </cell>
          <cell r="B606">
            <v>3402002</v>
          </cell>
          <cell r="C606" t="str">
            <v>Emprestitos</v>
          </cell>
        </row>
        <row r="607">
          <cell r="A607">
            <v>201944595</v>
          </cell>
          <cell r="B607">
            <v>3402003</v>
          </cell>
          <cell r="C607" t="str">
            <v>Creditos de Proveedores</v>
          </cell>
        </row>
        <row r="608">
          <cell r="A608">
            <v>201944596</v>
          </cell>
          <cell r="B608">
            <v>3403</v>
          </cell>
          <cell r="C608" t="str">
            <v>Intereses Deuda Interna</v>
          </cell>
        </row>
        <row r="609">
          <cell r="A609">
            <v>201944597</v>
          </cell>
          <cell r="B609">
            <v>3403001</v>
          </cell>
          <cell r="C609" t="str">
            <v>Por Emision de Valores</v>
          </cell>
        </row>
        <row r="610">
          <cell r="A610">
            <v>201944598</v>
          </cell>
          <cell r="B610">
            <v>3403002</v>
          </cell>
          <cell r="C610" t="str">
            <v>Emprestitos</v>
          </cell>
        </row>
        <row r="611">
          <cell r="A611">
            <v>201944599</v>
          </cell>
          <cell r="B611">
            <v>3403003</v>
          </cell>
          <cell r="C611" t="str">
            <v>Creditos de Proveedores</v>
          </cell>
        </row>
        <row r="612">
          <cell r="A612">
            <v>201944600</v>
          </cell>
          <cell r="B612">
            <v>3404</v>
          </cell>
          <cell r="C612" t="str">
            <v>Intereses Deuda Externa</v>
          </cell>
        </row>
        <row r="613">
          <cell r="A613">
            <v>201944601</v>
          </cell>
          <cell r="B613">
            <v>3404001</v>
          </cell>
          <cell r="C613" t="str">
            <v>Por Emision de Valores</v>
          </cell>
        </row>
        <row r="614">
          <cell r="A614">
            <v>201944602</v>
          </cell>
          <cell r="B614">
            <v>3404002</v>
          </cell>
          <cell r="C614" t="str">
            <v>Emprestitos</v>
          </cell>
        </row>
        <row r="615">
          <cell r="A615">
            <v>201944661</v>
          </cell>
          <cell r="B615">
            <v>3404002001</v>
          </cell>
          <cell r="C615" t="str">
            <v>Intereses Deuda Publica</v>
          </cell>
        </row>
        <row r="616">
          <cell r="A616">
            <v>201944662</v>
          </cell>
          <cell r="B616">
            <v>3404002002</v>
          </cell>
          <cell r="C616" t="str">
            <v>Comisiones Deuda Publica</v>
          </cell>
        </row>
        <row r="617">
          <cell r="A617">
            <v>201944603</v>
          </cell>
          <cell r="B617">
            <v>3404003</v>
          </cell>
          <cell r="C617" t="str">
            <v>Creditos de Proveedores</v>
          </cell>
        </row>
        <row r="618">
          <cell r="A618">
            <v>201944604</v>
          </cell>
          <cell r="B618">
            <v>3405</v>
          </cell>
          <cell r="C618" t="str">
            <v>Otros Gastos Financieros Deuda Interna</v>
          </cell>
        </row>
        <row r="619">
          <cell r="A619">
            <v>201944605</v>
          </cell>
          <cell r="B619">
            <v>3405001</v>
          </cell>
          <cell r="C619" t="str">
            <v>Por Emision de Valores</v>
          </cell>
        </row>
        <row r="620">
          <cell r="A620">
            <v>201944606</v>
          </cell>
          <cell r="B620">
            <v>3405002</v>
          </cell>
          <cell r="C620" t="str">
            <v>Emprestitos</v>
          </cell>
        </row>
        <row r="621">
          <cell r="A621">
            <v>201944607</v>
          </cell>
          <cell r="B621">
            <v>3405003</v>
          </cell>
          <cell r="C621" t="str">
            <v>Creditos de Proveedores</v>
          </cell>
        </row>
        <row r="622">
          <cell r="A622">
            <v>201944608</v>
          </cell>
          <cell r="B622">
            <v>3406</v>
          </cell>
          <cell r="C622" t="str">
            <v>Otros Gastos Financieros Deuda Externa</v>
          </cell>
        </row>
        <row r="623">
          <cell r="A623">
            <v>201944609</v>
          </cell>
          <cell r="B623">
            <v>3406001</v>
          </cell>
          <cell r="C623" t="str">
            <v>Por Emision de Valores</v>
          </cell>
        </row>
        <row r="624">
          <cell r="A624">
            <v>201944610</v>
          </cell>
          <cell r="B624">
            <v>3406002</v>
          </cell>
          <cell r="C624" t="str">
            <v>Emprestitos</v>
          </cell>
        </row>
        <row r="625">
          <cell r="A625">
            <v>201944611</v>
          </cell>
          <cell r="B625">
            <v>3406003</v>
          </cell>
          <cell r="C625" t="str">
            <v>Creditos de Proveedores</v>
          </cell>
        </row>
        <row r="626">
          <cell r="A626">
            <v>201944612</v>
          </cell>
          <cell r="B626">
            <v>3407</v>
          </cell>
          <cell r="C626" t="str">
            <v>Deuda Flotante</v>
          </cell>
        </row>
        <row r="627">
          <cell r="A627">
            <v>201944613</v>
          </cell>
          <cell r="B627">
            <v>35</v>
          </cell>
          <cell r="C627" t="str">
            <v>SALDO FINAL DE CAJA</v>
          </cell>
        </row>
      </sheetData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fanni Cifuentes Rivas" refreshedDate="45876.626283333331" createdVersion="8" refreshedVersion="8" minRefreshableVersion="3" recordCount="4" xr:uid="{54054726-6069-4EE4-B859-302F46C0425A}">
  <cacheSource type="worksheet">
    <worksheetSource ref="B318:S322" sheet="CONSOLIDADO"/>
  </cacheSource>
  <cacheFields count="18">
    <cacheField name="1" numFmtId="0">
      <sharedItems count="4">
        <s v="PROGRAMA 01 - SUBSECRETARIA "/>
        <s v="PROGRAMA 02 - SUBNACIONAL"/>
        <s v="PROGRAMA 03 - DESARROLLO LOCAL"/>
        <s v="PROGRAMA 05 - TRANSFERENCIA GORES"/>
      </sharedItems>
    </cacheField>
    <cacheField name="." numFmtId="0">
      <sharedItems containsNonDate="0" containsString="0" containsBlank="1"/>
    </cacheField>
    <cacheField name=".2" numFmtId="0">
      <sharedItems containsNonDate="0" containsString="0" containsBlank="1"/>
    </cacheField>
    <cacheField name=".3" numFmtId="0">
      <sharedItems containsNonDate="0" containsString="0" containsBlank="1"/>
    </cacheField>
    <cacheField name=".4" numFmtId="0">
      <sharedItems containsNonDate="0" containsString="0" containsBlank="1"/>
    </cacheField>
    <cacheField name=".5" numFmtId="0">
      <sharedItems containsNonDate="0" containsString="0" containsBlank="1"/>
    </cacheField>
    <cacheField name="Presupuesto Inicial 2025 M$" numFmtId="3">
      <sharedItems containsSemiMixedTypes="0" containsString="0" containsNumber="1" minValue="6445274" maxValue="282286863.09600002"/>
    </cacheField>
    <cacheField name="Presupuesto  Vigente 2025 M$" numFmtId="3">
      <sharedItems containsSemiMixedTypes="0" containsString="0" containsNumber="1" minValue="7784837" maxValue="331125466.09600002"/>
    </cacheField>
    <cacheField name="Ejecución al 31/01/2025 M$" numFmtId="3">
      <sharedItems containsSemiMixedTypes="0" containsString="0" containsNumber="1" minValue="0" maxValue="206141796.52199998"/>
    </cacheField>
    <cacheField name="% de Ejecución 31/01/2025 M$" numFmtId="172">
      <sharedItems containsSemiMixedTypes="0" containsString="0" containsNumber="1" minValue="0" maxValue="0.62254890556268871"/>
    </cacheField>
    <cacheField name="Presupuesto comprometido M$" numFmtId="0">
      <sharedItems containsSemiMixedTypes="0" containsString="0" containsNumber="1" minValue="0" maxValue="207782538.25299999"/>
    </cacheField>
    <cacheField name="% Presupuesto comprometido M$" numFmtId="172">
      <sharedItems containsSemiMixedTypes="0" containsString="0" containsNumber="1" minValue="0" maxValue="0.65349532819458978"/>
    </cacheField>
    <cacheField name="Saldo disponible M$" numFmtId="41">
      <sharedItems containsSemiMixedTypes="0" containsString="0" containsNumber="1" minValue="3107055.3620000007" maxValue="123342927.84300002"/>
    </cacheField>
    <cacheField name="% Saldo disponible " numFmtId="172">
      <sharedItems containsSemiMixedTypes="0" containsString="0" containsNumber="1" minValue="0.34650467180541028" maxValue="1"/>
    </cacheField>
    <cacheField name="Presupuesto  Vigente al 31/01/2024 M$" numFmtId="3">
      <sharedItems containsSemiMixedTypes="0" containsString="0" containsNumber="1" minValue="8215744.9682" maxValue="319712285.82840002"/>
    </cacheField>
    <cacheField name="Ejecución al 31/01/2024  M$" numFmtId="3">
      <sharedItems containsSemiMixedTypes="0" containsString="0" containsNumber="1" minValue="3429883.162546" maxValue="199880608.06356198"/>
    </cacheField>
    <cacheField name="%                            Ejecución al 31/01/2024  M$" numFmtId="172">
      <sharedItems containsSemiMixedTypes="0" containsString="0" containsNumber="1" minValue="0.16713335035815413" maxValue="0.62518901188190312"/>
    </cacheField>
    <cacheField name="Saldo por ejecutar M$" numFmtId="41">
      <sharedItems containsSemiMixedTypes="0" containsString="0" containsNumber="1" minValue="0" maxValue="2226301.82400000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fanni Cifuentes Rivas" refreshedDate="45876.626490277777" createdVersion="8" refreshedVersion="8" minRefreshableVersion="3" recordCount="298" xr:uid="{703394E5-C45F-4F28-8EF0-17FB466FF3FA}">
  <cacheSource type="worksheet">
    <worksheetSource ref="B8:R307" sheet="CONSOLIDADO"/>
  </cacheSource>
  <cacheFields count="17">
    <cacheField name="Subtitulo" numFmtId="0">
      <sharedItems containsBlank="1" containsMixedTypes="1" containsNumber="1" containsInteger="1" minValue="22" maxValue="34" count="15">
        <s v="Sub."/>
        <s v="21."/>
        <m/>
        <n v="22"/>
        <n v="23"/>
        <n v="24"/>
        <s v="  "/>
        <n v="25"/>
        <n v="26"/>
        <s v="29."/>
        <n v="30"/>
        <n v="32"/>
        <n v="33"/>
        <n v="34"/>
        <n v="29" u="1"/>
      </sharedItems>
    </cacheField>
    <cacheField name="Item." numFmtId="0">
      <sharedItems containsBlank="1" containsMixedTypes="1" containsNumber="1" containsInteger="1" minValue="1" maxValue="99"/>
    </cacheField>
    <cacheField name="Asig." numFmtId="0">
      <sharedItems containsBlank="1" containsMixedTypes="1" containsNumber="1" containsInteger="1" minValue="6" maxValue="409"/>
    </cacheField>
    <cacheField name="Sub" numFmtId="168">
      <sharedItems containsBlank="1" containsMixedTypes="1" containsNumber="1" containsInteger="1" minValue="1" maxValue="999"/>
    </cacheField>
    <cacheField name="." numFmtId="0">
      <sharedItems containsBlank="1"/>
    </cacheField>
    <cacheField name="nombre" numFmtId="0">
      <sharedItems containsBlank="1" count="262">
        <s v="CONSOLIDADO PROGRAMAS"/>
        <s v="GASTOS EN PERSONAL"/>
        <s v="Personal de Planta"/>
        <s v="Sueldos y Sobresueldos"/>
        <s v="Sueldo Bases"/>
        <s v="Asignación de Antigüedad"/>
        <s v="Asignación Profesional"/>
        <s v="Asignación de Zona"/>
        <s v="Asig. Del DL N° 3,551, de 1981"/>
        <s v="Gastos de Representación"/>
        <s v="Asignación de Dirección Superior"/>
        <s v="Asignaciones Compensatorias"/>
        <s v="Asignaciones Sustitutivas"/>
        <s v="Componente Base Asignación de Desempeño"/>
        <s v="Asignación de Responsabilidad Superior"/>
        <s v="Aplicación inciso 5to del Artículo 1 de la Ley N° "/>
        <s v="Otras Asignaciones"/>
        <s v="Aportes del Empleador"/>
        <s v="A Servicios de Bienestar"/>
        <s v="Otras Cotizaciones Previsionales"/>
        <s v="Asignaciones por Desempeño"/>
        <s v="Desempeño Institucional"/>
        <s v="Desempeño Colectivo"/>
        <s v="Desempeño Individual"/>
        <s v="Remuneraciones Variables"/>
        <s v="Asignación por Desempeño de Funciones Críticas"/>
        <s v="Trabajos Extraordinarios"/>
        <s v="Comisiones de Servicios en el País"/>
        <s v="Comisiones de Servicios en el Exterior"/>
        <s v="Aguinaldos"/>
        <s v="Bono de Escolaridad"/>
        <s v="Bonos Especiales "/>
        <s v="Personal a Contrata"/>
        <s v="sueldos base"/>
        <s v="Asignaciónes del DL N° 2.411, de 1978"/>
        <s v="Asignaciónes del DL N° 3.551, de 1981"/>
        <s v="Asignación Zonas Extremas"/>
        <s v="Asignación de Responsabilidad Superior "/>
        <s v="Otras Remuneraciones "/>
        <s v="Honorarios a Suma Alzada - Personas Naturales"/>
        <s v="Honorarios a Suma Alzada-Honorarios"/>
        <s v="Honorarios a Suma Alzada-Viaticos"/>
        <s v="Suplencias y Reemplazos"/>
        <s v="Alumnos en Práctica"/>
        <s v="Otras"/>
        <s v="BIENES Y SERVICIOS DE CONSUMO"/>
        <s v="Alimentos y Bebidas"/>
        <s v="Para Personas"/>
        <s v="Textiles, Vestuario y Calzado"/>
        <s v="Textiles y Acabados Textiles"/>
        <s v="Vestuario, Accesorios y Prendas Diversas"/>
        <s v="Calzado"/>
        <s v="Combustibles y Lubricantes"/>
        <s v="Para Vehículos "/>
        <s v="Materiales de Uso o Consumo"/>
        <s v="Materiales de Oficina "/>
        <s v="Textos y Otros Materiales de Enseñanza"/>
        <s v="Productos Químicos"/>
        <s v="Productos Farmacéuticos"/>
        <s v="Materiales y Útiles Quirúrgicos"/>
        <s v="Materiales y útiles de Aseo "/>
        <s v="Menaje para Oficina, Casino y Otros "/>
        <s v="Insumos, Repuestos y Accesorios Computacionales"/>
        <s v="Materiales para Mantenimiento y Reparaciones de Inmuebles"/>
        <s v="Repuestos y Accesorios para Mantenimiento y Reparaciones de Vehículos"/>
        <s v="Otros Materiales, Repuestos y Útiles Diversos para Mantenimiento "/>
        <s v="Equipos Menores "/>
        <s v="Otros "/>
        <s v="Servicios Básicos"/>
        <s v="Electricidad"/>
        <s v="Agua"/>
        <s v="Gas"/>
        <s v="Correo"/>
        <s v="Telefonía Fija"/>
        <s v="Telefonía Celular"/>
        <s v="Acceso a Internet"/>
        <s v="Enlaces de Telecomunicaciones"/>
        <s v="Mantenimiento y Reparaciones."/>
        <s v="Mantenimiento y Reparación de Edificaciones."/>
        <s v="Mantenimiento y Reparación de Vehículos"/>
        <s v="Mantenimiento y Reparación de Máquinas y Equipos d"/>
        <s v="Mantenimiento y Reparación de Mobiliarios y Otros."/>
        <s v="Mantenimiento y Reparación de Máquinas y Equipos de Oficina"/>
        <s v="Mantenimiento y Reparación de Equipos Informáticos"/>
        <s v="Otros"/>
        <s v="Publicidad y Difusión"/>
        <s v="Servicios de Publicidad"/>
        <s v="Servicios de Impresión"/>
        <s v="Servicios Generales"/>
        <s v="Servicios de Aseo"/>
        <s v="Servicios de Vigilancia"/>
        <s v="Servicios de Mantención de Jardines"/>
        <s v="Pasajes, Fletes y Bodegaje."/>
        <s v="Salas Cunas y/o Jardines Infantiles."/>
        <s v="Servicios de Suscripción y Similares"/>
        <s v="Arriendo"/>
        <s v="Arriendo de Edificios"/>
        <s v="Arriendo de Máquinas  y Equipos "/>
        <s v="Arriendo de Equipos Informaticos"/>
        <s v="Servicios Financieros y de Seguros "/>
        <s v="Primas y Gastos de Seguros "/>
        <s v="Gastos Bancarios"/>
        <s v="Servicios Técnicos y Profesionales"/>
        <s v="Estudios e Investigaciones"/>
        <s v="Cursos de Capacitación"/>
        <s v="Sercicios Informáticos"/>
        <s v="Otros Gastos en Bienes y Servicios de Consumo"/>
        <s v="Gastos Menores"/>
        <s v=" Gastos de Representación, Protocolo y Ceremonial"/>
        <s v="PRESTACIONES DE SEGURIDAD SOCIAL"/>
        <s v="Prestaciones Previsionales"/>
        <s v="Asignación por Muerte"/>
        <s v=" Prestaciones Sociales del Empleador"/>
        <s v="Indemnización de Cargo Fiscal"/>
        <s v="Fondo Retiro Funcionarios Públicos Ley N° 19.882"/>
        <s v="Otras Indemnizaciones"/>
        <s v="TRANSFERENCIAS CORRIENTES "/>
        <s v=" Al Sector Privado"/>
        <s v="Fundación para la Promoción y Desarrollo de la Muj"/>
        <s v="Fondo Concursable Becas - Ley N°20.742"/>
        <s v="Universidad del Desarrollo"/>
        <s v="Fundación Chile Descentralizado Desarrollado"/>
        <s v="Universidad Adolfo Ibañez - Índice de bienestar "/>
        <s v="Universidad Católica-Centro Latinoamericano"/>
        <s v="Fortalecimiento y Apoyo Técnico a los Gobiernos Re"/>
        <s v="Fortalecimiento de Capacidades de Intervención en "/>
        <s v=" Al Gobierno Central "/>
        <s v="A la Dirección de Arquitectura - MOP"/>
        <s v="Al Consejo de Monumentos Nacionales"/>
        <s v="Al Servicio Nacional del Patrimonio Cultural"/>
        <s v="Programa Gastos de Funcionamiento Región de Tarapacá"/>
        <s v="Programa Gastos de Funcionamiento Región de Antofa"/>
        <s v="Programa Gastos de Funcionamiento Región de Atacama"/>
        <s v="Programa Gastos de Funcionamiento Región de Coquimbo"/>
        <s v="Programa Gasto de Funcionamiento Región de Valparaíso"/>
        <s v="Programa Gasto de Funcionamiento Región del Libertador B. O'Higgins"/>
        <s v="Programa Gasto de Funcionamiento Región del Maule"/>
        <s v="Programa Gastos de Funcionamiento Región del Bio Bio"/>
        <s v="Programa Gastos de Funcionamiento Región de La Araucanía"/>
        <s v="Programa Gasto de Funcionamiento Región de Los Lagos"/>
        <s v="Programa Gastos de Funcionamiento Región de Aysén del General Carlos Ibañez del Campo "/>
        <s v="Programa Gasto de Funcionamiento Región de Magallanes"/>
        <s v="Programa Gasto de Funcionamiento Región Metropolitana"/>
        <s v="Programa Gastos de Funcionamiento Región de Los Ríos"/>
        <s v="Programa Gastos de Funcionamiento Región de Arica Parinacota"/>
        <s v="Programa Gastos de Funcionamiento Región de Ñuble"/>
        <s v="Servicio Nacional de Prevención y Respuesta Ante D"/>
        <s v="A la Subsecretaría de Bienes Nacionales"/>
        <s v=" A Otras Entidades Públicas "/>
        <s v="Capacitacion en Desarrollo Regional y Comunal"/>
        <s v="U. de Chile, Facultad de Gobierno - Actualización "/>
        <s v="Programa Academia Capacitación Muncipal y Regional"/>
        <s v="Agencia para la Sustentabilidad y Cambio Climático"/>
        <s v="SUBPESCA - Consulta indígena área marina Rapa Nui "/>
        <s v="Programa de Apoyo a la Acreditación de Calidad de Servicios Municipales "/>
        <s v="UFRO - Red de expertos macro zona sur"/>
        <s v="Municipalidades (Compensación por Predios Exentos) "/>
        <s v="Municipalidades (Programa Esterilización y Atención Sanitaria de Animales de Compañía)"/>
        <s v="Servicios de Asistencia Técnica Especializada SATE"/>
        <s v="Oficina Revitalización de Barrios e Infraestructural Patrimonial"/>
        <s v="Universidad de Chile - Fortalecimiento Organización"/>
        <s v="Oficina de Donación Española"/>
        <m/>
        <s v="Municipalidades (Prevención y Mitigación de Riesgos)"/>
        <s v="Programa de Modernización Municipal"/>
        <s v=" A Organismos Internacionales"/>
        <s v="A Comisión Económica Para América Latina y el Caribe"/>
        <s v="A Banco Interamericano de Desarrollo (BID)"/>
        <s v="A Banco Mundial"/>
        <s v="A Organización de las Naciones Unidas para la Alimentación"/>
        <s v="A Facultad Latinoamericana de Ciencias Sociales"/>
        <s v="Diálogos participativos regionales para ela"/>
        <s v="PNUD: Plan Ercilla"/>
        <s v="Banco Interamericano de Desarrollo (BID) Llanquihue"/>
        <s v="A Unidades o Programas del Servicio"/>
        <s v="Programa de Apoyo al Mejoramiento de la Gestión y de Servicios Municipales"/>
        <s v="Oficina Revitalización de Barrios e Infraestructur"/>
        <s v="INGRESOS AL FISCO"/>
        <s v="Otros Ingresos al Fisco"/>
        <s v="Integros por Recuperación de Licencias Médicas"/>
        <s v="Integros por Saldos No Utilizados de Transferencia"/>
        <s v="Integros por Cobro de Pagos en Exceso"/>
        <s v="Integros por Cobro de Pagos Duplicados"/>
        <s v="OTROS GASTOS CORRIENTES"/>
        <s v="Devoluciones"/>
        <s v="ADQUISICIÓN DE ACTIVOS NO FINANCIEROS"/>
        <s v="Vehículo"/>
        <s v="Mobiliario y Otros"/>
        <s v="Máquinas y Equipos"/>
        <s v="Equipos Informáticos"/>
        <s v="Programas Informáticos"/>
        <s v="ADQUISICIÓN DE ACTIVOS FINANCIEROS "/>
        <s v="PRESTAMOS "/>
        <s v="De Fomento"/>
        <s v="Municipalidades"/>
        <s v="Aporte Reembolsable Especial a Municipalidades"/>
        <s v="Aporte Reembolsable Compensación Ingresos Propios "/>
        <s v="TRANSFERENCIAS DE CAPITAL "/>
        <s v="Al Gobierno Central"/>
        <s v="Programa Inversión Regional Región I  Tarapacá"/>
        <s v="Programa Inversión Regional Región II  Antofagasta"/>
        <s v="Programa Inversión Regional Región III Atacama"/>
        <s v="Programa Inversión Regional Región IV Coquimbo"/>
        <s v="Programa Inversión Regional Región V Valparaíso"/>
        <s v="Programa Inversión Regional Región VI del Libertador "/>
        <s v="Programa Inversión Regional Región VII  Maule"/>
        <s v="Programa Inversión Regional Región VIII  Bío Bío"/>
        <s v="Programa Inversión Regional Región IX La Araucanía"/>
        <s v="Programa Inversión Regional Región X  Los Lagos"/>
        <s v="Programa Inversión Regional Región XI  Aysén"/>
        <s v="Programa Inversión Regional Región XII Magallanes "/>
        <s v="Programa Inversión Regional Región Metropolitana"/>
        <s v="Programa Inversión Regional Región XIV Los Ríos"/>
        <s v="Programa Inversión Regional Región XV  Arica y Parinacota"/>
        <s v="Programa Inversión Regional Región XVI  Ñuble"/>
        <s v="Subsecretaría de Desarrollo Regional y Administrativo"/>
        <s v="Gobiernos Regionales - Programas de Inversión"/>
        <s v="Al Serviu VIII"/>
        <s v="Recuperación Región del Maule"/>
        <s v="Servicio Nacional del Patrimonio Cultural"/>
        <s v="Programa Financiamiento Gobiernos Regionales"/>
        <s v="A Otras Entidades Publicas"/>
        <s v="Provisión Fondo Nacional de Desarrollo Regional"/>
        <s v="Municipalidades (PMU)"/>
        <s v="Tradicional (PMU)"/>
        <s v="Emergencia (PMU)"/>
        <s v="Cuenca del Carbón (PMU)"/>
        <s v="Emergencia S.P.D."/>
        <s v="Municipalidades (PMB)"/>
        <s v="Asistencia Técnica (PMB)"/>
        <s v="Terrenos (PMB)"/>
        <s v="Otras Transferencias (PMB)"/>
        <s v="Estudios y diseños (PMB)"/>
        <s v="IRAL Inversión Regional de Asignación Local (PMB)"/>
        <s v="Obras (PMB)"/>
        <s v="3303010 Programa de Mejoramiento Urbano y Equipamiento Com"/>
        <s v="3303017 Provisión Programa Infraestructura Rural"/>
        <s v="3303020 Programa de Mejoramiento de Barrios FET-Covid-19"/>
        <s v="3303021 Provisión Puesta en Valor del Patrimonio"/>
        <s v="3303025 Provisión de Apoyo a la Gestión Subnacional"/>
        <s v="Municipalidades (Fondo Recuperación de Ciudades - FRC) "/>
        <s v="3303110 Municipalidades (Fondo de Incentivo al Mejoramient"/>
        <s v="3303111 Municipalidades (Progr. Revital de Barrios e Infra"/>
        <s v="Municipalidades (Programa Recuperación Espacios de"/>
        <s v="Provisión Programa Saneamiento Sanitario"/>
        <s v="Provisión Programa Residuos Sólidos"/>
        <s v="Provisión Ley N° 20.378 - Fondo de Apoyo Regional "/>
        <s v="Provisión Incorporación Mayores Ingresos Propios"/>
        <s v="Provisión Energización"/>
        <s v="Provisión Regiones Extremas"/>
        <s v="Provisión Territorios Rezagados"/>
        <s v="Fondo de Desarrollo Local"/>
        <s v="Provisión Programas de Apoyo al Empleo"/>
        <s v="Fondo de Apoyo Contingencia Regional"/>
        <s v="Fondo de Equidad Interregional"/>
        <s v="Municipalidades (Programa de Modernización)"/>
        <s v="Sistema Información Financiera Municipal"/>
        <s v="Unidad de Gobierno Electrónico Local"/>
        <s v="Sistema Información Municipal (SIM )"/>
        <s v="Plataforma Unidad de RRHH"/>
        <s v="Servicios SINIM"/>
        <s v="SERVICIO DE LA DEUDA"/>
      </sharedItems>
    </cacheField>
    <cacheField name="Presupuesto Inicial 2025 M$" numFmtId="3">
      <sharedItems containsSemiMixedTypes="0" containsString="0" containsNumber="1" minValue="0" maxValue="431345319.19599998"/>
    </cacheField>
    <cacheField name="Presupuesto  Vigente 2025 M$" numFmtId="3">
      <sharedItems containsSemiMixedTypes="0" containsString="0" containsNumber="1" minValue="0" maxValue="440763077.19599998"/>
    </cacheField>
    <cacheField name="Ejecución al 31/01/2025 M$" numFmtId="3">
      <sharedItems containsSemiMixedTypes="0" containsString="0" containsNumber="1" minValue="0" maxValue="235915199.25999999"/>
    </cacheField>
    <cacheField name="% de Ejecución 31/01/2025 M$" numFmtId="172">
      <sharedItems containsMixedTypes="1" containsNumber="1" minValue="0" maxValue="1.320536210720062"/>
    </cacheField>
    <cacheField name="Presupuesto comprometido M$" numFmtId="0">
      <sharedItems containsString="0" containsBlank="1" containsNumber="1" minValue="0" maxValue="241496451.17199999"/>
    </cacheField>
    <cacheField name="% Presupuesto comprometido M$" numFmtId="172">
      <sharedItems containsSemiMixedTypes="0" containsString="0" containsNumber="1" minValue="0" maxValue="1.372180773518566"/>
    </cacheField>
    <cacheField name="Saldo disponible M$" numFmtId="0">
      <sharedItems containsString="0" containsBlank="1" containsNumber="1" minValue="-57186.224000000002" maxValue="199266626.02400005"/>
    </cacheField>
    <cacheField name="% Saldo disponible " numFmtId="172">
      <sharedItems containsSemiMixedTypes="0" containsString="0" containsNumber="1" minValue="-0.32053621632519202" maxValue="1"/>
    </cacheField>
    <cacheField name="Presupuesto  Vigente al 31/01/2024 M$" numFmtId="3">
      <sharedItems containsSemiMixedTypes="0" containsString="0" containsNumber="1" minValue="0" maxValue="435618268.35699999"/>
    </cacheField>
    <cacheField name="Ejecución al 31/01/2024  M$" numFmtId="3">
      <sharedItems containsSemiMixedTypes="0" containsString="0" containsNumber="1" minValue="0" maxValue="239930625.573522"/>
    </cacheField>
    <cacheField name="%                            Ejecución al 31/01/2024  M$" numFmtId="172">
      <sharedItems containsBlank="1" containsMixedTypes="1" containsNumber="1" minValue="0" maxValue="5.5115044774686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">
  <r>
    <x v="0"/>
    <m/>
    <m/>
    <m/>
    <m/>
    <m/>
    <n v="40123745.100000001"/>
    <n v="44432041.100000001"/>
    <n v="26809829.456999999"/>
    <n v="0.60338955387309445"/>
    <n v="29036131.281000003"/>
    <n v="0.65349532819458978"/>
    <n v="15395909.819"/>
    <n v="0.34650467180541028"/>
    <n v="44150316.394199997"/>
    <n v="26000494.441413999"/>
    <n v="0.58890845105766154"/>
    <n v="2226301.8240000047"/>
  </r>
  <r>
    <x v="1"/>
    <m/>
    <m/>
    <m/>
    <m/>
    <m/>
    <n v="6445274"/>
    <n v="7784837"/>
    <n v="2963573.2809999995"/>
    <n v="0.38068533496590867"/>
    <n v="4677781.6379999993"/>
    <n v="0.60088369711530243"/>
    <n v="3107055.3620000007"/>
    <n v="0.39911630288469763"/>
    <n v="8215744.9682"/>
    <n v="3429883.162546"/>
    <n v="0.41747682965108618"/>
    <n v="1714208.3569999998"/>
  </r>
  <r>
    <x v="2"/>
    <m/>
    <m/>
    <m/>
    <m/>
    <m/>
    <n v="282286863.09600002"/>
    <n v="331125466.09600002"/>
    <n v="206141796.52199998"/>
    <n v="0.62254890556268871"/>
    <n v="207782538.25299999"/>
    <n v="0.62750395100315115"/>
    <n v="123342927.84300002"/>
    <n v="0.37249604899684879"/>
    <n v="319712285.82840002"/>
    <n v="199880608.06356198"/>
    <n v="0.62518901188190312"/>
    <n v="1640741.7310000062"/>
  </r>
  <r>
    <x v="3"/>
    <m/>
    <m/>
    <m/>
    <m/>
    <m/>
    <n v="102489437"/>
    <n v="57420732"/>
    <n v="0"/>
    <n v="0"/>
    <n v="0"/>
    <n v="0"/>
    <n v="57420732"/>
    <n v="1"/>
    <n v="63539921.166200005"/>
    <n v="10619639.905999999"/>
    <n v="0.16713335035815413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8">
  <r>
    <x v="0"/>
    <s v="Item."/>
    <s v="Asig."/>
    <s v="Sub"/>
    <s v="."/>
    <x v="0"/>
    <n v="431345319.19599998"/>
    <n v="440763077.19599998"/>
    <n v="235915199.25999999"/>
    <n v="0.53524265408259786"/>
    <n v="241496451.17199999"/>
    <n v="0.54790535701930076"/>
    <n v="199266626.02400005"/>
    <n v="0.4520946429806994"/>
    <n v="435618268.35699999"/>
    <n v="239930625.573522"/>
    <n v="0.55078182666318509"/>
  </r>
  <r>
    <x v="1"/>
    <m/>
    <m/>
    <m/>
    <m/>
    <x v="1"/>
    <n v="20227650.999999996"/>
    <n v="19832144.999999996"/>
    <n v="11504570.571"/>
    <n v="0.5800971388117625"/>
    <n v="11504570.571"/>
    <n v="0.5800971388117625"/>
    <n v="8327574.4290000005"/>
    <n v="0.41990286118823766"/>
    <n v="19811566.840000004"/>
    <n v="11474730.497455999"/>
    <n v="0.57919348783097047"/>
  </r>
  <r>
    <x v="2"/>
    <s v="01."/>
    <m/>
    <m/>
    <m/>
    <x v="2"/>
    <n v="803888.11199999996"/>
    <n v="803408.11199999996"/>
    <n v="377566.64500000002"/>
    <n v="0.46995622692940897"/>
    <n v="377566.64500000002"/>
    <n v="0.46995622692940897"/>
    <n v="425841.46699999995"/>
    <n v="0.53004377307059103"/>
    <n v="1023825.448504"/>
    <n v="499116.25569199998"/>
    <n v="0.48750131814099951"/>
  </r>
  <r>
    <x v="2"/>
    <m/>
    <s v="001."/>
    <m/>
    <m/>
    <x v="3"/>
    <n v="628990.02500000002"/>
    <n v="628990.02500000002"/>
    <n v="295508.46299999999"/>
    <n v="0.46981422797603184"/>
    <n v="295508.46299999999"/>
    <n v="0.46981422797603184"/>
    <n v="333481.56199999998"/>
    <n v="0.53018577202396799"/>
    <n v="718969.58000000007"/>
    <n v="394855.95723599999"/>
    <n v="0.54919702894244837"/>
  </r>
  <r>
    <x v="2"/>
    <m/>
    <m/>
    <n v="1"/>
    <s v="21.01.001.001"/>
    <x v="4"/>
    <n v="116011.474"/>
    <n v="116011.474"/>
    <n v="53759.127"/>
    <n v="0.46339491385136611"/>
    <n v="53759.127"/>
    <n v="0.46339491385136611"/>
    <n v="62252.347000000002"/>
    <n v="0.53660508614863389"/>
    <n v="160613.88"/>
    <n v="74909.599862000003"/>
    <n v="0.46639555598806282"/>
  </r>
  <r>
    <x v="2"/>
    <m/>
    <m/>
    <n v="2"/>
    <s v="21.01.001.002"/>
    <x v="5"/>
    <n v="16073.669"/>
    <n v="16073.669"/>
    <n v="6236.1460000000006"/>
    <n v="0.38797277709277206"/>
    <n v="6236.1459999999997"/>
    <n v="0.387972777092772"/>
    <n v="9837.523000000001"/>
    <n v="0.612027222907228"/>
    <n v="17297.2"/>
    <n v="10238.090766000001"/>
    <n v="0.59189295180722901"/>
  </r>
  <r>
    <x v="2"/>
    <m/>
    <m/>
    <n v="3"/>
    <s v="21.01.001.003"/>
    <x v="6"/>
    <n v="85149.134999999995"/>
    <n v="85149.134999999995"/>
    <n v="39652.026999999995"/>
    <n v="0.4656773906158882"/>
    <n v="39652.027000000002"/>
    <n v="0.46567739061588825"/>
    <n v="45497.107999999993"/>
    <n v="0.53432260938411169"/>
    <n v="91977.34"/>
    <n v="54353.183288"/>
    <n v="0.59094102186473318"/>
  </r>
  <r>
    <x v="2"/>
    <m/>
    <m/>
    <n v="4"/>
    <s v="21.01.001.004"/>
    <x v="7"/>
    <n v="163.035"/>
    <n v="163.035"/>
    <n v="0"/>
    <n v="0"/>
    <n v="0"/>
    <n v="0"/>
    <n v="163.035"/>
    <n v="1"/>
    <n v="0"/>
    <n v="0"/>
    <s v="0.00%"/>
  </r>
  <r>
    <x v="2"/>
    <m/>
    <m/>
    <n v="7"/>
    <s v="21.01.001.007"/>
    <x v="8"/>
    <n v="9786.4390000000003"/>
    <n v="9786.4390000000003"/>
    <n v="5964.4229999999989"/>
    <n v="0.60945794481526927"/>
    <n v="5964.4229999999998"/>
    <n v="0.60945794481526938"/>
    <n v="3822.0160000000005"/>
    <n v="0.39054205518473067"/>
    <n v="10034.460000000001"/>
    <n v="5928.3131199999998"/>
    <n v="0.59079543094496356"/>
  </r>
  <r>
    <x v="2"/>
    <m/>
    <m/>
    <n v="12"/>
    <s v="21.01.001.012"/>
    <x v="9"/>
    <n v="2224.8789999999999"/>
    <n v="2224.8789999999999"/>
    <n v="1301.895"/>
    <n v="0.58515317012745416"/>
    <n v="1301.895"/>
    <n v="0.58515317012745416"/>
    <n v="922.98399999999992"/>
    <n v="0.41484682987254584"/>
    <n v="2292.4"/>
    <n v="1354.5593620000002"/>
    <n v="0.59089136363636374"/>
  </r>
  <r>
    <x v="2"/>
    <m/>
    <m/>
    <n v="13"/>
    <s v="21.01.001.013"/>
    <x v="10"/>
    <n v="53254.192000000003"/>
    <n v="53254.192000000003"/>
    <n v="30525.990999999998"/>
    <n v="0.57321292190481454"/>
    <n v="30525.991000000002"/>
    <n v="0.57321292190481454"/>
    <n v="22728.201000000001"/>
    <n v="0.42678707809518546"/>
    <n v="54163.16"/>
    <n v="31753.488073999997"/>
    <n v="0.58625619469026535"/>
  </r>
  <r>
    <x v="2"/>
    <m/>
    <m/>
    <n v="14"/>
    <s v="21.01.001.014"/>
    <x v="11"/>
    <n v="78237.198999999993"/>
    <n v="78237.198999999993"/>
    <n v="36161.51"/>
    <n v="0.46220353568639394"/>
    <n v="36161.51"/>
    <n v="0.46220353568639394"/>
    <n v="42075.688999999991"/>
    <n v="0.53779646431360606"/>
    <n v="83016.14"/>
    <n v="50111.420107999991"/>
    <n v="0.60363466800552268"/>
  </r>
  <r>
    <x v="2"/>
    <m/>
    <m/>
    <n v="15"/>
    <s v="21.01.001.015"/>
    <x v="12"/>
    <n v="193572.617"/>
    <n v="193572.617"/>
    <n v="89812.027000000002"/>
    <n v="0.4639707226771646"/>
    <n v="89812.027000000002"/>
    <n v="0.4639707226771646"/>
    <n v="103760.59"/>
    <n v="0.53602927732283534"/>
    <n v="204065.28"/>
    <n v="123953.45971"/>
    <n v="0.60742062397875818"/>
  </r>
  <r>
    <x v="2"/>
    <m/>
    <m/>
    <n v="22"/>
    <s v="21.01.001.022"/>
    <x v="13"/>
    <n v="62483.360999999997"/>
    <n v="62483.360999999997"/>
    <n v="24890.141"/>
    <n v="0.39834830587938447"/>
    <n v="24890.141"/>
    <n v="0.39834830587938447"/>
    <n v="37593.22"/>
    <n v="0.60165169412061559"/>
    <n v="65781.460000000006"/>
    <n v="34964.810160000001"/>
    <n v="0.53152985902106764"/>
  </r>
  <r>
    <x v="2"/>
    <m/>
    <m/>
    <n v="39"/>
    <s v="21.01.001.039"/>
    <x v="14"/>
    <n v="12034.025"/>
    <n v="12034.025"/>
    <n v="7205.1760000000004"/>
    <n v="0.5987336738954756"/>
    <n v="7205.1760000000004"/>
    <n v="0.5987336738954756"/>
    <n v="4828.8489999999993"/>
    <n v="0.4012663261045244"/>
    <n v="11649.560000000001"/>
    <n v="7289.0327860000007"/>
    <n v="0.62569168157423971"/>
  </r>
  <r>
    <x v="2"/>
    <m/>
    <m/>
    <n v="998"/>
    <s v="21.01.001.0998"/>
    <x v="15"/>
    <n v="0"/>
    <n v="0"/>
    <n v="0"/>
    <s v="0.00%"/>
    <n v="0"/>
    <n v="0"/>
    <n v="0"/>
    <n v="0"/>
    <n v="18078.7"/>
    <n v="0"/>
    <n v="0"/>
  </r>
  <r>
    <x v="2"/>
    <m/>
    <m/>
    <n v="999"/>
    <s v="21.01.001.0999"/>
    <x v="16"/>
    <n v="0"/>
    <n v="0"/>
    <n v="0"/>
    <s v="0.00%"/>
    <n v="0"/>
    <n v="0"/>
    <n v="0"/>
    <n v="0"/>
    <n v="0"/>
    <n v="0"/>
    <s v="0.00%"/>
  </r>
  <r>
    <x v="2"/>
    <m/>
    <s v="002."/>
    <m/>
    <m/>
    <x v="17"/>
    <n v="19540.34"/>
    <n v="19540.34"/>
    <n v="8859.8180000000011"/>
    <n v="0.45341166018605616"/>
    <n v="8859.8180000000011"/>
    <n v="0.45341166018605616"/>
    <n v="10680.521999999999"/>
    <n v="0.54658833981394384"/>
    <n v="22653.079999999998"/>
    <n v="12229.798741999999"/>
    <n v="0.53987355105795765"/>
  </r>
  <r>
    <x v="2"/>
    <m/>
    <m/>
    <n v="1"/>
    <s v="21.01.002.001"/>
    <x v="18"/>
    <n v="1667.615"/>
    <n v="1667.615"/>
    <n v="765.12900000000002"/>
    <n v="0.45881633350623496"/>
    <n v="765.12900000000002"/>
    <n v="0.45881633350623496"/>
    <n v="902.48599999999999"/>
    <n v="0.54118366649376504"/>
    <n v="1635.94"/>
    <n v="1057.7029400000001"/>
    <n v="0.64654140127388537"/>
  </r>
  <r>
    <x v="2"/>
    <m/>
    <m/>
    <n v="2"/>
    <s v="21.01.002.002"/>
    <x v="19"/>
    <n v="17872.724999999999"/>
    <n v="17872.724999999999"/>
    <n v="8094.6890000000003"/>
    <n v="0.45290737702280998"/>
    <n v="8094.6890000000003"/>
    <n v="0.45290737702280998"/>
    <n v="9778.0359999999982"/>
    <n v="0.54709262297719008"/>
    <n v="21017.14"/>
    <n v="11172.095802"/>
    <n v="0.53157069905800691"/>
  </r>
  <r>
    <x v="2"/>
    <m/>
    <s v="003."/>
    <m/>
    <m/>
    <x v="20"/>
    <n v="56619.78"/>
    <n v="56619.78"/>
    <n v="23413.001"/>
    <n v="0.41351275119754971"/>
    <n v="23413.001"/>
    <n v="0.41351275119754971"/>
    <n v="33206.779000000002"/>
    <n v="0.5864872488024504"/>
    <n v="61217.5"/>
    <n v="32019.082412000003"/>
    <n v="0.52303805957446814"/>
  </r>
  <r>
    <x v="2"/>
    <m/>
    <m/>
    <n v="1"/>
    <s v="21.01.003.001"/>
    <x v="21"/>
    <n v="30187.928"/>
    <n v="30187.928"/>
    <n v="11877.976999999999"/>
    <n v="0.39346777957069456"/>
    <n v="11877.977000000001"/>
    <n v="0.39346777957069462"/>
    <n v="18309.951000000001"/>
    <n v="0.60653222042930544"/>
    <n v="31885.200000000001"/>
    <n v="16950.721454000002"/>
    <n v="0.5316172222222223"/>
  </r>
  <r>
    <x v="2"/>
    <m/>
    <m/>
    <n v="2"/>
    <s v="21.01.003.002"/>
    <x v="22"/>
    <n v="26431.851999999999"/>
    <n v="26431.851999999999"/>
    <n v="11535.024000000001"/>
    <n v="0.43640619658433322"/>
    <n v="11535.023999999999"/>
    <n v="0.43640619658433316"/>
    <n v="14896.828"/>
    <n v="0.56359380341566678"/>
    <n v="29332.3"/>
    <n v="15068.360958000001"/>
    <n v="0.51371222024866792"/>
  </r>
  <r>
    <x v="2"/>
    <m/>
    <m/>
    <n v="3"/>
    <s v="21.01.003.003"/>
    <x v="23"/>
    <n v="0"/>
    <n v="0"/>
    <n v="0"/>
    <s v="0.00%"/>
    <n v="0"/>
    <n v="0"/>
    <n v="0"/>
    <n v="0"/>
    <n v="0"/>
    <n v="0"/>
    <s v="0.00%"/>
  </r>
  <r>
    <x v="2"/>
    <m/>
    <s v="004."/>
    <m/>
    <m/>
    <x v="24"/>
    <n v="97527.415999999997"/>
    <n v="97027.415999999997"/>
    <n v="49222.030999999995"/>
    <n v="0.50730023563649262"/>
    <n v="49222.030999999995"/>
    <n v="0.50730023563649262"/>
    <n v="47805.385000000009"/>
    <n v="0.49269976436350743"/>
    <n v="219656.20500000002"/>
    <n v="59668.505521999992"/>
    <n v="0.27164498049121805"/>
  </r>
  <r>
    <x v="2"/>
    <m/>
    <m/>
    <n v="4"/>
    <s v="21.01.004.004"/>
    <x v="25"/>
    <n v="89789.216"/>
    <n v="89789.216"/>
    <n v="44911.375999999997"/>
    <n v="0.5001867484843614"/>
    <n v="44911.375999999997"/>
    <n v="0.5001867484843614"/>
    <n v="44877.840000000004"/>
    <n v="0.4998132515156386"/>
    <n v="211675.527"/>
    <n v="55275.027141999992"/>
    <n v="0.26113092961379514"/>
  </r>
  <r>
    <x v="2"/>
    <m/>
    <m/>
    <n v="5"/>
    <s v="21.01.004.005"/>
    <x v="26"/>
    <n v="138.19999999999999"/>
    <n v="138.19999999999999"/>
    <n v="48.972000000000001"/>
    <n v="0.35435600578871207"/>
    <n v="48.972000000000001"/>
    <n v="0.35435600578871207"/>
    <n v="89.22799999999998"/>
    <n v="0.64564399421128793"/>
    <n v="625.20000000000005"/>
    <n v="0"/>
    <n v="0"/>
  </r>
  <r>
    <x v="2"/>
    <m/>
    <m/>
    <n v="6"/>
    <s v="21.01.004.006"/>
    <x v="27"/>
    <n v="5600"/>
    <n v="5600"/>
    <n v="4261.683"/>
    <n v="0.76101482142857146"/>
    <n v="4261.683"/>
    <n v="0.76101482142857146"/>
    <n v="1338.317"/>
    <n v="0.23898517857142856"/>
    <n v="5271.4780000000001"/>
    <n v="4393.4783800000005"/>
    <n v="0.83344336825459586"/>
  </r>
  <r>
    <x v="2"/>
    <m/>
    <m/>
    <n v="7"/>
    <s v="21.01.004.007"/>
    <x v="28"/>
    <n v="2000"/>
    <n v="1500"/>
    <n v="0"/>
    <n v="0"/>
    <n v="0"/>
    <n v="0"/>
    <n v="1500"/>
    <n v="1"/>
    <n v="2084"/>
    <n v="0"/>
    <n v="0"/>
  </r>
  <r>
    <x v="2"/>
    <m/>
    <s v="005."/>
    <m/>
    <m/>
    <x v="24"/>
    <n v="1210.5509999999999"/>
    <n v="1230.5509999999999"/>
    <n v="563.33199999999999"/>
    <n v="0.45778842160950667"/>
    <n v="563.33199999999999"/>
    <n v="0.45778842160950667"/>
    <n v="667.21900000000005"/>
    <n v="0.54221157839049339"/>
    <n v="1329.0835039999999"/>
    <n v="342.91178000000002"/>
    <n v="0.25800619672727504"/>
  </r>
  <r>
    <x v="2"/>
    <m/>
    <m/>
    <n v="1"/>
    <s v="21.01.005.001"/>
    <x v="29"/>
    <n v="344.95400000000001"/>
    <n v="344.95400000000001"/>
    <n v="0"/>
    <n v="0"/>
    <n v="0"/>
    <n v="0"/>
    <n v="344.95400000000001"/>
    <n v="1"/>
    <n v="10.42"/>
    <n v="0"/>
    <n v="0"/>
  </r>
  <r>
    <x v="2"/>
    <m/>
    <m/>
    <n v="2"/>
    <s v="21.01.005.002"/>
    <x v="30"/>
    <n v="326.529"/>
    <n v="346.529"/>
    <n v="344.928"/>
    <n v="0.99537989605487565"/>
    <n v="344.928"/>
    <n v="0.99537989605487565"/>
    <n v="1.6009999999999991"/>
    <n v="4.6201039451243594E-3"/>
    <n v="505.903504"/>
    <n v="342.91178000000002"/>
    <n v="0.67782052760796851"/>
  </r>
  <r>
    <x v="2"/>
    <m/>
    <m/>
    <n v="3"/>
    <s v="21.01.005.003"/>
    <x v="31"/>
    <n v="539.06799999999998"/>
    <n v="539.06799999999998"/>
    <n v="218.404"/>
    <n v="0.40515111266111142"/>
    <n v="218.404"/>
    <n v="0.40515111266111142"/>
    <n v="320.66399999999999"/>
    <n v="0.59484888733888863"/>
    <n v="812.76"/>
    <n v="0"/>
    <n v="0"/>
  </r>
  <r>
    <x v="2"/>
    <s v="02."/>
    <m/>
    <m/>
    <m/>
    <x v="32"/>
    <n v="18291793.324999996"/>
    <n v="17847464.806999996"/>
    <n v="10583192.951000001"/>
    <n v="0.59298018320501977"/>
    <n v="10583192.951000001"/>
    <n v="0.59298018320501977"/>
    <n v="7264271.8560000006"/>
    <n v="0.4070198167949805"/>
    <n v="17635574.254498001"/>
    <n v="10283318.293554001"/>
    <n v="0.58310084747771751"/>
  </r>
  <r>
    <x v="2"/>
    <m/>
    <s v="001."/>
    <m/>
    <m/>
    <x v="3"/>
    <n v="15545567.981999999"/>
    <n v="15100239.464"/>
    <n v="9106865.0030000005"/>
    <n v="0.60309407838937834"/>
    <n v="9106865.0030000005"/>
    <n v="0.60309407838937834"/>
    <n v="5993374.4610000001"/>
    <n v="0.39690592161062171"/>
    <n v="15057463.902266001"/>
    <n v="8864116.3869320005"/>
    <n v="0.58868587993745991"/>
  </r>
  <r>
    <x v="2"/>
    <m/>
    <m/>
    <n v="1"/>
    <s v="21.02.001.001"/>
    <x v="33"/>
    <n v="3651832.827"/>
    <n v="3201504.3089999999"/>
    <n v="1918522.9580000001"/>
    <n v="0.59925671585282259"/>
    <n v="1918522.9580000001"/>
    <n v="0.59925671585282259"/>
    <n v="1282981.3509999998"/>
    <n v="0.40074328414717741"/>
    <n v="3286263.91909"/>
    <n v="1875764.2723420002"/>
    <n v="0.57078929706334069"/>
  </r>
  <r>
    <x v="2"/>
    <m/>
    <m/>
    <n v="2"/>
    <s v="21.02.001.002"/>
    <x v="5"/>
    <n v="144871.696"/>
    <n v="144871.696"/>
    <n v="95480.133000000002"/>
    <n v="0.65906685457730818"/>
    <n v="95480.133000000002"/>
    <n v="0.65906685457730818"/>
    <n v="49391.562999999995"/>
    <n v="0.34093314542269176"/>
    <n v="136752.08000000002"/>
    <n v="87391.23541600001"/>
    <n v="0.63904867418469979"/>
  </r>
  <r>
    <x v="2"/>
    <m/>
    <m/>
    <n v="3"/>
    <s v="21.02.001.003"/>
    <x v="6"/>
    <n v="2214042.253"/>
    <n v="2214042.253"/>
    <n v="1366287.013"/>
    <n v="0.61710069496130793"/>
    <n v="1366287.013"/>
    <n v="0.61710069496130793"/>
    <n v="847755.24"/>
    <n v="0.38289930503869202"/>
    <n v="2170600.62"/>
    <n v="1334164.438754"/>
    <n v="0.6146521964754621"/>
  </r>
  <r>
    <x v="2"/>
    <m/>
    <m/>
    <n v="4"/>
    <s v="21.02.001.004"/>
    <x v="7"/>
    <n v="289402.63799999998"/>
    <n v="289402.63799999998"/>
    <n v="174806.22499999998"/>
    <n v="0.60402429711093375"/>
    <n v="174806.22500000001"/>
    <n v="0.60402429711093375"/>
    <n v="114596.41299999997"/>
    <n v="0.39597570288906619"/>
    <n v="288738.2"/>
    <n v="175736.05088"/>
    <n v="0.60863457235654994"/>
  </r>
  <r>
    <x v="2"/>
    <m/>
    <m/>
    <n v="6"/>
    <s v="21.02.001.006"/>
    <x v="34"/>
    <n v="0"/>
    <n v="0"/>
    <n v="0"/>
    <s v="0.00%"/>
    <n v="0"/>
    <n v="0"/>
    <n v="0"/>
    <n v="0"/>
    <n v="0"/>
    <n v="0"/>
    <s v="0.00%"/>
  </r>
  <r>
    <x v="2"/>
    <m/>
    <m/>
    <n v="7"/>
    <s v="21.02.001.007"/>
    <x v="35"/>
    <n v="149822.50099999999"/>
    <n v="149822.50099999999"/>
    <n v="71708.518000000011"/>
    <n v="0.47862315420832557"/>
    <n v="71708.517999999996"/>
    <n v="0.47862315420832552"/>
    <n v="78113.982999999993"/>
    <n v="0.52137684579167454"/>
    <n v="147557.62"/>
    <n v="88413.777108000009"/>
    <n v="0.59918137137207828"/>
  </r>
  <r>
    <x v="2"/>
    <m/>
    <m/>
    <n v="13"/>
    <s v="21.02.001.013"/>
    <x v="11"/>
    <n v="2483515.6749999998"/>
    <n v="2483515.6749999998"/>
    <n v="1525437.037"/>
    <n v="0.61422484760439455"/>
    <n v="1525437.037"/>
    <n v="0.61422484760439455"/>
    <n v="958078.6379999998"/>
    <n v="0.38577515239560545"/>
    <n v="2422754.2000000002"/>
    <n v="1458406.4887000001"/>
    <n v="0.60196221667885252"/>
  </r>
  <r>
    <x v="2"/>
    <m/>
    <m/>
    <n v="14"/>
    <s v="21.02.001.014"/>
    <x v="12"/>
    <n v="4986131.4129999997"/>
    <n v="4986131.4129999997"/>
    <n v="3095922.7560000001"/>
    <n v="0.62090677111481907"/>
    <n v="3095922.7560000001"/>
    <n v="0.62090677111481907"/>
    <n v="1890208.6569999997"/>
    <n v="0.37909322888518099"/>
    <n v="4912311.0200000005"/>
    <n v="3004901.4254359999"/>
    <n v="0.61170830047239144"/>
  </r>
  <r>
    <x v="2"/>
    <m/>
    <m/>
    <n v="21"/>
    <s v="21.02.001.021"/>
    <x v="13"/>
    <n v="1569726.9240000001"/>
    <n v="1569726.9240000001"/>
    <n v="827336.58"/>
    <n v="0.52705764763960938"/>
    <n v="827336.58"/>
    <n v="0.52705764763960938"/>
    <n v="742390.34400000016"/>
    <n v="0.47294235236039062"/>
    <n v="1546578.08"/>
    <n v="809416.64922000014"/>
    <n v="0.52335970597747006"/>
  </r>
  <r>
    <x v="2"/>
    <m/>
    <m/>
    <n v="37"/>
    <s v="21.02.001.037"/>
    <x v="36"/>
    <n v="52034.044999999998"/>
    <n v="52034.044999999998"/>
    <n v="26252.654999999999"/>
    <n v="0.50452842941577958"/>
    <n v="26252.654999999999"/>
    <n v="0.50452842941577958"/>
    <n v="25781.39"/>
    <n v="0.49547157058422037"/>
    <n v="27385.948199999999"/>
    <n v="27383.105624000003"/>
    <n v="0.99989620311923344"/>
  </r>
  <r>
    <x v="2"/>
    <m/>
    <m/>
    <n v="38"/>
    <s v="21.02.001.038"/>
    <x v="37"/>
    <n v="4188.01"/>
    <n v="9188.01"/>
    <n v="5111.1279999999997"/>
    <n v="0.55628237235266387"/>
    <n v="5111.1279999999997"/>
    <n v="0.55628237235266387"/>
    <n v="4076.8820000000005"/>
    <n v="0.44371762764733608"/>
    <n v="3829.2749760000002"/>
    <n v="2538.943452"/>
    <n v="0.66303503089040106"/>
  </r>
  <r>
    <x v="2"/>
    <m/>
    <m/>
    <n v="998"/>
    <s v="21.02.001.0998"/>
    <x v="15"/>
    <n v="0"/>
    <n v="0"/>
    <n v="0"/>
    <s v="0.00%"/>
    <n v="0"/>
    <n v="0"/>
    <n v="0"/>
    <n v="0"/>
    <n v="114692.94"/>
    <n v="0"/>
    <n v="0"/>
  </r>
  <r>
    <x v="2"/>
    <m/>
    <m/>
    <n v="999"/>
    <s v="21.02.001.0999"/>
    <x v="16"/>
    <n v="0"/>
    <n v="0"/>
    <n v="0"/>
    <s v="0.00%"/>
    <n v="0"/>
    <n v="0"/>
    <n v="0"/>
    <n v="0"/>
    <n v="0"/>
    <n v="0"/>
    <s v="0.00%"/>
  </r>
  <r>
    <x v="2"/>
    <m/>
    <s v="002."/>
    <m/>
    <m/>
    <x v="17"/>
    <n v="611349.11"/>
    <n v="611349.11"/>
    <n v="378001.27400000003"/>
    <n v="0.61830673802731151"/>
    <n v="378001.27399999998"/>
    <n v="0.6183067380273114"/>
    <n v="233347.83600000007"/>
    <n v="0.38169326197268871"/>
    <n v="602880.36"/>
    <n v="353853.17074999993"/>
    <n v="0.58693763178817093"/>
  </r>
  <r>
    <x v="2"/>
    <m/>
    <m/>
    <n v="1"/>
    <s v="21.02.002.001"/>
    <x v="18"/>
    <n v="45228.618999999999"/>
    <n v="45228.618999999999"/>
    <n v="30705.793999999998"/>
    <n v="0.67890186963258814"/>
    <n v="30705.794000000002"/>
    <n v="0.67890186963258825"/>
    <n v="14522.824999999997"/>
    <n v="0.3210981303674118"/>
    <n v="43930.720000000001"/>
    <n v="25415.090644000004"/>
    <n v="0.57852661290322582"/>
  </r>
  <r>
    <x v="2"/>
    <m/>
    <m/>
    <n v="2"/>
    <s v="21.02.002.002"/>
    <x v="19"/>
    <n v="566120.49100000004"/>
    <n v="566120.49100000004"/>
    <n v="347295.48000000004"/>
    <n v="0.61346565885035242"/>
    <n v="347295.48"/>
    <n v="0.61346565885035231"/>
    <n v="218825.01100000006"/>
    <n v="0.38653434114964769"/>
    <n v="558949.64"/>
    <n v="328438.08010599995"/>
    <n v="0.58759869691659505"/>
  </r>
  <r>
    <x v="2"/>
    <m/>
    <s v="003."/>
    <m/>
    <m/>
    <x v="20"/>
    <n v="1544483.2579999999"/>
    <n v="1544483.2579999999"/>
    <n v="826001.53700000001"/>
    <n v="0.53480769877014755"/>
    <n v="826001.53700000001"/>
    <n v="0.53480769877014755"/>
    <n v="718481.72100000002"/>
    <n v="0.46519230122985256"/>
    <n v="1485141.7600000002"/>
    <n v="803161.41589399998"/>
    <n v="0.54079781306129315"/>
  </r>
  <r>
    <x v="2"/>
    <m/>
    <m/>
    <n v="1"/>
    <s v="21.02.003.001"/>
    <x v="21"/>
    <n v="795328.06599999999"/>
    <n v="795328.06599999999"/>
    <n v="419064.11300000001"/>
    <n v="0.52690723603861855"/>
    <n v="419064.11300000001"/>
    <n v="0.52690723603861855"/>
    <n v="376263.95299999998"/>
    <n v="0.47309276396138145"/>
    <n v="783604.84000000008"/>
    <n v="410103.42027999996"/>
    <n v="0.5233548841786122"/>
  </r>
  <r>
    <x v="2"/>
    <m/>
    <m/>
    <n v="2"/>
    <s v="21.02.003.002"/>
    <x v="22"/>
    <n v="749155.19200000004"/>
    <n v="749155.19200000004"/>
    <n v="406937.424"/>
    <n v="0.54319509274655065"/>
    <n v="406937.424"/>
    <n v="0.54319509274655065"/>
    <n v="342217.76800000004"/>
    <n v="0.4568049072534493"/>
    <n v="701536.92"/>
    <n v="393057.99561400001"/>
    <n v="0.56028126875204232"/>
  </r>
  <r>
    <x v="2"/>
    <m/>
    <m/>
    <n v="3"/>
    <s v="21.02.003.003"/>
    <x v="23"/>
    <n v="0"/>
    <n v="0"/>
    <n v="0"/>
    <s v="0.00%"/>
    <n v="0"/>
    <n v="0"/>
    <n v="0"/>
    <n v="0"/>
    <n v="0"/>
    <n v="0"/>
    <s v="0.00%"/>
  </r>
  <r>
    <x v="2"/>
    <m/>
    <s v="004."/>
    <m/>
    <m/>
    <x v="24"/>
    <n v="471035.58399999997"/>
    <n v="472035.58399999997"/>
    <n v="230094.26"/>
    <n v="0.48745109012798499"/>
    <n v="230094.26"/>
    <n v="0.48745109012798499"/>
    <n v="241941.32399999996"/>
    <n v="0.51254890987201507"/>
    <n v="390108.64900000003"/>
    <n v="242959.65555200001"/>
    <n v="0.62279997168686196"/>
  </r>
  <r>
    <x v="2"/>
    <m/>
    <m/>
    <n v="4"/>
    <s v="21.02.004.004"/>
    <x v="25"/>
    <n v="338878.78399999999"/>
    <n v="338878.78399999999"/>
    <n v="139718.899"/>
    <n v="0.41229756950497087"/>
    <n v="139718.899"/>
    <n v="0.41229756950497087"/>
    <n v="199159.88499999998"/>
    <n v="0.58770243049502913"/>
    <n v="211675.527"/>
    <n v="143512.15086400002"/>
    <n v="0.67798178135160625"/>
  </r>
  <r>
    <x v="2"/>
    <m/>
    <m/>
    <n v="5"/>
    <s v="21.02.004.005"/>
    <x v="26"/>
    <n v="56627.8"/>
    <n v="56627.8"/>
    <n v="25605.484"/>
    <n v="0.45217161888683649"/>
    <n v="25605.484"/>
    <n v="0.45217161888683649"/>
    <n v="31022.316000000003"/>
    <n v="0.54782838111316356"/>
    <n v="58387.428"/>
    <n v="23149.958741999999"/>
    <n v="0.39648875682621265"/>
  </r>
  <r>
    <x v="2"/>
    <m/>
    <m/>
    <n v="6"/>
    <s v="21.02.004.006"/>
    <x v="27"/>
    <n v="75029"/>
    <n v="75029"/>
    <n v="64769.877"/>
    <n v="0.86326456436844423"/>
    <n v="64769.877"/>
    <n v="0.86326456436844423"/>
    <n v="10259.123"/>
    <n v="0.1367354356315558"/>
    <n v="119316.29400000001"/>
    <n v="76297.545945999998"/>
    <n v="0.63945621665051033"/>
  </r>
  <r>
    <x v="2"/>
    <m/>
    <m/>
    <n v="7"/>
    <s v="21.02.004.007"/>
    <x v="28"/>
    <n v="500"/>
    <n v="1500"/>
    <n v="0"/>
    <n v="0"/>
    <n v="0"/>
    <n v="0"/>
    <n v="1500"/>
    <n v="1"/>
    <n v="729.4"/>
    <n v="0"/>
    <n v="0"/>
  </r>
  <r>
    <x v="2"/>
    <m/>
    <s v="005."/>
    <m/>
    <m/>
    <x v="24"/>
    <n v="119357.391"/>
    <n v="119357.391"/>
    <n v="42230.877000000008"/>
    <n v="0.35381870067853616"/>
    <n v="42230.877"/>
    <n v="0.3538187006785361"/>
    <n v="77126.513999999996"/>
    <n v="0.64618129932146384"/>
    <n v="99979.583232000005"/>
    <n v="19227.664425999999"/>
    <n v="0.192315908952958"/>
  </r>
  <r>
    <x v="2"/>
    <m/>
    <m/>
    <n v="1"/>
    <s v="21.02.005.001"/>
    <x v="29"/>
    <n v="38806.478999999999"/>
    <n v="38806.478999999999"/>
    <n v="0"/>
    <n v="0"/>
    <n v="0"/>
    <n v="0"/>
    <n v="38806.478999999999"/>
    <n v="1"/>
    <n v="10.42"/>
    <n v="0"/>
    <n v="0"/>
  </r>
  <r>
    <x v="2"/>
    <m/>
    <m/>
    <n v="2"/>
    <s v="21.02.005.002"/>
    <x v="30"/>
    <n v="18445.887999999999"/>
    <n v="18445.887999999999"/>
    <n v="18151.836000000003"/>
    <n v="0.98405866933595199"/>
    <n v="18151.835999999999"/>
    <n v="0.98405866933595176"/>
    <n v="294.05199999999968"/>
    <n v="1.5941330664048254E-2"/>
    <n v="28300.403232000001"/>
    <n v="19227.664425999999"/>
    <n v="0.6794130906325313"/>
  </r>
  <r>
    <x v="2"/>
    <m/>
    <m/>
    <n v="3"/>
    <s v="21.02.005.003"/>
    <x v="31"/>
    <n v="62105.023999999998"/>
    <n v="62105.023999999998"/>
    <n v="24079.041000000001"/>
    <n v="0.38771486506470076"/>
    <n v="24079.041000000001"/>
    <n v="0.38771486506470076"/>
    <n v="38025.982999999993"/>
    <n v="0.61228513493529924"/>
    <n v="71668.760000000009"/>
    <n v="0"/>
    <n v="0"/>
  </r>
  <r>
    <x v="2"/>
    <s v="03."/>
    <m/>
    <m/>
    <m/>
    <x v="38"/>
    <n v="1131969.5630000001"/>
    <n v="1181272.081"/>
    <n v="543810.97500000009"/>
    <n v="0.46036047388814916"/>
    <n v="543810.97500000009"/>
    <n v="0.46036047388814916"/>
    <n v="637461.10600000003"/>
    <n v="0.53963952611185095"/>
    <n v="1152167.1369980001"/>
    <n v="692295.94821000006"/>
    <n v="0.60086416803537224"/>
  </r>
  <r>
    <x v="2"/>
    <m/>
    <s v="001."/>
    <m/>
    <m/>
    <x v="39"/>
    <n v="1038046"/>
    <n v="1085046"/>
    <n v="531544.39"/>
    <n v="0.48988189440816338"/>
    <n v="531544.39"/>
    <n v="0.48988189440816338"/>
    <n v="553501.61"/>
    <n v="0.51011810559183668"/>
    <n v="1070860.4469720002"/>
    <n v="615803.82752000005"/>
    <n v="0.57505516172650417"/>
  </r>
  <r>
    <x v="2"/>
    <m/>
    <m/>
    <n v="1"/>
    <s v="21.03.001.001"/>
    <x v="40"/>
    <n v="1018733"/>
    <n v="1065733"/>
    <n v="525427.68700000003"/>
    <n v="0.49302000313399325"/>
    <n v="525427.68700000003"/>
    <n v="0.49302000313399325"/>
    <n v="540305.31299999997"/>
    <n v="0.5069799968660067"/>
    <n v="1054447.7320000001"/>
    <n v="603686.6710620001"/>
    <n v="0.57251455215989788"/>
  </r>
  <r>
    <x v="2"/>
    <m/>
    <m/>
    <n v="2"/>
    <s v="21.03.001.002"/>
    <x v="41"/>
    <n v="19313"/>
    <n v="19313"/>
    <n v="6116.7030000000004"/>
    <n v="0.31671428571428573"/>
    <n v="6116.7030000000004"/>
    <n v="0.31671428571428573"/>
    <n v="13196.296999999999"/>
    <n v="0.68328571428571416"/>
    <n v="16412.714972000002"/>
    <n v="12117.156458000001"/>
    <n v="0.73827861378643334"/>
  </r>
  <r>
    <x v="2"/>
    <m/>
    <s v="005."/>
    <m/>
    <s v="21.03.005."/>
    <x v="42"/>
    <n v="93923.562999999995"/>
    <n v="93923.562999999995"/>
    <n v="9964.0670000000009"/>
    <n v="0.10608697840817646"/>
    <n v="9964.0669999999991"/>
    <n v="0.10608697840817644"/>
    <n v="83959.495999999999"/>
    <n v="0.89391302159182362"/>
    <n v="81306.690025999997"/>
    <n v="76492.120689999996"/>
    <n v="0.94078507765522845"/>
  </r>
  <r>
    <x v="2"/>
    <m/>
    <s v="007."/>
    <m/>
    <s v="21.03.007."/>
    <x v="43"/>
    <n v="0"/>
    <n v="0"/>
    <n v="0"/>
    <s v="0.00%"/>
    <n v="0"/>
    <n v="0"/>
    <n v="0"/>
    <n v="0"/>
    <n v="0"/>
    <n v="0"/>
    <s v="0.00%"/>
  </r>
  <r>
    <x v="2"/>
    <m/>
    <s v="999."/>
    <m/>
    <s v="21.03.999."/>
    <x v="44"/>
    <n v="0"/>
    <n v="2302.518"/>
    <n v="2302.518"/>
    <n v="1"/>
    <n v="2302.518"/>
    <n v="1"/>
    <n v="0"/>
    <n v="0"/>
    <n v="0"/>
    <n v="0"/>
    <s v="0.00%"/>
  </r>
  <r>
    <x v="3"/>
    <m/>
    <m/>
    <m/>
    <m/>
    <x v="45"/>
    <n v="2943989"/>
    <n v="4547359.0000000009"/>
    <n v="1729538.6440000001"/>
    <n v="0.38033914718411277"/>
    <n v="3424734.6149999998"/>
    <n v="0.75312607053896541"/>
    <n v="1122624.3849999998"/>
    <n v="0.24687392946103431"/>
    <n v="4986754.6260000002"/>
    <n v="2048826.1240020001"/>
    <n v="0.41085360673649474"/>
  </r>
  <r>
    <x v="2"/>
    <s v=".01"/>
    <m/>
    <m/>
    <s v="22.01"/>
    <x v="46"/>
    <n v="0"/>
    <n v="150"/>
    <n v="150"/>
    <n v="1"/>
    <n v="150"/>
    <n v="1"/>
    <n v="0"/>
    <n v="0"/>
    <n v="0"/>
    <n v="0"/>
    <n v="0"/>
  </r>
  <r>
    <x v="2"/>
    <m/>
    <s v=".001"/>
    <m/>
    <s v="22.01.001"/>
    <x v="47"/>
    <n v="0"/>
    <n v="150"/>
    <n v="150"/>
    <n v="1"/>
    <n v="150"/>
    <n v="1"/>
    <n v="0"/>
    <n v="0"/>
    <n v="0"/>
    <n v="0"/>
    <n v="0"/>
  </r>
  <r>
    <x v="2"/>
    <s v=".02"/>
    <m/>
    <m/>
    <s v="22.02"/>
    <x v="48"/>
    <n v="23000"/>
    <n v="23000"/>
    <n v="18251.744999999999"/>
    <n v="0.79355413043478251"/>
    <n v="18251.744999999999"/>
    <n v="0.79355413043478251"/>
    <n v="4748.2549999999992"/>
    <n v="0.20644586956521735"/>
    <n v="34020.047516000006"/>
    <n v="19887.896465999998"/>
    <n v="0.58459343587472945"/>
  </r>
  <r>
    <x v="2"/>
    <m/>
    <s v=".001"/>
    <m/>
    <s v="22.02.001"/>
    <x v="49"/>
    <n v="0"/>
    <n v="0"/>
    <n v="0"/>
    <s v="0.00%"/>
    <n v="0"/>
    <n v="0"/>
    <n v="0"/>
    <n v="0"/>
    <n v="0"/>
    <n v="0"/>
    <s v="0.00%"/>
  </r>
  <r>
    <x v="2"/>
    <m/>
    <s v=".002"/>
    <m/>
    <s v="22.02.002"/>
    <x v="50"/>
    <n v="18000"/>
    <n v="18000"/>
    <n v="15295.368"/>
    <n v="0.84974266666666665"/>
    <n v="15295.368"/>
    <n v="0.84974266666666665"/>
    <n v="2704.6319999999996"/>
    <n v="0.1502573333333333"/>
    <n v="22438.064342000001"/>
    <n v="10442.221691999999"/>
    <n v="0.46537979091422993"/>
  </r>
  <r>
    <x v="2"/>
    <m/>
    <s v=".003"/>
    <m/>
    <s v="22.02.003"/>
    <x v="51"/>
    <n v="5000"/>
    <n v="5000"/>
    <n v="2956.377"/>
    <n v="0.59127540000000001"/>
    <n v="2956.377"/>
    <n v="0.59127540000000001"/>
    <n v="2043.623"/>
    <n v="0.40872459999999999"/>
    <n v="11581.983174000001"/>
    <n v="9445.6747739999992"/>
    <n v="0.81554899813740644"/>
  </r>
  <r>
    <x v="2"/>
    <s v=".03"/>
    <m/>
    <m/>
    <m/>
    <x v="52"/>
    <n v="0"/>
    <n v="0"/>
    <n v="0"/>
    <s v="0.00%"/>
    <n v="0"/>
    <n v="0"/>
    <n v="0"/>
    <n v="0"/>
    <n v="31260"/>
    <n v="31260"/>
    <n v="1"/>
  </r>
  <r>
    <x v="2"/>
    <m/>
    <s v=".001"/>
    <m/>
    <s v="22.03.001"/>
    <x v="53"/>
    <n v="0"/>
    <n v="0"/>
    <n v="0"/>
    <s v="0.00%"/>
    <n v="0"/>
    <n v="0"/>
    <n v="0"/>
    <n v="0"/>
    <n v="31260"/>
    <n v="31260"/>
    <n v="1"/>
  </r>
  <r>
    <x v="2"/>
    <s v=".04"/>
    <m/>
    <m/>
    <m/>
    <x v="54"/>
    <n v="35764.204000000005"/>
    <n v="38695.626000000004"/>
    <n v="35814.665999999997"/>
    <n v="0.9255481743595515"/>
    <n v="37886.350999999995"/>
    <n v="0.97908613753916252"/>
    <n v="809.27500000000032"/>
    <n v="2.0913862460837311E-2"/>
    <n v="60031.213218000004"/>
    <n v="32992.675112000004"/>
    <n v="0.54959200961321475"/>
  </r>
  <r>
    <x v="2"/>
    <m/>
    <s v=".001"/>
    <m/>
    <s v="22.04.001"/>
    <x v="55"/>
    <n v="10321.700000000001"/>
    <n v="4356.4859999999999"/>
    <n v="3944.7460000000001"/>
    <n v="0.90548804701771113"/>
    <n v="4356.4859999999999"/>
    <n v="1"/>
    <n v="0"/>
    <n v="0"/>
    <n v="5865.9765120000002"/>
    <n v="5395.2821880000001"/>
    <n v="0.91975857335311473"/>
  </r>
  <r>
    <x v="2"/>
    <m/>
    <s v=".002"/>
    <m/>
    <s v="22.04.002"/>
    <x v="56"/>
    <n v="427.21100000000001"/>
    <n v="427.21100000000001"/>
    <n v="427.21100000000001"/>
    <n v="1"/>
    <n v="427.21100000000001"/>
    <n v="1"/>
    <n v="0"/>
    <n v="0"/>
    <n v="0"/>
    <n v="0"/>
    <s v="0.00%"/>
  </r>
  <r>
    <x v="2"/>
    <m/>
    <s v=".003"/>
    <m/>
    <s v="22.04.003"/>
    <x v="57"/>
    <n v="0"/>
    <n v="207.214"/>
    <n v="207.214"/>
    <n v="1"/>
    <n v="207.214"/>
    <n v="1"/>
    <n v="0"/>
    <n v="0"/>
    <n v="165.72488999999999"/>
    <n v="165.71968000000001"/>
    <n v="0.99996856235656584"/>
  </r>
  <r>
    <x v="2"/>
    <m/>
    <s v=".004"/>
    <m/>
    <s v="22.04.004"/>
    <x v="58"/>
    <n v="1013.077"/>
    <n v="187.90100000000001"/>
    <n v="187.90100000000001"/>
    <n v="1"/>
    <n v="187.90100000000001"/>
    <n v="1"/>
    <n v="0"/>
    <n v="0"/>
    <n v="327.35472000000004"/>
    <n v="327.35472000000004"/>
    <n v="1"/>
  </r>
  <r>
    <x v="2"/>
    <m/>
    <s v=".005"/>
    <m/>
    <s v="22.04.005"/>
    <x v="59"/>
    <n v="0"/>
    <n v="0"/>
    <n v="0"/>
    <s v="0.00%"/>
    <n v="0"/>
    <n v="0"/>
    <n v="0"/>
    <n v="0"/>
    <n v="666.59032400000001"/>
    <n v="0"/>
    <n v="0"/>
  </r>
  <r>
    <x v="2"/>
    <m/>
    <s v=".007"/>
    <m/>
    <s v="22.04.007"/>
    <x v="60"/>
    <n v="5015.9799999999996"/>
    <n v="10118.829"/>
    <n v="10118.829"/>
    <n v="1"/>
    <n v="10118.829"/>
    <n v="1"/>
    <n v="0"/>
    <n v="0"/>
    <n v="18061.586192000002"/>
    <n v="6688.1051340000004"/>
    <n v="0.37029445049307769"/>
  </r>
  <r>
    <x v="2"/>
    <m/>
    <s v=".008"/>
    <m/>
    <s v="22.04.008"/>
    <x v="61"/>
    <n v="0"/>
    <n v="0"/>
    <n v="0"/>
    <s v="0.00%"/>
    <n v="0"/>
    <n v="0"/>
    <n v="0"/>
    <n v="0"/>
    <n v="0"/>
    <n v="0"/>
    <s v="0.00%"/>
  </r>
  <r>
    <x v="2"/>
    <m/>
    <s v=".009"/>
    <m/>
    <s v="22.04.009"/>
    <x v="62"/>
    <n v="9200"/>
    <n v="11211.227999999999"/>
    <n v="11104.128000000001"/>
    <n v="0.99044707680550259"/>
    <n v="11211.227999999999"/>
    <n v="1"/>
    <n v="0"/>
    <n v="0"/>
    <n v="13416.26058"/>
    <n v="4920.1510280000002"/>
    <n v="0.36673043123019011"/>
  </r>
  <r>
    <x v="2"/>
    <m/>
    <s v=".010"/>
    <m/>
    <s v="22.04.010"/>
    <x v="63"/>
    <n v="2083.8960000000002"/>
    <n v="2537.8560000000002"/>
    <n v="2310.473"/>
    <n v="0.91040350595148023"/>
    <n v="2537.8560000000002"/>
    <n v="1"/>
    <n v="0"/>
    <n v="0"/>
    <n v="1421.288"/>
    <n v="0"/>
    <n v="0"/>
  </r>
  <r>
    <x v="2"/>
    <m/>
    <s v=".011"/>
    <m/>
    <s v="22.04.011"/>
    <x v="64"/>
    <n v="1000"/>
    <n v="1780.7619999999999"/>
    <n v="996.49000000000012"/>
    <n v="0.55958628946484712"/>
    <n v="1242.702"/>
    <n v="0.69784844914705058"/>
    <n v="538.05999999999995"/>
    <n v="0.30215155085294942"/>
    <n v="3650.4010880000001"/>
    <n v="1067.3414399999999"/>
    <n v="0.29239018241274423"/>
  </r>
  <r>
    <x v="2"/>
    <m/>
    <s v=".012"/>
    <m/>
    <s v="22.04.012"/>
    <x v="65"/>
    <n v="2293.54"/>
    <n v="0"/>
    <n v="0"/>
    <s v="0.00%"/>
    <n v="0"/>
    <n v="0"/>
    <n v="0"/>
    <n v="0"/>
    <n v="649.16287399999999"/>
    <n v="649.1628740000001"/>
    <n v="1.0000000000000002"/>
  </r>
  <r>
    <x v="2"/>
    <m/>
    <s v=".013"/>
    <m/>
    <s v="22.04.013"/>
    <x v="66"/>
    <n v="4000"/>
    <n v="6199.2330000000002"/>
    <n v="4971.2579999999998"/>
    <n v="0.80191501109895369"/>
    <n v="5953.0079999999998"/>
    <n v="0.96028137674451008"/>
    <n v="246.22500000000036"/>
    <n v="3.9718623255489888E-2"/>
    <n v="14653.686638000001"/>
    <n v="12849.573048"/>
    <n v="0.87688329670421872"/>
  </r>
  <r>
    <x v="2"/>
    <m/>
    <s v=".999"/>
    <m/>
    <s v="22.04.999"/>
    <x v="67"/>
    <n v="408.8"/>
    <n v="1668.9059999999999"/>
    <n v="1546.4159999999999"/>
    <n v="0.92660461404057504"/>
    <n v="1643.9159999999999"/>
    <n v="0.98502611890663705"/>
    <n v="24.990000000000009"/>
    <n v="1.4973881093362963E-2"/>
    <n v="1153.1814000000002"/>
    <n v="929.98500000000001"/>
    <n v="0.80645161290322576"/>
  </r>
  <r>
    <x v="2"/>
    <s v=".05"/>
    <m/>
    <m/>
    <m/>
    <x v="68"/>
    <n v="109888.41800000001"/>
    <n v="216639.99899999998"/>
    <n v="107545.22099999999"/>
    <n v="0.49642365904922292"/>
    <n v="211992.94899999999"/>
    <n v="0.97854943675475192"/>
    <n v="4647.0499999999993"/>
    <n v="2.1450563245248168E-2"/>
    <n v="180144.01931200002"/>
    <n v="61788.366993999996"/>
    <n v="0.34299427330410442"/>
  </r>
  <r>
    <x v="2"/>
    <m/>
    <s v=".001"/>
    <m/>
    <s v="22.05.001"/>
    <x v="69"/>
    <n v="19300"/>
    <n v="20500"/>
    <n v="11277.77"/>
    <n v="0.5501351219512195"/>
    <n v="20500"/>
    <n v="1"/>
    <n v="0"/>
    <n v="0"/>
    <n v="11889.220000000001"/>
    <n v="6741.8473260000001"/>
    <n v="0.56705547765118314"/>
  </r>
  <r>
    <x v="2"/>
    <m/>
    <s v=".002"/>
    <m/>
    <s v="22.05.002"/>
    <x v="70"/>
    <n v="16650"/>
    <n v="19219.403999999999"/>
    <n v="9648.5250000000015"/>
    <n v="0.50201998979781071"/>
    <n v="15345.353999999999"/>
    <n v="0.79843027390443533"/>
    <n v="3874.0499999999993"/>
    <n v="0.20156972609556464"/>
    <n v="17888.525622000001"/>
    <n v="7208.384070000001"/>
    <n v="0.40296132964333581"/>
  </r>
  <r>
    <x v="2"/>
    <m/>
    <s v=".003"/>
    <m/>
    <s v="22.05.003"/>
    <x v="71"/>
    <n v="2500"/>
    <n v="2500"/>
    <n v="734.5"/>
    <n v="0.29380000000000001"/>
    <n v="1800"/>
    <n v="0.72"/>
    <n v="700"/>
    <n v="0.28000000000000003"/>
    <n v="2492.4639999999999"/>
    <n v="842.18607999999995"/>
    <n v="0.33789297658862877"/>
  </r>
  <r>
    <x v="2"/>
    <m/>
    <s v=".004"/>
    <m/>
    <s v="22.05.004"/>
    <x v="72"/>
    <n v="16572"/>
    <n v="18000"/>
    <n v="7665.9740000000002"/>
    <n v="0.42588744444444443"/>
    <n v="18000"/>
    <n v="1"/>
    <n v="0"/>
    <n v="0"/>
    <n v="19006.080000000002"/>
    <n v="5607.9220860000005"/>
    <n v="0.29505937500000001"/>
  </r>
  <r>
    <x v="2"/>
    <m/>
    <s v=".005"/>
    <m/>
    <s v="22.05.005"/>
    <x v="73"/>
    <n v="400"/>
    <n v="107297.02800000001"/>
    <n v="49186.353999999999"/>
    <n v="0.4584130140119072"/>
    <n v="107297.02800000001"/>
    <n v="1"/>
    <n v="0"/>
    <n v="0"/>
    <n v="75030.337444000004"/>
    <n v="17084.046395999998"/>
    <n v="0.22769518274859055"/>
  </r>
  <r>
    <x v="2"/>
    <m/>
    <s v=".006"/>
    <m/>
    <s v="22.05.006"/>
    <x v="74"/>
    <n v="1500"/>
    <n v="1351.8"/>
    <n v="0"/>
    <n v="0"/>
    <n v="1351.8"/>
    <n v="1"/>
    <n v="0"/>
    <n v="0"/>
    <n v="4574.6540459999997"/>
    <n v="0"/>
    <n v="0"/>
  </r>
  <r>
    <x v="2"/>
    <m/>
    <s v=".007"/>
    <m/>
    <s v="22.05.007"/>
    <x v="75"/>
    <n v="6773"/>
    <n v="73"/>
    <n v="0"/>
    <n v="0"/>
    <n v="0"/>
    <n v="0"/>
    <n v="73"/>
    <n v="1"/>
    <n v="6001.92"/>
    <n v="2965.4298840000001"/>
    <n v="0.49408020833333333"/>
  </r>
  <r>
    <x v="2"/>
    <m/>
    <s v=".008"/>
    <m/>
    <s v="22.05.008"/>
    <x v="76"/>
    <n v="46193.417999999998"/>
    <n v="47698.767"/>
    <n v="29032.097999999998"/>
    <n v="0.6086551042294237"/>
    <n v="47698.767"/>
    <n v="1"/>
    <n v="0"/>
    <n v="0"/>
    <n v="43260.818200000002"/>
    <n v="21338.551152"/>
    <n v="0.49325352686001672"/>
  </r>
  <r>
    <x v="2"/>
    <s v=".06"/>
    <m/>
    <m/>
    <m/>
    <x v="77"/>
    <n v="37504.447"/>
    <n v="51176.89"/>
    <n v="36371.265000000007"/>
    <n v="0.7106970548620678"/>
    <n v="41140.29099999999"/>
    <n v="0.80388415552410453"/>
    <n v="10036.599000000002"/>
    <n v="0.19611584447589531"/>
    <n v="60848.828938000006"/>
    <n v="12496.580960000001"/>
    <n v="0.20537093610680657"/>
  </r>
  <r>
    <x v="2"/>
    <m/>
    <s v=".001"/>
    <m/>
    <s v="22.06.001"/>
    <x v="78"/>
    <n v="17290.246999999999"/>
    <n v="24143.892"/>
    <n v="24143.892000000003"/>
    <n v="1.0000000000000002"/>
    <n v="24143.892"/>
    <n v="1"/>
    <n v="0"/>
    <n v="0"/>
    <n v="26606.765608000002"/>
    <n v="4345.9006600000012"/>
    <n v="0.16333817962049832"/>
  </r>
  <r>
    <x v="2"/>
    <m/>
    <s v=".002"/>
    <m/>
    <s v="22.06.002"/>
    <x v="79"/>
    <n v="14000"/>
    <n v="14031.12"/>
    <n v="8152.4000000000005"/>
    <n v="0.58102275513287605"/>
    <n v="9773.0159999999996"/>
    <n v="0.69652429741888022"/>
    <n v="4258.1040000000012"/>
    <n v="0.30347570258111972"/>
    <n v="19783.771490000003"/>
    <n v="6347.5274339999996"/>
    <n v="0.32084516530169438"/>
  </r>
  <r>
    <x v="2"/>
    <m/>
    <s v=".004"/>
    <m/>
    <s v="22.06.004"/>
    <x v="80"/>
    <n v="214.2"/>
    <n v="1904.1189999999999"/>
    <n v="1904.1189999999999"/>
    <n v="1"/>
    <n v="1387.6590000000001"/>
    <n v="0.72876695206549602"/>
    <n v="0"/>
    <n v="0"/>
    <n v="640.38715000000002"/>
    <n v="104.2"/>
    <n v="0.16271407069926372"/>
  </r>
  <r>
    <x v="2"/>
    <m/>
    <s v=".003"/>
    <m/>
    <s v="22.06.003"/>
    <x v="81"/>
    <n v="0"/>
    <n v="1387.6590000000001"/>
    <n v="0"/>
    <n v="0"/>
    <n v="1904.1189999999999"/>
    <n v="1.372180773518566"/>
    <n v="0"/>
    <n v="0"/>
    <n v="0"/>
    <n v="0"/>
    <s v="0.00%"/>
  </r>
  <r>
    <x v="2"/>
    <m/>
    <s v=".006"/>
    <m/>
    <s v="22.06.006"/>
    <x v="82"/>
    <n v="0"/>
    <n v="0"/>
    <n v="0"/>
    <s v="0.00%"/>
    <n v="0"/>
    <n v="0"/>
    <n v="0"/>
    <n v="0"/>
    <n v="0"/>
    <n v="0"/>
    <s v="0.00%"/>
  </r>
  <r>
    <x v="2"/>
    <m/>
    <s v=".007"/>
    <m/>
    <s v="22.06.007"/>
    <x v="83"/>
    <n v="6000"/>
    <n v="9300"/>
    <n v="1760.7539999999999"/>
    <n v="0.18932838709677419"/>
    <n v="3521.5050000000001"/>
    <n v="0.37865645161290323"/>
    <n v="5778.4949999999999"/>
    <n v="0.62134354838709671"/>
    <n v="13817.904689999999"/>
    <n v="1698.9528660000001"/>
    <n v="0.12295300221816773"/>
  </r>
  <r>
    <x v="2"/>
    <m/>
    <s v=".999"/>
    <m/>
    <s v="22.06.999"/>
    <x v="84"/>
    <n v="0"/>
    <n v="410.1"/>
    <n v="410.1"/>
    <n v="1"/>
    <n v="410.1"/>
    <n v="1"/>
    <n v="0"/>
    <n v="0"/>
    <n v="0"/>
    <n v="0"/>
    <s v="0.00%"/>
  </r>
  <r>
    <x v="2"/>
    <s v=".07"/>
    <m/>
    <m/>
    <m/>
    <x v="85"/>
    <n v="16010"/>
    <n v="158942.79999999999"/>
    <n v="6038.0070000000005"/>
    <n v="3.798855311470542E-2"/>
    <n v="158218.99899999998"/>
    <n v="0.99544615421396876"/>
    <n v="723.80100000000675"/>
    <n v="4.5538457860312444E-3"/>
    <n v="286173.993258"/>
    <n v="49140.316746000004"/>
    <n v="0.17171482351192402"/>
  </r>
  <r>
    <x v="2"/>
    <m/>
    <s v=".001"/>
    <m/>
    <s v="22.07.001"/>
    <x v="86"/>
    <n v="9000"/>
    <n v="158654.9"/>
    <n v="5751.1070000000009"/>
    <n v="3.6249160914664479E-2"/>
    <n v="157932.09899999999"/>
    <n v="0.99544419365553782"/>
    <n v="722.80100000000675"/>
    <n v="4.5558063444621428E-3"/>
    <n v="279584.67493400001"/>
    <n v="42550.998422000004"/>
    <n v="0.15219360085471345"/>
  </r>
  <r>
    <x v="2"/>
    <m/>
    <s v=".002"/>
    <m/>
    <s v="22.07.002"/>
    <x v="87"/>
    <n v="7010"/>
    <n v="287.89999999999998"/>
    <n v="286.89999999999998"/>
    <n v="0.99652657172629389"/>
    <n v="286.89999999999998"/>
    <n v="0.99652657172629389"/>
    <n v="1"/>
    <n v="3.4734282737061482E-3"/>
    <n v="6589.3183239999998"/>
    <n v="6589.3183240000008"/>
    <n v="1.0000000000000002"/>
  </r>
  <r>
    <x v="2"/>
    <s v=".08"/>
    <m/>
    <m/>
    <m/>
    <x v="88"/>
    <n v="433516.47200000001"/>
    <n v="780450.56900000002"/>
    <n v="302819.01800000004"/>
    <n v="0.38800537795494905"/>
    <n v="540664.05000000005"/>
    <n v="0.69275886452713964"/>
    <n v="239786.51899999997"/>
    <n v="0.30724113547286036"/>
    <n v="846666.49035600002"/>
    <n v="490615.67491800006"/>
    <n v="0.57946745324916504"/>
  </r>
  <r>
    <x v="2"/>
    <m/>
    <s v=".001"/>
    <m/>
    <s v="22.08.001"/>
    <x v="89"/>
    <n v="118014.527"/>
    <n v="121768.088"/>
    <n v="58607.256999999998"/>
    <n v="0.48130226862065861"/>
    <n v="105200.22900000001"/>
    <n v="0.86393923669065087"/>
    <n v="16567.858999999997"/>
    <n v="0.13606076330934913"/>
    <n v="122306.89651999999"/>
    <n v="50455.442660000001"/>
    <n v="0.41253146057670897"/>
  </r>
  <r>
    <x v="2"/>
    <m/>
    <s v=".002"/>
    <m/>
    <s v="22.08.002"/>
    <x v="90"/>
    <n v="500"/>
    <n v="13342.777"/>
    <n v="3888.22"/>
    <n v="0.29141010151035274"/>
    <n v="12775.58"/>
    <n v="0.95749033353401614"/>
    <n v="567.19700000000012"/>
    <n v="4.2509666465983816E-2"/>
    <n v="33228.329663999997"/>
    <n v="17955.987828000001"/>
    <n v="0.5403818973017398"/>
  </r>
  <r>
    <x v="2"/>
    <m/>
    <s v=".003"/>
    <m/>
    <s v="22.08.003"/>
    <x v="91"/>
    <n v="0"/>
    <n v="0"/>
    <n v="0"/>
    <s v="0.00%"/>
    <n v="0"/>
    <n v="0"/>
    <n v="0"/>
    <n v="0"/>
    <n v="0"/>
    <n v="0"/>
    <s v="0.00%"/>
  </r>
  <r>
    <x v="2"/>
    <m/>
    <s v=".007"/>
    <m/>
    <s v="22.08.007"/>
    <x v="92"/>
    <n v="195703.899"/>
    <n v="169337.77299999999"/>
    <n v="91017.536999999997"/>
    <n v="0.53749104755263322"/>
    <n v="123899.44500000001"/>
    <n v="0.7316704525221317"/>
    <n v="45438.32799999998"/>
    <n v="0.2683295474778683"/>
    <n v="167775.351146"/>
    <n v="109026.85139"/>
    <n v="0.64983831442035611"/>
  </r>
  <r>
    <x v="2"/>
    <m/>
    <s v=".008"/>
    <m/>
    <s v="22.08.008"/>
    <x v="93"/>
    <n v="41983.249000000003"/>
    <n v="84496.68"/>
    <n v="35273.203000000001"/>
    <n v="0.41745075664511322"/>
    <n v="70633.519"/>
    <n v="0.83593247687364769"/>
    <n v="13863.160999999993"/>
    <n v="0.16406752312635234"/>
    <n v="80244.421042000002"/>
    <n v="36997.650044000002"/>
    <n v="0.46106195999140426"/>
  </r>
  <r>
    <x v="2"/>
    <m/>
    <s v=".010"/>
    <m/>
    <s v="22.08.010"/>
    <x v="94"/>
    <n v="3000"/>
    <n v="2753.7750000000001"/>
    <n v="2515.62"/>
    <n v="0.91351689952882853"/>
    <n v="2649.31"/>
    <n v="0.96206480195368171"/>
    <n v="104.46500000000015"/>
    <n v="3.7935198046318286E-2"/>
    <n v="2904.9709600000001"/>
    <n v="2214.6428339999998"/>
    <n v="0.76236315766819218"/>
  </r>
  <r>
    <x v="2"/>
    <m/>
    <s v=".999"/>
    <m/>
    <s v="22.08.999"/>
    <x v="67"/>
    <n v="74314.797000000006"/>
    <n v="388751.47600000002"/>
    <n v="111517.18100000001"/>
    <n v="0.28685982661066478"/>
    <n v="225505.967"/>
    <n v="0.58007745544868361"/>
    <n v="163245.50900000002"/>
    <n v="0.41992254455131639"/>
    <n v="440206.52102400002"/>
    <n v="273965.10016200005"/>
    <n v="0.62235584226400753"/>
  </r>
  <r>
    <x v="2"/>
    <s v=".09"/>
    <m/>
    <m/>
    <m/>
    <x v="95"/>
    <n v="1017845.671"/>
    <n v="1014324.047"/>
    <n v="511398.27799999999"/>
    <n v="0.50417643110456589"/>
    <n v="1014323.6849999999"/>
    <n v="0.99999964311207923"/>
    <n v="0.36200000000098953"/>
    <n v="3.5688792065184028E-7"/>
    <n v="1107110.211936"/>
    <n v="481351.20394400001"/>
    <n v="0.4347816493375693"/>
  </r>
  <r>
    <x v="2"/>
    <m/>
    <s v=".002"/>
    <m/>
    <s v="22.09.002"/>
    <x v="96"/>
    <n v="874508.88199999998"/>
    <n v="845657.38899999997"/>
    <n v="422788.30700000003"/>
    <n v="0.49995224129709587"/>
    <n v="845657.38899999997"/>
    <n v="1"/>
    <n v="0"/>
    <n v="0"/>
    <n v="926670.19793599995"/>
    <n v="394175.08630200004"/>
    <n v="0.42536717721143713"/>
  </r>
  <r>
    <x v="2"/>
    <m/>
    <s v=".005"/>
    <m/>
    <s v="22.09.005"/>
    <x v="97"/>
    <n v="28000"/>
    <n v="28000"/>
    <n v="11834.69"/>
    <n v="0.42266750000000003"/>
    <n v="28000"/>
    <n v="1"/>
    <n v="0"/>
    <n v="0"/>
    <n v="28134"/>
    <n v="12208.905600000002"/>
    <n v="0.43395555555555559"/>
  </r>
  <r>
    <x v="2"/>
    <m/>
    <s v=".006"/>
    <m/>
    <s v="22.09.006"/>
    <x v="98"/>
    <n v="112000"/>
    <n v="112000"/>
    <n v="62442.133000000002"/>
    <n v="0.55751904464285718"/>
    <n v="112000"/>
    <n v="1"/>
    <n v="0"/>
    <n v="0"/>
    <n v="122057.796"/>
    <n v="59660.077826000001"/>
    <n v="0.48878547525141286"/>
  </r>
  <r>
    <x v="2"/>
    <m/>
    <s v=".999"/>
    <m/>
    <s v="22.09.999"/>
    <x v="67"/>
    <n v="3336.7890000000002"/>
    <n v="28666.657999999999"/>
    <n v="14333.148000000001"/>
    <n v="0.49999368604460281"/>
    <n v="28666.295999999998"/>
    <n v="0.99998737208920552"/>
    <n v="0.36200000000098953"/>
    <n v="1.2627910794519177E-5"/>
    <n v="30248.218000000001"/>
    <n v="15307.134216000002"/>
    <n v="0.50605077680939758"/>
  </r>
  <r>
    <x v="2"/>
    <s v=".10"/>
    <m/>
    <m/>
    <m/>
    <x v="99"/>
    <n v="5000"/>
    <n v="19921.648000000001"/>
    <n v="7421.6479999999992"/>
    <n v="0.37254187003002959"/>
    <n v="7421.6480000000001"/>
    <n v="0.37254187003002964"/>
    <n v="12500"/>
    <n v="0.6274581299699703"/>
    <n v="15343.07488"/>
    <n v="14644.359696000001"/>
    <n v="0.95446055047865352"/>
  </r>
  <r>
    <x v="2"/>
    <m/>
    <s v=".002"/>
    <m/>
    <s v="22.10.002"/>
    <x v="100"/>
    <n v="5000"/>
    <n v="19911.434000000001"/>
    <n v="7411.4339999999993"/>
    <n v="0.37222000183412196"/>
    <n v="7411.4340000000002"/>
    <n v="0.37222000183412202"/>
    <n v="12500"/>
    <n v="0.62777999816587793"/>
    <n v="15301.96277"/>
    <n v="14603.247586000001"/>
    <n v="0.95433819866756875"/>
  </r>
  <r>
    <x v="2"/>
    <m/>
    <s v=".004"/>
    <m/>
    <s v="22.10.004"/>
    <x v="101"/>
    <n v="0"/>
    <n v="10.214"/>
    <n v="10.214"/>
    <n v="1"/>
    <n v="10.214"/>
    <n v="1"/>
    <n v="0"/>
    <n v="0"/>
    <n v="41.112110000000001"/>
    <n v="41.112110000000001"/>
    <n v="1"/>
  </r>
  <r>
    <x v="2"/>
    <s v=".11"/>
    <m/>
    <m/>
    <m/>
    <x v="102"/>
    <n v="1263759.7879999999"/>
    <n v="2236393.4930000002"/>
    <n v="696151.96799999999"/>
    <n v="0.31128330956917155"/>
    <n v="1387020.969"/>
    <n v="0.6202043483588332"/>
    <n v="849372.52399999986"/>
    <n v="0.37979565164116663"/>
    <n v="2356539.260706"/>
    <n v="849153.57867800002"/>
    <n v="0.36033924528106548"/>
  </r>
  <r>
    <x v="2"/>
    <m/>
    <s v=".001"/>
    <m/>
    <s v="22.11.001"/>
    <x v="103"/>
    <n v="311405.04100000003"/>
    <n v="1105098.389"/>
    <n v="324521.91000000003"/>
    <n v="0.29365883909545726"/>
    <n v="699519.91"/>
    <n v="0.63299333069609609"/>
    <n v="405578.47899999993"/>
    <n v="0.36700666930390391"/>
    <n v="1491599.933246"/>
    <n v="484380.88146399998"/>
    <n v="0.32473914128562392"/>
  </r>
  <r>
    <x v="2"/>
    <m/>
    <s v=".002"/>
    <m/>
    <s v="22.11.002"/>
    <x v="104"/>
    <n v="48560"/>
    <n v="28560"/>
    <n v="3950"/>
    <n v="0.13830532212885155"/>
    <n v="19815"/>
    <n v="0.69380252100840334"/>
    <n v="8745"/>
    <n v="0.30619747899159666"/>
    <n v="51644.211486"/>
    <n v="1750.5600000000002"/>
    <n v="3.3896538443123521E-2"/>
  </r>
  <r>
    <x v="2"/>
    <m/>
    <s v=".003"/>
    <m/>
    <s v="22.11.003"/>
    <x v="105"/>
    <n v="898671.52599999995"/>
    <n v="1102715.5209999999"/>
    <n v="367680.05799999996"/>
    <n v="0.33343147076280244"/>
    <n v="667686.05900000001"/>
    <n v="0.60549257381859234"/>
    <n v="435029.46199999994"/>
    <n v="0.39450742618140766"/>
    <n v="732377.56397400005"/>
    <n v="322259.19203600002"/>
    <n v="0.44001783764014984"/>
  </r>
  <r>
    <x v="2"/>
    <m/>
    <s v=".999"/>
    <m/>
    <s v="22.11.999"/>
    <x v="67"/>
    <n v="5123.2209999999995"/>
    <n v="19.582999999999998"/>
    <n v="0"/>
    <n v="0"/>
    <n v="0"/>
    <n v="0"/>
    <n v="19.582999999999998"/>
    <n v="1"/>
    <n v="80917.551999999996"/>
    <n v="40762.945177999994"/>
    <n v="0.50375900123622119"/>
  </r>
  <r>
    <x v="2"/>
    <s v=".12"/>
    <m/>
    <m/>
    <m/>
    <x v="106"/>
    <n v="1700"/>
    <n v="7663.9279999999999"/>
    <n v="7576.8279999999995"/>
    <n v="0.98863507068438006"/>
    <n v="7663.9279999999999"/>
    <n v="1"/>
    <n v="0"/>
    <n v="0"/>
    <n v="8617.4858800000002"/>
    <n v="5495.4704880000008"/>
    <n v="0.63771157441107418"/>
  </r>
  <r>
    <x v="2"/>
    <m/>
    <s v=".002"/>
    <m/>
    <s v="22.12.002"/>
    <x v="107"/>
    <n v="1700"/>
    <n v="6212.8779999999997"/>
    <n v="6125.7779999999993"/>
    <n v="0.98598073227898564"/>
    <n v="6212.8779999999997"/>
    <n v="1"/>
    <n v="0"/>
    <n v="0"/>
    <n v="8320.1105420000004"/>
    <n v="5286.1316460000007"/>
    <n v="0.63534391992937544"/>
  </r>
  <r>
    <x v="2"/>
    <m/>
    <s v=".003"/>
    <m/>
    <s v="22.12.003"/>
    <x v="108"/>
    <n v="0"/>
    <n v="0"/>
    <n v="0"/>
    <s v="0.00%"/>
    <n v="0"/>
    <n v="0"/>
    <n v="0"/>
    <n v="0"/>
    <n v="0"/>
    <n v="0"/>
    <s v="0.00%"/>
  </r>
  <r>
    <x v="2"/>
    <m/>
    <s v=".999"/>
    <m/>
    <s v="22.12.999"/>
    <x v="84"/>
    <n v="0"/>
    <n v="1451.05"/>
    <n v="1451.05"/>
    <n v="1"/>
    <n v="1451.05"/>
    <n v="1"/>
    <n v="0"/>
    <n v="0"/>
    <n v="297.375338"/>
    <n v="209.33884200000003"/>
    <n v="0.70395495271366459"/>
  </r>
  <r>
    <x v="4"/>
    <m/>
    <m/>
    <m/>
    <m/>
    <x v="109"/>
    <n v="10"/>
    <n v="122476"/>
    <n v="46967.65"/>
    <n v="0.38348451941604889"/>
    <n v="68014.05"/>
    <n v="0.55532553316568145"/>
    <n v="54461.95"/>
    <n v="0.44467446683431855"/>
    <n v="213580.82399999999"/>
    <n v="213569.90696599998"/>
    <n v="0.99994888570146157"/>
  </r>
  <r>
    <x v="2"/>
    <s v=".01"/>
    <m/>
    <m/>
    <s v="23.01"/>
    <x v="110"/>
    <n v="0"/>
    <n v="615"/>
    <n v="0"/>
    <n v="0"/>
    <n v="0"/>
    <n v="0"/>
    <n v="615"/>
    <n v="1"/>
    <n v="0"/>
    <n v="0"/>
    <s v="0.00%"/>
  </r>
  <r>
    <x v="2"/>
    <m/>
    <s v=".006"/>
    <m/>
    <s v="23.01.006"/>
    <x v="111"/>
    <n v="0"/>
    <n v="615"/>
    <n v="0"/>
    <n v="0"/>
    <n v="0"/>
    <n v="0"/>
    <n v="615"/>
    <n v="1"/>
    <n v="0"/>
    <n v="0"/>
    <s v="0.00%"/>
  </r>
  <r>
    <x v="2"/>
    <s v="03."/>
    <m/>
    <m/>
    <s v="23.03"/>
    <x v="112"/>
    <n v="10"/>
    <n v="121861"/>
    <n v="46967.65"/>
    <n v="0.38541986361510244"/>
    <n v="68014.05"/>
    <n v="0.55812811317812916"/>
    <n v="53846.95"/>
    <n v="0.44187188682187079"/>
    <n v="213580.82399999999"/>
    <n v="213569.90696599998"/>
    <n v="0.99994888570146157"/>
  </r>
  <r>
    <x v="2"/>
    <m/>
    <s v=".001"/>
    <m/>
    <s v="23.03.001"/>
    <x v="113"/>
    <n v="1"/>
    <n v="21047.4"/>
    <n v="0"/>
    <n v="0"/>
    <n v="21046.400000000001"/>
    <n v="0.99995248819331606"/>
    <n v="1"/>
    <n v="4.7511806683960963E-5"/>
    <n v="0"/>
    <n v="0"/>
    <n v="0"/>
  </r>
  <r>
    <x v="2"/>
    <m/>
    <s v=".003"/>
    <m/>
    <s v="23.03.003"/>
    <x v="114"/>
    <n v="8"/>
    <n v="100812.6"/>
    <n v="46967.65"/>
    <n v="0.46589067239610921"/>
    <n v="46967.65"/>
    <n v="0.46589067239610921"/>
    <n v="53844.950000000004"/>
    <n v="0.53410932760389085"/>
    <n v="213580.82399999999"/>
    <n v="213569.90696599998"/>
    <n v="0.99994888570146157"/>
  </r>
  <r>
    <x v="2"/>
    <m/>
    <s v=".004"/>
    <m/>
    <s v="23.03.004"/>
    <x v="115"/>
    <n v="0"/>
    <n v="0"/>
    <n v="0"/>
    <s v="0.00%"/>
    <n v="0"/>
    <n v="0"/>
    <n v="0"/>
    <n v="0"/>
    <n v="0"/>
    <n v="0"/>
    <s v="0.00%"/>
  </r>
  <r>
    <x v="5"/>
    <s v="  "/>
    <m/>
    <m/>
    <m/>
    <x v="116"/>
    <n v="86148546"/>
    <n v="88008486"/>
    <n v="79534487.948000014"/>
    <n v="0.90371385263916493"/>
    <n v="81321757.222000003"/>
    <n v="0.92402177242317296"/>
    <n v="6686728.7779999962"/>
    <n v="7.597822757682704E-2"/>
    <n v="91091685.84799999"/>
    <n v="84040383.048760012"/>
    <n v="0.92259114831834244"/>
  </r>
  <r>
    <x v="6"/>
    <s v=".01"/>
    <m/>
    <m/>
    <m/>
    <x v="117"/>
    <n v="2681203"/>
    <n v="2681203"/>
    <n v="800574.33400000003"/>
    <n v="0.29858773617663414"/>
    <n v="1045370.557"/>
    <n v="0.38988862723188061"/>
    <n v="1635832.443"/>
    <n v="0.61011137276811933"/>
    <n v="0"/>
    <n v="0"/>
    <s v="0.00%"/>
  </r>
  <r>
    <x v="2"/>
    <m/>
    <m/>
    <m/>
    <s v="24.01.010"/>
    <x v="118"/>
    <n v="0"/>
    <n v="0"/>
    <n v="0"/>
    <s v="0.00%"/>
    <n v="0"/>
    <n v="0"/>
    <n v="0"/>
    <n v="0"/>
    <n v="0"/>
    <n v="0"/>
    <s v="0.00%"/>
  </r>
  <r>
    <x v="2"/>
    <m/>
    <m/>
    <m/>
    <s v="24.01.030"/>
    <x v="119"/>
    <n v="2681203"/>
    <n v="2681203"/>
    <n v="800574.33400000003"/>
    <n v="0.29858773617663414"/>
    <n v="1045370.557"/>
    <n v="0.38988862723188061"/>
    <n v="1635832.443"/>
    <n v="0.61011137276811933"/>
    <n v="0"/>
    <n v="0"/>
    <m/>
  </r>
  <r>
    <x v="2"/>
    <m/>
    <m/>
    <m/>
    <s v="24.01.100"/>
    <x v="120"/>
    <n v="0"/>
    <n v="0"/>
    <n v="0"/>
    <s v="0.00%"/>
    <n v="0"/>
    <n v="0"/>
    <n v="0"/>
    <n v="0"/>
    <n v="0"/>
    <n v="0"/>
    <s v="0.00%"/>
  </r>
  <r>
    <x v="2"/>
    <m/>
    <m/>
    <m/>
    <s v="24.01.101"/>
    <x v="121"/>
    <n v="0"/>
    <n v="0"/>
    <n v="0"/>
    <s v="0.00%"/>
    <n v="0"/>
    <n v="0"/>
    <n v="0"/>
    <n v="0"/>
    <n v="0"/>
    <n v="0"/>
    <s v="0.00%"/>
  </r>
  <r>
    <x v="2"/>
    <m/>
    <m/>
    <m/>
    <s v="24.01.102"/>
    <x v="122"/>
    <n v="0"/>
    <n v="0"/>
    <n v="0"/>
    <s v="0.00%"/>
    <n v="0"/>
    <n v="0"/>
    <n v="0"/>
    <n v="0"/>
    <n v="0"/>
    <n v="0"/>
    <s v="0.00%"/>
  </r>
  <r>
    <x v="2"/>
    <m/>
    <m/>
    <m/>
    <s v="24.01.103"/>
    <x v="123"/>
    <n v="0"/>
    <n v="0"/>
    <n v="0"/>
    <s v="0.00%"/>
    <n v="0"/>
    <n v="0"/>
    <n v="0"/>
    <n v="0"/>
    <n v="0"/>
    <n v="0"/>
    <s v="0.00%"/>
  </r>
  <r>
    <x v="2"/>
    <m/>
    <m/>
    <m/>
    <s v="24.01.104"/>
    <x v="124"/>
    <n v="0"/>
    <n v="0"/>
    <n v="0"/>
    <s v="0.00%"/>
    <n v="0"/>
    <n v="0"/>
    <n v="0"/>
    <n v="0"/>
    <n v="0"/>
    <n v="0"/>
    <s v="0.00%"/>
  </r>
  <r>
    <x v="2"/>
    <m/>
    <m/>
    <m/>
    <s v="24.01.105"/>
    <x v="125"/>
    <n v="0"/>
    <n v="0"/>
    <n v="0"/>
    <s v="0.00%"/>
    <n v="0"/>
    <n v="0"/>
    <n v="0"/>
    <n v="0"/>
    <n v="0"/>
    <n v="0"/>
    <s v="0.00%"/>
  </r>
  <r>
    <x v="6"/>
    <s v=".02"/>
    <m/>
    <m/>
    <m/>
    <x v="126"/>
    <n v="0"/>
    <n v="562940"/>
    <n v="0"/>
    <n v="0"/>
    <n v="0"/>
    <n v="0"/>
    <n v="562940"/>
    <n v="1"/>
    <n v="0"/>
    <n v="0"/>
    <s v="0.00%"/>
  </r>
  <r>
    <x v="2"/>
    <m/>
    <m/>
    <m/>
    <s v="24.02.004"/>
    <x v="127"/>
    <n v="0"/>
    <n v="0"/>
    <n v="0"/>
    <s v="0.00%"/>
    <n v="0"/>
    <n v="0"/>
    <n v="0"/>
    <n v="0"/>
    <n v="0"/>
    <n v="0"/>
    <s v="0.00%"/>
  </r>
  <r>
    <x v="2"/>
    <m/>
    <m/>
    <m/>
    <s v="24.02.006"/>
    <x v="128"/>
    <n v="0"/>
    <n v="0"/>
    <n v="0"/>
    <s v="0.00%"/>
    <n v="0"/>
    <n v="0"/>
    <n v="0"/>
    <n v="0"/>
    <n v="0"/>
    <n v="0"/>
    <s v="0.00%"/>
  </r>
  <r>
    <x v="2"/>
    <m/>
    <m/>
    <m/>
    <s v="24.02.007"/>
    <x v="129"/>
    <n v="0"/>
    <n v="0"/>
    <n v="0"/>
    <s v="0.00%"/>
    <n v="0"/>
    <n v="0"/>
    <n v="0"/>
    <n v="0"/>
    <n v="0"/>
    <n v="0"/>
    <s v="0.00%"/>
  </r>
  <r>
    <x v="2"/>
    <m/>
    <m/>
    <m/>
    <s v="24.02.101"/>
    <x v="130"/>
    <n v="0"/>
    <n v="10000"/>
    <n v="0"/>
    <n v="0"/>
    <n v="0"/>
    <n v="0"/>
    <n v="10000"/>
    <n v="1"/>
    <n v="0"/>
    <n v="0"/>
    <s v="0.00%"/>
  </r>
  <r>
    <x v="2"/>
    <m/>
    <m/>
    <m/>
    <s v="24.02.102"/>
    <x v="131"/>
    <n v="0"/>
    <n v="77750"/>
    <n v="0"/>
    <n v="0"/>
    <n v="0"/>
    <n v="0"/>
    <n v="77750"/>
    <n v="1"/>
    <n v="0"/>
    <n v="0"/>
    <s v="0.00%"/>
  </r>
  <r>
    <x v="2"/>
    <m/>
    <m/>
    <m/>
    <s v="24.02.103"/>
    <x v="132"/>
    <n v="0"/>
    <n v="0"/>
    <n v="0"/>
    <s v="0.00%"/>
    <n v="0"/>
    <n v="0"/>
    <n v="0"/>
    <n v="0"/>
    <n v="0"/>
    <n v="0"/>
    <s v="0.00%"/>
  </r>
  <r>
    <x v="2"/>
    <m/>
    <m/>
    <m/>
    <s v="24.02.104"/>
    <x v="133"/>
    <n v="0"/>
    <n v="0"/>
    <n v="0"/>
    <s v="0.00%"/>
    <n v="0"/>
    <n v="0"/>
    <n v="0"/>
    <n v="0"/>
    <n v="0"/>
    <n v="0"/>
    <s v="0.00%"/>
  </r>
  <r>
    <x v="2"/>
    <m/>
    <m/>
    <m/>
    <s v="24.02.105"/>
    <x v="134"/>
    <n v="0"/>
    <n v="35840"/>
    <n v="0"/>
    <n v="0"/>
    <n v="0"/>
    <n v="0"/>
    <n v="35840"/>
    <n v="1"/>
    <n v="0"/>
    <n v="0"/>
    <s v="0.00%"/>
  </r>
  <r>
    <x v="2"/>
    <m/>
    <m/>
    <m/>
    <s v="24.02.106"/>
    <x v="135"/>
    <n v="0"/>
    <n v="252000"/>
    <n v="0"/>
    <n v="0"/>
    <n v="0"/>
    <n v="0"/>
    <n v="252000"/>
    <n v="1"/>
    <n v="0"/>
    <n v="0"/>
    <s v="0.00%"/>
  </r>
  <r>
    <x v="2"/>
    <m/>
    <m/>
    <m/>
    <s v="24.02.107"/>
    <x v="136"/>
    <n v="0"/>
    <n v="50000"/>
    <n v="0"/>
    <n v="0"/>
    <n v="0"/>
    <n v="0"/>
    <n v="50000"/>
    <n v="1"/>
    <n v="0"/>
    <n v="0"/>
    <s v="0.00%"/>
  </r>
  <r>
    <x v="2"/>
    <m/>
    <m/>
    <m/>
    <s v="24.02.108"/>
    <x v="137"/>
    <n v="0"/>
    <n v="0"/>
    <n v="0"/>
    <s v="0.00%"/>
    <n v="0"/>
    <n v="0"/>
    <n v="0"/>
    <n v="0"/>
    <n v="0"/>
    <n v="0"/>
    <s v="0.00%"/>
  </r>
  <r>
    <x v="2"/>
    <m/>
    <m/>
    <m/>
    <s v="24.02.109"/>
    <x v="138"/>
    <n v="0"/>
    <n v="25000"/>
    <n v="0"/>
    <n v="0"/>
    <n v="0"/>
    <n v="0"/>
    <n v="25000"/>
    <n v="1"/>
    <n v="0"/>
    <n v="0"/>
    <s v="0.00%"/>
  </r>
  <r>
    <x v="2"/>
    <m/>
    <m/>
    <m/>
    <s v="24.02.110"/>
    <x v="139"/>
    <n v="0"/>
    <n v="0"/>
    <n v="0"/>
    <s v="0.00%"/>
    <n v="0"/>
    <n v="0"/>
    <n v="0"/>
    <n v="0"/>
    <n v="0"/>
    <n v="0"/>
    <s v="0.00%"/>
  </r>
  <r>
    <x v="2"/>
    <m/>
    <m/>
    <m/>
    <s v="24.02.111"/>
    <x v="140"/>
    <n v="0"/>
    <n v="1450"/>
    <n v="0"/>
    <n v="0"/>
    <n v="0"/>
    <n v="0"/>
    <n v="1450"/>
    <n v="1"/>
    <n v="0"/>
    <n v="0"/>
    <s v="0.00%"/>
  </r>
  <r>
    <x v="2"/>
    <m/>
    <m/>
    <m/>
    <s v="24.02.112"/>
    <x v="141"/>
    <n v="0"/>
    <n v="60000"/>
    <n v="0"/>
    <n v="0"/>
    <n v="0"/>
    <n v="0"/>
    <n v="60000"/>
    <n v="1"/>
    <n v="0"/>
    <n v="0"/>
    <s v="0.00%"/>
  </r>
  <r>
    <x v="2"/>
    <m/>
    <m/>
    <m/>
    <s v="24.02.113"/>
    <x v="142"/>
    <n v="0"/>
    <n v="12500"/>
    <n v="0"/>
    <n v="0"/>
    <n v="0"/>
    <n v="0"/>
    <n v="12500"/>
    <n v="1"/>
    <n v="0"/>
    <n v="0"/>
    <s v="0.00%"/>
  </r>
  <r>
    <x v="2"/>
    <m/>
    <m/>
    <m/>
    <s v="24.02.114"/>
    <x v="143"/>
    <n v="0"/>
    <n v="0"/>
    <n v="0"/>
    <s v="0.00%"/>
    <n v="0"/>
    <n v="0"/>
    <n v="0"/>
    <n v="0"/>
    <n v="0"/>
    <n v="0"/>
    <s v="0.00%"/>
  </r>
  <r>
    <x v="2"/>
    <m/>
    <m/>
    <m/>
    <s v="24.02.115"/>
    <x v="144"/>
    <n v="0"/>
    <n v="0"/>
    <n v="0"/>
    <s v="0.00%"/>
    <n v="0"/>
    <n v="0"/>
    <n v="0"/>
    <n v="0"/>
    <n v="0"/>
    <n v="0"/>
    <s v="0.00%"/>
  </r>
  <r>
    <x v="2"/>
    <m/>
    <m/>
    <m/>
    <s v="24.02.116"/>
    <x v="145"/>
    <n v="0"/>
    <n v="38400"/>
    <n v="0"/>
    <n v="0"/>
    <n v="0"/>
    <n v="0"/>
    <n v="38400"/>
    <n v="1"/>
    <n v="0"/>
    <n v="0"/>
    <s v="0.00%"/>
  </r>
  <r>
    <x v="2"/>
    <m/>
    <m/>
    <m/>
    <s v="24.02.500"/>
    <x v="146"/>
    <n v="0"/>
    <n v="0"/>
    <n v="0"/>
    <s v="0.00%"/>
    <n v="0"/>
    <n v="0"/>
    <n v="0"/>
    <n v="0"/>
    <n v="0"/>
    <n v="0"/>
    <s v="0.00%"/>
  </r>
  <r>
    <x v="2"/>
    <m/>
    <m/>
    <m/>
    <s v="24.02.914"/>
    <x v="147"/>
    <n v="0"/>
    <n v="0"/>
    <n v="0"/>
    <s v="0.00%"/>
    <n v="0"/>
    <n v="0"/>
    <n v="0"/>
    <n v="0"/>
    <n v="0"/>
    <n v="0"/>
    <s v="0.00%"/>
  </r>
  <r>
    <x v="6"/>
    <s v=".03"/>
    <m/>
    <m/>
    <m/>
    <x v="148"/>
    <n v="82881718"/>
    <n v="83476718"/>
    <n v="78406779.087000012"/>
    <n v="0.93926523425369945"/>
    <n v="79432189.165000007"/>
    <n v="0.95154901951224302"/>
    <n v="4044528.8349999962"/>
    <n v="4.8450980487757034E-2"/>
    <n v="90219435.983999997"/>
    <n v="83514917.049264014"/>
    <n v="0.92568653459632577"/>
  </r>
  <r>
    <x v="2"/>
    <m/>
    <s v=".024"/>
    <m/>
    <s v="24.03.024"/>
    <x v="149"/>
    <n v="10"/>
    <n v="10"/>
    <n v="0"/>
    <n v="0"/>
    <n v="0"/>
    <n v="0"/>
    <n v="10"/>
    <n v="1"/>
    <n v="10.42"/>
    <n v="0"/>
    <n v="0"/>
  </r>
  <r>
    <x v="2"/>
    <m/>
    <s v=".025"/>
    <m/>
    <s v="24.03.025"/>
    <x v="150"/>
    <n v="0"/>
    <n v="0"/>
    <n v="0"/>
    <s v="0.00%"/>
    <n v="0"/>
    <n v="0"/>
    <n v="0"/>
    <n v="0"/>
    <n v="156300"/>
    <n v="0"/>
    <n v="0"/>
  </r>
  <r>
    <x v="2"/>
    <m/>
    <s v=".026"/>
    <m/>
    <s v="24.03.026"/>
    <x v="151"/>
    <n v="1572691"/>
    <n v="1572691"/>
    <n v="34358.998999999996"/>
    <n v="2.1847266246198392E-2"/>
    <n v="644054"/>
    <n v="0.40952354912694228"/>
    <n v="928637"/>
    <n v="0.59047645087305767"/>
    <n v="1613016"/>
    <n v="487884.58875"/>
    <n v="0.3024672965116279"/>
  </r>
  <r>
    <x v="2"/>
    <m/>
    <s v=".027"/>
    <m/>
    <s v="24.03.027"/>
    <x v="152"/>
    <n v="0"/>
    <n v="0"/>
    <n v="0"/>
    <s v="0.00%"/>
    <n v="0"/>
    <n v="0"/>
    <n v="0"/>
    <n v="0"/>
    <n v="57310"/>
    <n v="0"/>
    <n v="0"/>
  </r>
  <r>
    <x v="2"/>
    <m/>
    <s v=".030"/>
    <m/>
    <s v="24.03.030"/>
    <x v="153"/>
    <n v="0"/>
    <n v="0"/>
    <n v="0"/>
    <s v="0.00%"/>
    <n v="0"/>
    <n v="0"/>
    <n v="0"/>
    <n v="0"/>
    <n v="0"/>
    <n v="0"/>
    <s v="0.00%"/>
  </r>
  <r>
    <x v="2"/>
    <m/>
    <s v=".033"/>
    <m/>
    <s v="24.03.033"/>
    <x v="119"/>
    <n v="0"/>
    <n v="0"/>
    <n v="0"/>
    <s v="0.00%"/>
    <n v="0"/>
    <n v="0"/>
    <n v="0"/>
    <n v="0"/>
    <n v="2749951.5780000002"/>
    <n v="1166460.8772400001"/>
    <n v="0.42417506059810334"/>
  </r>
  <r>
    <x v="2"/>
    <m/>
    <s v=".034"/>
    <m/>
    <s v="24.03.034"/>
    <x v="154"/>
    <n v="0"/>
    <n v="0"/>
    <n v="0"/>
    <s v="0.00%"/>
    <n v="0"/>
    <n v="0"/>
    <n v="0"/>
    <n v="0"/>
    <n v="44217.270000000004"/>
    <n v="0"/>
    <n v="0"/>
  </r>
  <r>
    <x v="2"/>
    <m/>
    <s v=".043"/>
    <m/>
    <s v="24.03.043"/>
    <x v="155"/>
    <n v="0"/>
    <n v="400000"/>
    <n v="0"/>
    <n v="0"/>
    <n v="0"/>
    <n v="0"/>
    <n v="400000"/>
    <n v="1"/>
    <n v="416800"/>
    <n v="0"/>
    <n v="0"/>
  </r>
  <r>
    <x v="2"/>
    <m/>
    <s v=".015"/>
    <m/>
    <s v="24.03.015"/>
    <x v="125"/>
    <n v="0"/>
    <n v="0"/>
    <n v="0"/>
    <s v="0.00%"/>
    <n v="0"/>
    <n v="0"/>
    <n v="0"/>
    <n v="0"/>
    <n v="0"/>
    <n v="0"/>
    <s v="0.00%"/>
  </r>
  <r>
    <x v="2"/>
    <m/>
    <s v=".403"/>
    <m/>
    <s v="24.03.403"/>
    <x v="156"/>
    <n v="76763405"/>
    <n v="76763405"/>
    <n v="76763395.340000004"/>
    <n v="0.99999987415878699"/>
    <n v="76763395.340000004"/>
    <n v="0.99999987415878699"/>
    <n v="9.6599999964237213"/>
    <n v="1.2584121296369958E-7"/>
    <n v="78731697.541999996"/>
    <n v="78731688.468263999"/>
    <n v="0.99999988475117041"/>
  </r>
  <r>
    <x v="6"/>
    <m/>
    <s v=".406"/>
    <m/>
    <s v="24.03.406"/>
    <x v="157"/>
    <n v="3804713"/>
    <n v="3804713"/>
    <n v="1140680.054"/>
    <n v="0.29980712185124081"/>
    <n v="1338201.4810000001"/>
    <n v="0.35172205656510758"/>
    <n v="2466511.5189999999"/>
    <n v="0.64827794343489242"/>
    <n v="4025634.6660000002"/>
    <n v="2278243.8339759996"/>
    <n v="0.56593407574158627"/>
  </r>
  <r>
    <x v="2"/>
    <m/>
    <s v=".407"/>
    <m/>
    <s v="24.03.407"/>
    <x v="158"/>
    <n v="0"/>
    <n v="0"/>
    <n v="0"/>
    <s v="0.00%"/>
    <n v="0"/>
    <n v="0"/>
    <n v="0"/>
    <n v="0"/>
    <n v="483694.31599999999"/>
    <n v="117218.054028"/>
    <n v="0.24233911822110393"/>
  </r>
  <r>
    <x v="6"/>
    <m/>
    <s v=".409"/>
    <m/>
    <s v="24.03.409"/>
    <x v="159"/>
    <n v="0"/>
    <n v="0"/>
    <n v="0"/>
    <s v="0.00%"/>
    <n v="0"/>
    <n v="0"/>
    <n v="0"/>
    <n v="0"/>
    <n v="117484.458"/>
    <n v="43238.081760000008"/>
    <n v="0.36803235505414689"/>
  </r>
  <r>
    <x v="2"/>
    <m/>
    <s v=".410"/>
    <m/>
    <s v="24.03.410"/>
    <x v="160"/>
    <n v="0"/>
    <n v="0"/>
    <n v="0"/>
    <s v="0.00%"/>
    <n v="0"/>
    <n v="0"/>
    <m/>
    <n v="0"/>
    <n v="0"/>
    <n v="0"/>
    <s v="0.00%"/>
  </r>
  <r>
    <x v="6"/>
    <m/>
    <s v=".415"/>
    <m/>
    <s v="24.03.415"/>
    <x v="161"/>
    <n v="0"/>
    <n v="0"/>
    <n v="0"/>
    <s v="0.00%"/>
    <n v="0"/>
    <n v="0"/>
    <n v="0"/>
    <n v="0"/>
    <n v="0"/>
    <n v="0"/>
    <s v="0.00%"/>
  </r>
  <r>
    <x v="2"/>
    <m/>
    <s v=".416"/>
    <m/>
    <s v="24.03.416"/>
    <x v="162"/>
    <n v="0"/>
    <n v="195000"/>
    <n v="0"/>
    <n v="0"/>
    <n v="195000"/>
    <n v="1"/>
    <n v="0"/>
    <n v="0"/>
    <n v="0"/>
    <n v="0"/>
    <s v="0.00%"/>
  </r>
  <r>
    <x v="6"/>
    <m/>
    <s v=".500"/>
    <m/>
    <s v="24.03.500"/>
    <x v="163"/>
    <n v="0"/>
    <n v="0"/>
    <n v="0"/>
    <s v="0.00%"/>
    <n v="0"/>
    <n v="0"/>
    <n v="0"/>
    <n v="0"/>
    <n v="0"/>
    <n v="0"/>
    <s v="0.00%"/>
  </r>
  <r>
    <x v="6"/>
    <m/>
    <s v=".602"/>
    <m/>
    <s v="24.03.602"/>
    <x v="164"/>
    <n v="740899"/>
    <n v="740899"/>
    <n v="468344.69399999996"/>
    <n v="0.63213028226519397"/>
    <n v="491538.34399999998"/>
    <n v="0.66343502150765488"/>
    <n v="249360.65600000002"/>
    <n v="0.33656497849234512"/>
    <n v="1823319.7339999999"/>
    <n v="690183.14524600003"/>
    <n v="0.3785310564987282"/>
  </r>
  <r>
    <x v="6"/>
    <s v=".07"/>
    <m/>
    <m/>
    <m/>
    <x v="165"/>
    <n v="0"/>
    <n v="702000"/>
    <n v="0"/>
    <n v="0"/>
    <n v="270000"/>
    <n v="0.38461538461538464"/>
    <n v="432000"/>
    <n v="0.61538461538461542"/>
    <n v="872249.86400000006"/>
    <n v="525465.999496"/>
    <n v="0.60242600335446994"/>
  </r>
  <r>
    <x v="2"/>
    <m/>
    <m/>
    <m/>
    <s v="24.07.002"/>
    <x v="166"/>
    <n v="0"/>
    <n v="0"/>
    <n v="0"/>
    <s v="0.00%"/>
    <n v="0"/>
    <n v="0"/>
    <n v="0"/>
    <n v="0"/>
    <n v="0"/>
    <n v="0"/>
    <s v="0.00%"/>
  </r>
  <r>
    <x v="2"/>
    <m/>
    <m/>
    <m/>
    <s v="24.07.003"/>
    <x v="167"/>
    <n v="0"/>
    <n v="432000"/>
    <n v="0"/>
    <n v="0"/>
    <n v="0"/>
    <n v="0"/>
    <n v="432000"/>
    <n v="1"/>
    <n v="488004.02799999999"/>
    <n v="141220.16349600002"/>
    <n v="0.28938319233709281"/>
  </r>
  <r>
    <x v="2"/>
    <m/>
    <m/>
    <m/>
    <s v="24.07.006"/>
    <x v="168"/>
    <n v="0"/>
    <n v="0"/>
    <n v="0"/>
    <s v="0.00%"/>
    <n v="0"/>
    <n v="0"/>
    <n v="0"/>
    <n v="0"/>
    <n v="0"/>
    <n v="0"/>
    <s v="0.00%"/>
  </r>
  <r>
    <x v="2"/>
    <m/>
    <m/>
    <m/>
    <s v="24.07.007"/>
    <x v="169"/>
    <n v="0"/>
    <n v="0"/>
    <n v="0"/>
    <s v="0.00%"/>
    <n v="0"/>
    <n v="0"/>
    <n v="0"/>
    <n v="0"/>
    <n v="113325.83600000001"/>
    <n v="113325.83600000001"/>
    <n v="1"/>
  </r>
  <r>
    <x v="2"/>
    <m/>
    <m/>
    <m/>
    <s v="24.07.008 "/>
    <x v="170"/>
    <n v="0"/>
    <n v="0"/>
    <n v="0"/>
    <s v="0.00%"/>
    <n v="0"/>
    <n v="0"/>
    <n v="0"/>
    <n v="0"/>
    <n v="0"/>
    <n v="0"/>
    <s v="0.00%"/>
  </r>
  <r>
    <x v="2"/>
    <m/>
    <m/>
    <m/>
    <s v="24.07.009"/>
    <x v="171"/>
    <n v="0"/>
    <n v="0"/>
    <n v="0"/>
    <s v="0.00%"/>
    <n v="0"/>
    <n v="0"/>
    <n v="0"/>
    <n v="0"/>
    <n v="270920"/>
    <n v="270920"/>
    <n v="1"/>
  </r>
  <r>
    <x v="2"/>
    <m/>
    <m/>
    <m/>
    <s v="24.07.010"/>
    <x v="172"/>
    <n v="0"/>
    <n v="0"/>
    <n v="0"/>
    <s v="0.00%"/>
    <n v="0"/>
    <n v="0"/>
    <n v="0"/>
    <n v="0"/>
    <n v="0"/>
    <n v="0"/>
    <s v="0.00%"/>
  </r>
  <r>
    <x v="2"/>
    <m/>
    <m/>
    <m/>
    <s v="24.07.011"/>
    <x v="173"/>
    <n v="0"/>
    <n v="270000"/>
    <n v="0"/>
    <n v="0"/>
    <n v="270000"/>
    <n v="1"/>
    <n v="0"/>
    <n v="0"/>
    <n v="0"/>
    <n v="0"/>
    <s v="0.00%"/>
  </r>
  <r>
    <x v="2"/>
    <s v=".09"/>
    <m/>
    <m/>
    <m/>
    <x v="174"/>
    <n v="585625"/>
    <n v="585625"/>
    <n v="327134.52700000006"/>
    <n v="0.55860751675560305"/>
    <n v="574197.5"/>
    <n v="0.98048665955176095"/>
    <n v="11427.499999999938"/>
    <n v="1.459589430059326E-2"/>
    <n v="0"/>
    <n v="0"/>
    <s v="0.00%"/>
  </r>
  <r>
    <x v="2"/>
    <m/>
    <n v="34"/>
    <m/>
    <s v="24.09.034"/>
    <x v="175"/>
    <n v="31260"/>
    <n v="31260"/>
    <n v="16271.207"/>
    <n v="0.52051206014075502"/>
    <n v="25771.206999999999"/>
    <n v="0.82441481126039662"/>
    <n v="5488.7930000000015"/>
    <n v="0.17558518873960338"/>
    <n v="0"/>
    <n v="0"/>
    <s v="0.00%"/>
  </r>
  <r>
    <x v="2"/>
    <m/>
    <n v="409"/>
    <m/>
    <s v="24.09.409"/>
    <x v="176"/>
    <n v="82763"/>
    <n v="82763"/>
    <n v="50638.520000000004"/>
    <n v="0.61184973961794531"/>
    <n v="81555"/>
    <n v="0.98540410569940673"/>
    <n v="1208"/>
    <n v="1.459589430059326E-2"/>
    <n v="0"/>
    <n v="0"/>
    <s v="0.00%"/>
  </r>
  <r>
    <x v="2"/>
    <m/>
    <n v="407"/>
    <m/>
    <s v="24.09.407"/>
    <x v="158"/>
    <n v="471602"/>
    <n v="471602"/>
    <n v="260224.80000000005"/>
    <n v="0.55178900852837787"/>
    <n v="466871.29300000006"/>
    <n v="0.98996885721434613"/>
    <n v="4730.7069999999367"/>
    <n v="1.003114278565387E-2"/>
    <n v="0"/>
    <n v="0"/>
    <n v="0"/>
  </r>
  <r>
    <x v="7"/>
    <m/>
    <m/>
    <m/>
    <m/>
    <x v="177"/>
    <n v="178407.99600000001"/>
    <n v="178407.99600000001"/>
    <n v="235594.21900000001"/>
    <n v="1.320536210720062"/>
    <n v="235594.22"/>
    <n v="1.3205362163251919"/>
    <n v="-57186.224000000002"/>
    <n v="-0.32053621632519202"/>
    <n v="560205.35420000006"/>
    <n v="3087574.8922740002"/>
    <n v="1"/>
  </r>
  <r>
    <x v="2"/>
    <n v="99"/>
    <m/>
    <m/>
    <m/>
    <x v="178"/>
    <n v="178407.99600000001"/>
    <n v="178407.99600000001"/>
    <n v="235594.21900000001"/>
    <n v="1.320536210720062"/>
    <n v="235594.22"/>
    <n v="1.3205362163251919"/>
    <n v="-57186.224000000002"/>
    <n v="-0.32053621632519202"/>
    <n v="560205.45840000012"/>
    <n v="3087574.8922740002"/>
    <n v="5.511504477468689"/>
  </r>
  <r>
    <x v="2"/>
    <m/>
    <m/>
    <m/>
    <s v="25.99.001"/>
    <x v="179"/>
    <n v="178374"/>
    <n v="178374"/>
    <n v="231957.04200000002"/>
    <n v="1.3003971542937873"/>
    <n v="231957.04300000001"/>
    <n v="1.3003971598999855"/>
    <n v="-53583.043000000005"/>
    <n v="-0.30039715989998544"/>
    <n v="0"/>
    <n v="0"/>
    <s v="0.00%"/>
  </r>
  <r>
    <x v="2"/>
    <m/>
    <m/>
    <m/>
    <s v="25.99.002"/>
    <x v="180"/>
    <n v="1"/>
    <n v="1"/>
    <n v="0"/>
    <n v="0"/>
    <n v="0"/>
    <n v="0"/>
    <n v="1"/>
    <n v="1"/>
    <n v="0"/>
    <n v="0"/>
    <s v="0.00%"/>
  </r>
  <r>
    <x v="2"/>
    <m/>
    <m/>
    <m/>
    <s v="25.99.201"/>
    <x v="181"/>
    <n v="2"/>
    <n v="2"/>
    <n v="0"/>
    <n v="0"/>
    <n v="0"/>
    <n v="0"/>
    <n v="2"/>
    <n v="1"/>
    <n v="0"/>
    <n v="0"/>
    <s v="0.00%"/>
  </r>
  <r>
    <x v="2"/>
    <m/>
    <m/>
    <m/>
    <s v="25.99.202"/>
    <x v="182"/>
    <n v="1"/>
    <n v="1"/>
    <n v="0"/>
    <n v="0"/>
    <n v="0"/>
    <n v="0"/>
    <n v="1"/>
    <n v="1"/>
    <n v="0"/>
    <n v="0"/>
    <s v="0.00%"/>
  </r>
  <r>
    <x v="2"/>
    <m/>
    <m/>
    <m/>
    <s v="25.99.999"/>
    <x v="84"/>
    <n v="17"/>
    <n v="26.996000000000002"/>
    <n v="0"/>
    <n v="0"/>
    <n v="0"/>
    <n v="0"/>
    <n v="17"/>
    <n v="0.62972292191435764"/>
    <n v="0"/>
    <n v="0"/>
    <s v="0.00%"/>
  </r>
  <r>
    <x v="8"/>
    <m/>
    <m/>
    <m/>
    <m/>
    <x v="183"/>
    <n v="0"/>
    <n v="0"/>
    <n v="0"/>
    <s v="0.00%"/>
    <n v="0"/>
    <n v="0"/>
    <n v="0"/>
    <n v="0"/>
    <n v="0"/>
    <n v="0"/>
    <s v="0.00%"/>
  </r>
  <r>
    <x v="2"/>
    <n v="1"/>
    <m/>
    <m/>
    <s v="26.01"/>
    <x v="184"/>
    <n v="0"/>
    <n v="0"/>
    <n v="0"/>
    <s v="0.00%"/>
    <n v="0"/>
    <n v="0"/>
    <n v="0"/>
    <n v="0"/>
    <n v="0"/>
    <n v="0"/>
    <s v="0.00%"/>
  </r>
  <r>
    <x v="9"/>
    <s v="  "/>
    <m/>
    <m/>
    <m/>
    <x v="185"/>
    <n v="239135"/>
    <n v="227178"/>
    <n v="28512.244999999999"/>
    <n v="0.12550618897956667"/>
    <n v="42655.217000000004"/>
    <n v="0.18776121367385928"/>
    <n v="184522.783"/>
    <n v="0.81223878632614077"/>
    <n v="319211.49"/>
    <n v="50238.726458000005"/>
    <n v="0.15738382868987583"/>
  </r>
  <r>
    <x v="2"/>
    <n v="3"/>
    <m/>
    <m/>
    <s v="29.03"/>
    <x v="186"/>
    <n v="26050"/>
    <n v="26050"/>
    <n v="25191.001"/>
    <n v="0.96702499040307099"/>
    <n v="25191.001"/>
    <n v="0.96702499040307099"/>
    <n v="858.9989999999998"/>
    <n v="3.2975009596928978E-2"/>
    <n v="23445"/>
    <n v="23399.776158000001"/>
    <n v="0.99807106666666667"/>
  </r>
  <r>
    <x v="2"/>
    <n v="4"/>
    <m/>
    <m/>
    <s v="29.04"/>
    <x v="187"/>
    <n v="0"/>
    <n v="0"/>
    <n v="0"/>
    <s v="0.00%"/>
    <n v="0"/>
    <n v="0"/>
    <n v="0"/>
    <n v="0"/>
    <n v="21882"/>
    <n v="235.59620000000001"/>
    <n v="1.0766666666666667E-2"/>
  </r>
  <r>
    <x v="2"/>
    <n v="5"/>
    <m/>
    <m/>
    <s v="29.05"/>
    <x v="188"/>
    <n v="0"/>
    <n v="0"/>
    <n v="0"/>
    <s v="0.00%"/>
    <n v="0"/>
    <n v="0"/>
    <n v="0"/>
    <n v="0"/>
    <n v="0"/>
    <n v="0"/>
    <s v="0.00%"/>
  </r>
  <r>
    <x v="2"/>
    <s v="06    "/>
    <m/>
    <m/>
    <s v="29.06"/>
    <x v="189"/>
    <n v="0"/>
    <n v="0"/>
    <n v="0"/>
    <s v="0.00%"/>
    <n v="0"/>
    <n v="0"/>
    <n v="0"/>
    <n v="0"/>
    <n v="43243"/>
    <n v="2030.4672500000001"/>
    <n v="4.6954819277108435E-2"/>
  </r>
  <r>
    <x v="6"/>
    <s v="07    "/>
    <m/>
    <m/>
    <s v="29.07"/>
    <x v="190"/>
    <n v="213085"/>
    <n v="201128"/>
    <n v="3321.2440000000001"/>
    <n v="1.6513086193866593E-2"/>
    <n v="17464.216"/>
    <n v="8.6831351179348482E-2"/>
    <n v="183663.78399999999"/>
    <n v="0.91316864882065141"/>
    <n v="230641.49000000002"/>
    <n v="24572.886850000003"/>
    <n v="0.10654148501208521"/>
  </r>
  <r>
    <x v="10"/>
    <m/>
    <m/>
    <m/>
    <m/>
    <x v="191"/>
    <n v="0"/>
    <n v="0"/>
    <n v="0"/>
    <s v="0.00%"/>
    <n v="0"/>
    <n v="0"/>
    <n v="0"/>
    <n v="0"/>
    <n v="0"/>
    <n v="0"/>
    <s v="0.00%"/>
  </r>
  <r>
    <x v="11"/>
    <s v="  "/>
    <m/>
    <m/>
    <m/>
    <x v="192"/>
    <n v="8610052"/>
    <n v="8610052"/>
    <n v="1755065.125"/>
    <n v="0.2038390854085434"/>
    <n v="2121979.6460000002"/>
    <n v="0.24645375498312905"/>
    <n v="6488072.3540000003"/>
    <n v="0.75354624501687106"/>
    <n v="7888444.3280000007"/>
    <n v="4254173.1134500001"/>
    <n v="0.53929177117341498"/>
  </r>
  <r>
    <x v="6"/>
    <n v="4"/>
    <m/>
    <m/>
    <s v="32.04.002"/>
    <x v="193"/>
    <n v="8610052"/>
    <n v="8610052"/>
    <n v="1755065.125"/>
    <n v="0.2038390854085434"/>
    <n v="2121979.6460000002"/>
    <n v="0.24645375498312905"/>
    <n v="6488072.3540000003"/>
    <n v="0.75354624501687106"/>
    <n v="7888444.3280000007"/>
    <n v="4254173.1134500001"/>
    <n v="0.53929177117341498"/>
  </r>
  <r>
    <x v="2"/>
    <m/>
    <m/>
    <m/>
    <m/>
    <x v="194"/>
    <n v="8610052"/>
    <n v="8610052"/>
    <n v="1755065.125"/>
    <n v="0.2038390854085434"/>
    <m/>
    <n v="0"/>
    <n v="6488072.3540000003"/>
    <n v="0.75354624501687106"/>
    <n v="7888444.3280000007"/>
    <n v="4254173.1134500001"/>
    <n v="0.53929177117341498"/>
  </r>
  <r>
    <x v="2"/>
    <m/>
    <m/>
    <m/>
    <s v="32.04.003"/>
    <x v="195"/>
    <n v="0"/>
    <n v="0"/>
    <n v="0"/>
    <s v="0.00%"/>
    <n v="0"/>
    <n v="0"/>
    <n v="0"/>
    <n v="0"/>
    <n v="0"/>
    <n v="0"/>
    <s v="0.00%"/>
  </r>
  <r>
    <x v="2"/>
    <m/>
    <m/>
    <m/>
    <s v="32.04.004"/>
    <x v="196"/>
    <n v="0"/>
    <n v="0"/>
    <n v="0"/>
    <s v="0.00%"/>
    <n v="0"/>
    <n v="0"/>
    <n v="0"/>
    <n v="0"/>
    <n v="0"/>
    <n v="0"/>
    <s v="0.00%"/>
  </r>
  <r>
    <x v="12"/>
    <s v="  "/>
    <m/>
    <m/>
    <m/>
    <x v="197"/>
    <n v="296545699"/>
    <n v="255747970"/>
    <n v="82518616.531999975"/>
    <n v="0.32265599813754131"/>
    <n v="84215299.304999992"/>
    <n v="0.32929019653606634"/>
    <n v="171532670.69500002"/>
    <n v="0.67070980346393372"/>
    <n v="269336776.86400002"/>
    <n v="99000634.024716005"/>
    <n v="0.36757191192907823"/>
  </r>
  <r>
    <x v="2"/>
    <s v=".02"/>
    <m/>
    <m/>
    <m/>
    <x v="198"/>
    <n v="0"/>
    <n v="21495662"/>
    <n v="0"/>
    <n v="0"/>
    <n v="0"/>
    <n v="0"/>
    <n v="21495662"/>
    <n v="1"/>
    <n v="0"/>
    <n v="0"/>
    <s v="0.00%"/>
  </r>
  <r>
    <x v="2"/>
    <m/>
    <s v=".001"/>
    <m/>
    <s v="33.02.001"/>
    <x v="199"/>
    <n v="0"/>
    <n v="0"/>
    <n v="0"/>
    <s v="0.00%"/>
    <n v="0"/>
    <n v="0"/>
    <n v="0"/>
    <n v="0"/>
    <n v="0"/>
    <n v="0"/>
    <s v="0.00%"/>
  </r>
  <r>
    <x v="2"/>
    <m/>
    <s v=".002"/>
    <m/>
    <s v="33.02.002"/>
    <x v="200"/>
    <n v="0"/>
    <n v="0"/>
    <n v="0"/>
    <s v="0.00%"/>
    <n v="0"/>
    <n v="0"/>
    <n v="0"/>
    <n v="0"/>
    <n v="0"/>
    <n v="0"/>
    <s v="0.00%"/>
  </r>
  <r>
    <x v="2"/>
    <m/>
    <s v=".003"/>
    <m/>
    <s v="33.02.003"/>
    <x v="201"/>
    <n v="0"/>
    <n v="2720606"/>
    <n v="0"/>
    <n v="0"/>
    <n v="0"/>
    <n v="0"/>
    <n v="2720606"/>
    <n v="1"/>
    <n v="0"/>
    <n v="0"/>
    <s v="0.00%"/>
  </r>
  <r>
    <x v="2"/>
    <m/>
    <s v=".004"/>
    <m/>
    <s v="33.02.004"/>
    <x v="202"/>
    <n v="0"/>
    <n v="0"/>
    <n v="0"/>
    <s v="0.00%"/>
    <n v="0"/>
    <n v="0"/>
    <n v="0"/>
    <n v="0"/>
    <n v="0"/>
    <n v="0"/>
    <s v="0.00%"/>
  </r>
  <r>
    <x v="2"/>
    <m/>
    <s v=".005"/>
    <m/>
    <s v="33.02.005"/>
    <x v="203"/>
    <n v="0"/>
    <n v="1238170"/>
    <n v="0"/>
    <n v="0"/>
    <n v="0"/>
    <n v="0"/>
    <n v="1238170"/>
    <n v="1"/>
    <n v="0"/>
    <n v="0"/>
    <s v="0.00%"/>
  </r>
  <r>
    <x v="2"/>
    <m/>
    <s v=".006"/>
    <m/>
    <s v="33.02.006"/>
    <x v="204"/>
    <n v="0"/>
    <n v="0"/>
    <n v="0"/>
    <s v="0.00%"/>
    <n v="0"/>
    <n v="0"/>
    <n v="0"/>
    <n v="0"/>
    <n v="0"/>
    <n v="0"/>
    <s v="0.00%"/>
  </r>
  <r>
    <x v="2"/>
    <m/>
    <s v=".007"/>
    <m/>
    <s v="33.02.007"/>
    <x v="205"/>
    <n v="0"/>
    <n v="4127232"/>
    <n v="0"/>
    <n v="0"/>
    <n v="0"/>
    <n v="0"/>
    <n v="4127232"/>
    <n v="1"/>
    <n v="0"/>
    <n v="0"/>
    <s v="0.00%"/>
  </r>
  <r>
    <x v="2"/>
    <m/>
    <s v=".008"/>
    <m/>
    <s v="33.02.008"/>
    <x v="206"/>
    <n v="0"/>
    <n v="0"/>
    <n v="0"/>
    <s v="0.00%"/>
    <n v="0"/>
    <n v="0"/>
    <n v="0"/>
    <n v="0"/>
    <n v="0"/>
    <n v="0"/>
    <s v="0.00%"/>
  </r>
  <r>
    <x v="2"/>
    <m/>
    <s v=".009"/>
    <m/>
    <s v="33.02.009"/>
    <x v="207"/>
    <n v="0"/>
    <n v="0"/>
    <n v="0"/>
    <s v="0.00%"/>
    <n v="0"/>
    <n v="0"/>
    <n v="0"/>
    <n v="0"/>
    <n v="0"/>
    <n v="0"/>
    <s v="0.00%"/>
  </r>
  <r>
    <x v="2"/>
    <m/>
    <s v=".010"/>
    <m/>
    <s v="33.02.010"/>
    <x v="208"/>
    <n v="0"/>
    <n v="147392"/>
    <n v="0"/>
    <n v="0"/>
    <n v="0"/>
    <n v="0"/>
    <n v="147392"/>
    <n v="1"/>
    <n v="0"/>
    <n v="0"/>
    <s v="0.00%"/>
  </r>
  <r>
    <x v="2"/>
    <m/>
    <s v=".011"/>
    <m/>
    <s v="33.02.011"/>
    <x v="209"/>
    <n v="0"/>
    <n v="646829"/>
    <n v="0"/>
    <n v="0"/>
    <n v="0"/>
    <n v="0"/>
    <n v="646829"/>
    <n v="1"/>
    <n v="0"/>
    <n v="0"/>
    <s v="0.00%"/>
  </r>
  <r>
    <x v="2"/>
    <m/>
    <s v=".012"/>
    <m/>
    <s v="33.02.012"/>
    <x v="210"/>
    <n v="0"/>
    <n v="3330424"/>
    <n v="0"/>
    <n v="0"/>
    <n v="0"/>
    <n v="0"/>
    <n v="3330424"/>
    <n v="1"/>
    <n v="0"/>
    <n v="0"/>
    <s v="0.00%"/>
  </r>
  <r>
    <x v="2"/>
    <m/>
    <s v=".013"/>
    <m/>
    <s v="33.02.013"/>
    <x v="211"/>
    <n v="0"/>
    <n v="8323348"/>
    <n v="0"/>
    <n v="0"/>
    <n v="0"/>
    <n v="0"/>
    <n v="8323348"/>
    <n v="1"/>
    <n v="0"/>
    <n v="0"/>
    <s v="0.00%"/>
  </r>
  <r>
    <x v="2"/>
    <m/>
    <s v=".014"/>
    <m/>
    <s v="33.02.014"/>
    <x v="212"/>
    <n v="0"/>
    <n v="0"/>
    <n v="0"/>
    <s v="0.00%"/>
    <n v="0"/>
    <n v="0"/>
    <n v="0"/>
    <n v="0"/>
    <n v="0"/>
    <n v="0"/>
    <s v="0.00%"/>
  </r>
  <r>
    <x v="2"/>
    <m/>
    <s v=".015"/>
    <m/>
    <s v="33.02.015"/>
    <x v="213"/>
    <n v="0"/>
    <n v="136215"/>
    <n v="0"/>
    <n v="0"/>
    <n v="0"/>
    <n v="0"/>
    <n v="136215"/>
    <n v="1"/>
    <n v="0"/>
    <n v="0"/>
    <s v="0.00%"/>
  </r>
  <r>
    <x v="2"/>
    <m/>
    <s v=".016"/>
    <m/>
    <s v="33.02.016"/>
    <x v="214"/>
    <n v="0"/>
    <n v="825446"/>
    <n v="0"/>
    <n v="0"/>
    <n v="0"/>
    <n v="0"/>
    <n v="825446"/>
    <n v="1"/>
    <n v="0"/>
    <n v="0"/>
    <s v="0.00%"/>
  </r>
  <r>
    <x v="2"/>
    <m/>
    <s v=".017"/>
    <m/>
    <s v="33.02.017"/>
    <x v="215"/>
    <n v="0"/>
    <n v="0"/>
    <n v="0"/>
    <s v="0.00%"/>
    <n v="0"/>
    <n v="0"/>
    <n v="0"/>
    <n v="0"/>
    <n v="0"/>
    <n v="0"/>
    <s v="0.00%"/>
  </r>
  <r>
    <x v="2"/>
    <m/>
    <s v=".025"/>
    <m/>
    <s v="33.02.025"/>
    <x v="216"/>
    <n v="0"/>
    <n v="0"/>
    <n v="0"/>
    <s v="0.00%"/>
    <n v="0"/>
    <n v="0"/>
    <n v="0"/>
    <n v="0"/>
    <n v="0"/>
    <n v="0"/>
    <s v="0.00%"/>
  </r>
  <r>
    <x v="2"/>
    <m/>
    <s v=".018"/>
    <m/>
    <s v="33.02.018"/>
    <x v="217"/>
    <n v="0"/>
    <n v="0"/>
    <n v="0"/>
    <s v="0.00%"/>
    <n v="0"/>
    <n v="0"/>
    <n v="0"/>
    <n v="0"/>
    <n v="0"/>
    <n v="0"/>
    <s v="0.00%"/>
  </r>
  <r>
    <x v="2"/>
    <m/>
    <s v=".100"/>
    <m/>
    <s v="33.02.100"/>
    <x v="218"/>
    <n v="0"/>
    <n v="0"/>
    <n v="0"/>
    <s v="0.00%"/>
    <n v="0"/>
    <n v="0"/>
    <n v="0"/>
    <n v="0"/>
    <n v="0"/>
    <n v="0"/>
    <s v="0.00%"/>
  </r>
  <r>
    <x v="2"/>
    <m/>
    <s v=".107"/>
    <m/>
    <s v="33.02.107"/>
    <x v="219"/>
    <n v="0"/>
    <n v="0"/>
    <n v="0"/>
    <s v="0.00%"/>
    <n v="0"/>
    <n v="0"/>
    <n v="0"/>
    <n v="0"/>
    <n v="0"/>
    <n v="0"/>
    <s v="0.00%"/>
  </r>
  <r>
    <x v="2"/>
    <m/>
    <s v=".914"/>
    <m/>
    <s v="33.02.914"/>
    <x v="147"/>
    <n v="0"/>
    <n v="0"/>
    <n v="0"/>
    <s v="0.00%"/>
    <n v="0"/>
    <n v="0"/>
    <n v="0"/>
    <n v="0"/>
    <n v="0"/>
    <n v="0"/>
    <s v="0.00%"/>
  </r>
  <r>
    <x v="2"/>
    <m/>
    <s v=".916"/>
    <m/>
    <s v="33.02.916"/>
    <x v="128"/>
    <n v="0"/>
    <n v="0"/>
    <n v="0"/>
    <s v="0.00%"/>
    <n v="0"/>
    <n v="0"/>
    <n v="0"/>
    <n v="0"/>
    <n v="0"/>
    <n v="0"/>
    <s v="0.00%"/>
  </r>
  <r>
    <x v="2"/>
    <m/>
    <s v=".020"/>
    <m/>
    <s v="33.02.020"/>
    <x v="220"/>
    <n v="0"/>
    <n v="0"/>
    <n v="0"/>
    <s v="0.00%"/>
    <n v="0"/>
    <n v="0"/>
    <n v="0"/>
    <n v="0"/>
    <n v="0"/>
    <n v="0"/>
    <s v="0.00%"/>
  </r>
  <r>
    <x v="2"/>
    <s v=".03"/>
    <m/>
    <m/>
    <m/>
    <x v="221"/>
    <n v="296545699"/>
    <n v="234252308"/>
    <n v="82518616.531999975"/>
    <n v="0.35226383567584735"/>
    <n v="84215299.304999992"/>
    <n v="0.35950680710048755"/>
    <n v="150037008.69500002"/>
    <n v="0.64049319289951256"/>
    <n v="269336776.86400002"/>
    <n v="99000634.024716005"/>
    <n v="0.36757191192907823"/>
  </r>
  <r>
    <x v="2"/>
    <m/>
    <s v=".001"/>
    <m/>
    <s v="33.03.001"/>
    <x v="222"/>
    <n v="82544640"/>
    <n v="29716070"/>
    <n v="0"/>
    <n v="0"/>
    <n v="0"/>
    <n v="0"/>
    <n v="29716070"/>
    <n v="1"/>
    <n v="42123040.686000004"/>
    <n v="0"/>
    <n v="0"/>
  </r>
  <r>
    <x v="2"/>
    <m/>
    <s v=".005"/>
    <m/>
    <m/>
    <x v="223"/>
    <n v="95697781"/>
    <n v="102938566"/>
    <n v="42651276.768999994"/>
    <n v="0.41433719573089833"/>
    <n v="42651276.768999994"/>
    <n v="0.41433719573089833"/>
    <n v="60287289.231000006"/>
    <n v="0.58566280426910167"/>
    <n v="107959237.98799999"/>
    <n v="58090828.491435997"/>
    <n v="0.538081127414895"/>
  </r>
  <r>
    <x v="2"/>
    <m/>
    <m/>
    <m/>
    <s v="33.03.120.005.01"/>
    <x v="224"/>
    <n v="44226748"/>
    <n v="41426748"/>
    <n v="7796932.7390000001"/>
    <n v="0.18821010857526158"/>
    <n v="7796932.7390000001"/>
    <n v="0.18821010857526158"/>
    <n v="33629815.261"/>
    <n v="0.81178989142473845"/>
    <n v="34997296.072999999"/>
    <n v="4345073.5735420007"/>
    <n v="0.12415455081097461"/>
  </r>
  <r>
    <x v="2"/>
    <m/>
    <m/>
    <m/>
    <s v="33.03.120.005.02"/>
    <x v="225"/>
    <n v="33521770"/>
    <n v="42262555"/>
    <n v="15792796.186000001"/>
    <n v="0.37368294903135885"/>
    <n v="15792796.186000001"/>
    <n v="0.37368294903135885"/>
    <n v="26469758.813999999"/>
    <n v="0.6263170509686411"/>
    <n v="53290605.874083996"/>
    <n v="40652181.499127999"/>
    <n v="0.76283954427505862"/>
  </r>
  <r>
    <x v="2"/>
    <m/>
    <m/>
    <m/>
    <s v="33.03.120.005.05"/>
    <x v="226"/>
    <n v="17949263"/>
    <n v="18949263"/>
    <n v="18917977.829999998"/>
    <n v="0.99834900333590804"/>
    <n v="18917977.829999998"/>
    <n v="0.99834900333590804"/>
    <n v="31285.170000001788"/>
    <n v="1.6509966640919907E-3"/>
    <n v="19097182.578916002"/>
    <n v="12615799.511274001"/>
    <n v="0.66061050938489274"/>
  </r>
  <r>
    <x v="2"/>
    <m/>
    <m/>
    <m/>
    <s v="33.03.120.005.05"/>
    <x v="227"/>
    <n v="0"/>
    <n v="300000"/>
    <n v="143570.014"/>
    <n v="0.47856671333333334"/>
    <n v="143570.014"/>
    <n v="0.47856671333333334"/>
    <n v="156429.986"/>
    <n v="0.52143328666666666"/>
    <n v="574153.46200000006"/>
    <n v="477773.90749200003"/>
    <n v="0.83213624773371131"/>
  </r>
  <r>
    <x v="2"/>
    <m/>
    <n v="6"/>
    <m/>
    <m/>
    <x v="228"/>
    <n v="56114193"/>
    <n v="40609354"/>
    <n v="6581313.3369999994"/>
    <n v="0.16206397513735379"/>
    <n v="6581313.3370000003"/>
    <n v="0.16206397513735382"/>
    <n v="34028040.663000003"/>
    <n v="0.83793602486264629"/>
    <n v="63359977.040000007"/>
    <n v="17263182.433486"/>
    <n v="0.27246194269589968"/>
  </r>
  <r>
    <x v="2"/>
    <m/>
    <m/>
    <m/>
    <s v="33.03.120.006.01"/>
    <x v="229"/>
    <n v="6527670"/>
    <n v="7550100"/>
    <n v="3036902.8729999997"/>
    <n v="0.40223346353028433"/>
    <n v="3036902.8730000001"/>
    <n v="0.40223346353028439"/>
    <n v="4513197.1270000003"/>
    <n v="0.59776653646971567"/>
    <n v="5897246.4693520004"/>
    <n v="4550803.4537519999"/>
    <n v="0.77168276371057798"/>
  </r>
  <r>
    <x v="2"/>
    <m/>
    <m/>
    <m/>
    <s v="33.03.120.006.03"/>
    <x v="230"/>
    <n v="5360526"/>
    <n v="0"/>
    <n v="0"/>
    <s v="0.00%"/>
    <n v="0"/>
    <n v="0"/>
    <n v="0"/>
    <n v="0"/>
    <n v="3484884.8209880004"/>
    <n v="1110805.6982800001"/>
    <n v="0.31874961593854784"/>
  </r>
  <r>
    <x v="2"/>
    <m/>
    <m/>
    <m/>
    <s v="33.03.120.006.04"/>
    <x v="231"/>
    <n v="2440674"/>
    <n v="2440674"/>
    <n v="308896.55200000003"/>
    <n v="0.12656198738545174"/>
    <n v="308896.55200000003"/>
    <n v="0.12656198738545174"/>
    <n v="2131777.4479999999"/>
    <n v="0.87343801261454823"/>
    <n v="2576892.9346580002"/>
    <n v="1295732.1005899999"/>
    <n v="0.50282729373929802"/>
  </r>
  <r>
    <x v="2"/>
    <m/>
    <m/>
    <m/>
    <s v="33.03.120.006.05"/>
    <x v="232"/>
    <n v="2266492"/>
    <n v="2550000"/>
    <n v="520368.78200000001"/>
    <n v="0.20406618901960785"/>
    <n v="520368.78200000001"/>
    <n v="0.20406618901960785"/>
    <n v="2029631.2179999999"/>
    <n v="0.79593381098039206"/>
    <n v="1397881.514404"/>
    <n v="458842.91818000004"/>
    <n v="0.32824163811596868"/>
  </r>
  <r>
    <x v="2"/>
    <m/>
    <m/>
    <m/>
    <s v="33.03.120.006.06"/>
    <x v="233"/>
    <n v="8048156"/>
    <n v="17401492.500999998"/>
    <n v="250325.34899999999"/>
    <n v="1.4385280399690701E-2"/>
    <n v="250325.34899999999"/>
    <n v="1.4385280399690701E-2"/>
    <n v="17151167.151999999"/>
    <n v="0.98561471960030933"/>
    <n v="26520278.757728003"/>
    <n v="706489.65957799996"/>
    <n v="2.6639601567993665E-2"/>
  </r>
  <r>
    <x v="2"/>
    <m/>
    <m/>
    <m/>
    <s v="33.03.120.006.07"/>
    <x v="234"/>
    <n v="31470675"/>
    <n v="10667087.499"/>
    <n v="2464819.781"/>
    <n v="0.23106773814605605"/>
    <n v="2464819.781"/>
    <n v="0.23106773814605605"/>
    <n v="8202267.7180000003"/>
    <n v="0.76893226185394403"/>
    <n v="23482792.54287"/>
    <n v="9140508.6031059995"/>
    <n v="0.38924282903829088"/>
  </r>
  <r>
    <x v="2"/>
    <m/>
    <s v=".010"/>
    <m/>
    <s v="33.03.010"/>
    <x v="235"/>
    <n v="0"/>
    <n v="0"/>
    <n v="0"/>
    <s v="0.00%"/>
    <n v="0"/>
    <n v="0"/>
    <n v="0"/>
    <n v="0"/>
    <n v="0"/>
    <n v="0"/>
    <s v="0.00%"/>
  </r>
  <r>
    <x v="2"/>
    <m/>
    <s v=".017"/>
    <m/>
    <s v="33.03.017"/>
    <x v="236"/>
    <n v="0"/>
    <n v="0"/>
    <n v="0"/>
    <s v="0.00%"/>
    <n v="0"/>
    <n v="0"/>
    <n v="0"/>
    <n v="0"/>
    <n v="0"/>
    <n v="0"/>
    <s v="0.00%"/>
  </r>
  <r>
    <x v="2"/>
    <m/>
    <s v=".020"/>
    <m/>
    <s v="33.03.020"/>
    <x v="237"/>
    <n v="0"/>
    <n v="0"/>
    <n v="0"/>
    <s v="0.00%"/>
    <n v="0"/>
    <n v="0"/>
    <n v="0"/>
    <n v="0"/>
    <n v="0"/>
    <n v="0"/>
    <s v="0.00%"/>
  </r>
  <r>
    <x v="2"/>
    <m/>
    <s v=".021"/>
    <m/>
    <s v="33.03.021"/>
    <x v="238"/>
    <n v="0"/>
    <n v="0"/>
    <n v="0"/>
    <s v="0.00%"/>
    <n v="0"/>
    <n v="0"/>
    <n v="0"/>
    <n v="0"/>
    <n v="0"/>
    <n v="0"/>
    <s v="0.00%"/>
  </r>
  <r>
    <x v="2"/>
    <m/>
    <s v=".025"/>
    <m/>
    <s v="33.03.025"/>
    <x v="239"/>
    <n v="0"/>
    <n v="0"/>
    <n v="0"/>
    <s v="0.00%"/>
    <n v="0"/>
    <n v="0"/>
    <n v="0"/>
    <n v="0"/>
    <n v="0"/>
    <n v="0"/>
    <s v="0.00%"/>
  </r>
  <r>
    <x v="2"/>
    <m/>
    <s v=".100"/>
    <m/>
    <s v="33.03.120.100"/>
    <x v="240"/>
    <n v="9562068"/>
    <n v="22730998"/>
    <n v="14967362.983999999"/>
    <n v="0.65845604244917"/>
    <n v="15637085.444"/>
    <n v="0.68791900135664963"/>
    <n v="7093912.5559999999"/>
    <n v="0.31208099864335037"/>
    <n v="10127864.880000001"/>
    <n v="44272.710652000002"/>
    <n v="4.371376511887271E-3"/>
  </r>
  <r>
    <x v="2"/>
    <m/>
    <s v=".110"/>
    <m/>
    <s v="33.03.110"/>
    <x v="241"/>
    <n v="17361590"/>
    <n v="17361590"/>
    <n v="17361590"/>
    <n v="1"/>
    <n v="17361590"/>
    <n v="1"/>
    <n v="0"/>
    <n v="0"/>
    <n v="17806759.881999999"/>
    <n v="17806759.881999999"/>
    <n v="1"/>
  </r>
  <r>
    <x v="2"/>
    <m/>
    <s v=".111"/>
    <m/>
    <s v="33.03.111"/>
    <x v="242"/>
    <n v="9905707"/>
    <n v="9905707"/>
    <n v="723514.65100000007"/>
    <n v="7.3040182896586786E-2"/>
    <n v="923451.48100000003"/>
    <n v="9.3224186925779259E-2"/>
    <n v="8982255.5189999994"/>
    <n v="0.90677581307422073"/>
    <n v="9312923.9739999995"/>
    <n v="5376386.905944"/>
    <n v="0.57730385440210841"/>
  </r>
  <r>
    <x v="2"/>
    <m/>
    <s v=".112"/>
    <m/>
    <s v="33.03.112"/>
    <x v="243"/>
    <n v="3995732"/>
    <n v="3995732"/>
    <n v="0"/>
    <n v="0"/>
    <n v="0"/>
    <n v="0"/>
    <n v="3995732"/>
    <n v="1"/>
    <n v="4098186"/>
    <n v="0"/>
    <n v="0"/>
  </r>
  <r>
    <x v="2"/>
    <m/>
    <s v=".130"/>
    <m/>
    <s v="33.03.130"/>
    <x v="244"/>
    <n v="0"/>
    <n v="0"/>
    <n v="0"/>
    <s v="0.00%"/>
    <n v="0"/>
    <n v="0"/>
    <n v="0"/>
    <n v="0"/>
    <n v="0"/>
    <n v="0"/>
    <s v="0.00%"/>
  </r>
  <r>
    <x v="2"/>
    <m/>
    <s v=".190"/>
    <m/>
    <s v="33.03.190"/>
    <x v="245"/>
    <n v="0"/>
    <n v="0"/>
    <n v="0"/>
    <s v="0.00%"/>
    <n v="0"/>
    <n v="0"/>
    <n v="0"/>
    <n v="0"/>
    <n v="0"/>
    <n v="0"/>
    <s v="0.00%"/>
  </r>
  <r>
    <x v="2"/>
    <m/>
    <s v=".418"/>
    <m/>
    <s v="33.03.418"/>
    <x v="246"/>
    <n v="0"/>
    <n v="0"/>
    <n v="0"/>
    <s v="0.00%"/>
    <n v="0"/>
    <n v="0"/>
    <n v="0"/>
    <n v="0"/>
    <n v="0"/>
    <n v="0"/>
    <s v="0.00%"/>
  </r>
  <r>
    <x v="2"/>
    <m/>
    <s v=".421"/>
    <m/>
    <s v="33.03.421"/>
    <x v="247"/>
    <n v="0"/>
    <n v="0"/>
    <n v="0"/>
    <s v="0.00%"/>
    <n v="0"/>
    <n v="0"/>
    <n v="0"/>
    <n v="0"/>
    <n v="0"/>
    <n v="0"/>
    <s v="0.00%"/>
  </r>
  <r>
    <x v="2"/>
    <m/>
    <s v=".426"/>
    <m/>
    <s v="33.03.426"/>
    <x v="248"/>
    <n v="0"/>
    <n v="0"/>
    <n v="0"/>
    <s v="0.00%"/>
    <n v="0"/>
    <n v="0"/>
    <n v="0"/>
    <n v="0"/>
    <n v="0"/>
    <n v="0"/>
    <s v="0.00%"/>
  </r>
  <r>
    <x v="2"/>
    <m/>
    <s v=".427"/>
    <m/>
    <s v="33.03.427"/>
    <x v="249"/>
    <n v="0"/>
    <n v="0"/>
    <n v="0"/>
    <s v="0.00%"/>
    <n v="0"/>
    <n v="0"/>
    <n v="0"/>
    <n v="0"/>
    <n v="0"/>
    <n v="0"/>
    <s v="0.00%"/>
  </r>
  <r>
    <x v="2"/>
    <m/>
    <s v=".428"/>
    <m/>
    <s v="33.03.428"/>
    <x v="250"/>
    <n v="0"/>
    <n v="0"/>
    <n v="0"/>
    <s v="0.00%"/>
    <n v="0"/>
    <n v="0"/>
    <n v="0"/>
    <n v="0"/>
    <n v="0"/>
    <n v="0"/>
    <s v="0.00%"/>
  </r>
  <r>
    <x v="2"/>
    <m/>
    <s v=".429"/>
    <m/>
    <s v="33.03.429"/>
    <x v="251"/>
    <n v="0"/>
    <n v="0"/>
    <n v="0"/>
    <s v="0.00%"/>
    <n v="0"/>
    <n v="0"/>
    <n v="0"/>
    <n v="0"/>
    <n v="0"/>
    <n v="0"/>
    <s v="0.00%"/>
  </r>
  <r>
    <x v="2"/>
    <m/>
    <s v=".431"/>
    <m/>
    <s v="33.03.431"/>
    <x v="252"/>
    <n v="0"/>
    <n v="0"/>
    <n v="0"/>
    <s v="0.00%"/>
    <n v="0"/>
    <n v="0"/>
    <n v="0"/>
    <n v="0"/>
    <n v="0"/>
    <n v="0"/>
    <s v="0.00%"/>
  </r>
  <r>
    <x v="2"/>
    <m/>
    <s v=".432"/>
    <m/>
    <s v="33.03.432"/>
    <x v="253"/>
    <n v="19944797"/>
    <n v="5646060"/>
    <n v="0"/>
    <n v="0"/>
    <n v="0"/>
    <n v="0"/>
    <n v="5646060"/>
    <n v="1"/>
    <n v="13229707.152000001"/>
    <n v="0"/>
    <n v="0"/>
  </r>
  <r>
    <x v="2"/>
    <m/>
    <s v=".433"/>
    <m/>
    <s v="33.03.433"/>
    <x v="254"/>
    <n v="0"/>
    <n v="0"/>
    <n v="0"/>
    <s v="0.00%"/>
    <n v="0"/>
    <n v="0"/>
    <n v="0"/>
    <n v="0"/>
    <n v="0"/>
    <n v="0"/>
    <s v="0.00%"/>
  </r>
  <r>
    <x v="2"/>
    <m/>
    <s v=".602"/>
    <m/>
    <s v="33.03.602"/>
    <x v="255"/>
    <n v="1419191"/>
    <n v="1348231"/>
    <n v="233558.791"/>
    <n v="0.17323351191301786"/>
    <n v="1060582.2739999997"/>
    <n v="0.78664729857123872"/>
    <n v="287648.72599999997"/>
    <n v="0.21335270142876106"/>
    <n v="1319079.2620000001"/>
    <n v="419203.60119799996"/>
    <n v="0.31780016051681353"/>
  </r>
  <r>
    <x v="2"/>
    <m/>
    <s v=".001"/>
    <m/>
    <s v="33.03.001"/>
    <x v="256"/>
    <n v="707902"/>
    <n v="630000.18299999996"/>
    <n v="0"/>
    <n v="0"/>
    <n v="550000"/>
    <n v="0.87301561942562167"/>
    <n v="80000.182999999961"/>
    <n v="0.12698438057437827"/>
    <n v="533912.46400000004"/>
    <n v="290591.60748399998"/>
    <n v="0.54426825945760271"/>
  </r>
  <r>
    <x v="2"/>
    <m/>
    <s v=".002"/>
    <m/>
    <s v="33.03.002"/>
    <x v="257"/>
    <n v="311367.39799999999"/>
    <n v="349310"/>
    <n v="94086.578999999998"/>
    <n v="0.26934980103632877"/>
    <n v="188508.32500000001"/>
    <n v="0.53965911368125741"/>
    <n v="160801.67499999999"/>
    <n v="0.46034088631874265"/>
    <n v="337841.408"/>
    <n v="95907.158598000009"/>
    <n v="0.28388218947394395"/>
  </r>
  <r>
    <x v="2"/>
    <m/>
    <s v=".003"/>
    <m/>
    <s v="33.03.003"/>
    <x v="258"/>
    <n v="236820.785"/>
    <n v="254819.58100000001"/>
    <n v="136873.45300000001"/>
    <n v="0.53713867852251118"/>
    <n v="254475.19"/>
    <n v="0.99864849083163665"/>
    <n v="344.39100000000326"/>
    <n v="1.3515091683633342E-3"/>
    <n v="279265.37800000003"/>
    <n v="21873.247199999998"/>
    <n v="7.8324235380155136E-2"/>
  </r>
  <r>
    <x v="2"/>
    <m/>
    <s v=".004"/>
    <m/>
    <s v="33.03.004"/>
    <x v="259"/>
    <n v="91100.816999999995"/>
    <n v="49101.235999999997"/>
    <n v="2598.759"/>
    <n v="5.2926549547551105E-2"/>
    <n v="2598.759"/>
    <n v="5.2926549547551105E-2"/>
    <n v="46502.476999999999"/>
    <n v="0.94707345045244895"/>
    <n v="43020.012000000002"/>
    <n v="10831.587916"/>
    <n v="0.25178021605386813"/>
  </r>
  <r>
    <x v="2"/>
    <m/>
    <s v=".005"/>
    <m/>
    <s v="33.03.005"/>
    <x v="260"/>
    <n v="72000"/>
    <n v="65000"/>
    <n v="0"/>
    <n v="0"/>
    <n v="65000"/>
    <n v="1"/>
    <n v="0"/>
    <n v="0"/>
    <n v="125040"/>
    <n v="0"/>
    <n v="0"/>
  </r>
  <r>
    <x v="13"/>
    <m/>
    <m/>
    <m/>
    <m/>
    <x v="261"/>
    <n v="16451829.199999999"/>
    <n v="63489002.200000003"/>
    <n v="58561846.325999998"/>
    <n v="0.92239355316250338"/>
    <n v="58561846.325999998"/>
    <n v="0.92239355316250338"/>
    <n v="4927155.8740000064"/>
    <n v="7.7606446837496623E-2"/>
    <n v="41410042.182800002"/>
    <n v="35760495.239439994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4C781F-FC96-45A4-B43D-FCD87021D766}" name="TablaDinámica5" cacheId="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113:C116" firstHeaderRow="1" firstDataRow="1" firstDataCol="1" rowPageCount="1" colPageCount="1"/>
  <pivotFields count="18">
    <pivotField axis="axisPage" multipleItemSelectionAllowed="1" showAll="0">
      <items count="5">
        <item h="1" x="0"/>
        <item h="1" x="1"/>
        <item h="1"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" numFmtId="3"/>
    <dataField name="Saldo disponible." fld="12" baseField="0" baseItem="1" numFmtId="41"/>
    <dataField name="Saldo por ejecutar." fld="17" baseField="0" baseItem="1" numFmtId="41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10CBBB-391B-4803-8A01-38C2F669A921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172:D178" firstHeaderRow="0" firstDataRow="1" firstDataCol="1" rowPageCount="1" colPageCount="1"/>
  <pivotFields count="17">
    <pivotField axis="axisPage" multipleItemSelectionAllowed="1" showAll="0">
      <items count="16">
        <item x="3"/>
        <item h="1" x="4"/>
        <item x="5"/>
        <item h="1" x="7"/>
        <item h="1" x="8"/>
        <item m="1" x="14"/>
        <item h="1" x="10"/>
        <item x="11"/>
        <item x="12"/>
        <item h="1" x="13"/>
        <item h="1" x="6"/>
        <item x="1"/>
        <item h="1" x="0"/>
        <item h="1" x="2"/>
        <item h="1" x="9"/>
        <item t="default"/>
      </items>
    </pivotField>
    <pivotField showAll="0"/>
    <pivotField showAll="0"/>
    <pivotField showAll="0"/>
    <pivotField showAll="0"/>
    <pivotField axis="axisRow" showAll="0">
      <items count="263">
        <item x="108"/>
        <item x="112"/>
        <item x="165"/>
        <item x="148"/>
        <item x="126"/>
        <item x="117"/>
        <item x="235"/>
        <item x="236"/>
        <item x="237"/>
        <item x="238"/>
        <item x="239"/>
        <item x="241"/>
        <item x="242"/>
        <item x="167"/>
        <item x="168"/>
        <item x="166"/>
        <item x="170"/>
        <item x="127"/>
        <item x="147"/>
        <item x="169"/>
        <item x="221"/>
        <item x="18"/>
        <item x="174"/>
        <item x="75"/>
        <item x="191"/>
        <item x="185"/>
        <item x="152"/>
        <item x="70"/>
        <item x="29"/>
        <item x="128"/>
        <item x="198"/>
        <item x="129"/>
        <item x="217"/>
        <item x="43"/>
        <item x="15"/>
        <item x="196"/>
        <item x="195"/>
        <item x="17"/>
        <item x="95"/>
        <item x="96"/>
        <item x="98"/>
        <item x="97"/>
        <item x="8"/>
        <item x="5"/>
        <item x="10"/>
        <item x="14"/>
        <item x="37"/>
        <item x="7"/>
        <item x="25"/>
        <item x="6"/>
        <item x="36"/>
        <item x="11"/>
        <item x="34"/>
        <item x="35"/>
        <item x="20"/>
        <item x="12"/>
        <item x="229"/>
        <item x="45"/>
        <item x="30"/>
        <item x="31"/>
        <item x="51"/>
        <item x="149"/>
        <item x="52"/>
        <item x="28"/>
        <item x="27"/>
        <item x="13"/>
        <item x="0"/>
        <item x="72"/>
        <item x="226"/>
        <item x="104"/>
        <item x="193"/>
        <item x="22"/>
        <item x="23"/>
        <item x="21"/>
        <item x="184"/>
        <item x="171"/>
        <item x="69"/>
        <item x="225"/>
        <item x="227"/>
        <item x="76"/>
        <item x="189"/>
        <item x="66"/>
        <item x="103"/>
        <item x="232"/>
        <item x="119"/>
        <item x="253"/>
        <item x="251"/>
        <item x="254"/>
        <item x="114"/>
        <item x="125"/>
        <item x="124"/>
        <item x="121"/>
        <item x="118"/>
        <item x="71"/>
        <item x="101"/>
        <item x="9"/>
        <item x="1"/>
        <item x="107"/>
        <item x="216"/>
        <item x="39"/>
        <item x="40"/>
        <item x="41"/>
        <item x="113"/>
        <item x="177"/>
        <item x="62"/>
        <item x="182"/>
        <item x="181"/>
        <item x="179"/>
        <item x="180"/>
        <item x="233"/>
        <item x="78"/>
        <item x="83"/>
        <item x="80"/>
        <item x="82"/>
        <item x="81"/>
        <item x="79"/>
        <item x="77"/>
        <item x="188"/>
        <item x="55"/>
        <item x="54"/>
        <item x="63"/>
        <item x="60"/>
        <item x="59"/>
        <item x="61"/>
        <item x="187"/>
        <item x="194"/>
        <item x="156"/>
        <item x="240"/>
        <item x="228"/>
        <item x="223"/>
        <item x="163"/>
        <item x="255"/>
        <item x="157"/>
        <item x="243"/>
        <item x="234"/>
        <item x="161"/>
        <item x="176"/>
        <item x="159"/>
        <item x="44"/>
        <item x="16"/>
        <item x="19"/>
        <item x="115"/>
        <item x="38"/>
        <item x="231"/>
        <item x="84"/>
        <item x="67"/>
        <item x="183"/>
        <item x="106"/>
        <item x="178"/>
        <item x="65"/>
        <item x="53"/>
        <item x="92"/>
        <item x="32"/>
        <item x="2"/>
        <item x="259"/>
        <item x="172"/>
        <item x="109"/>
        <item x="192"/>
        <item x="100"/>
        <item x="58"/>
        <item x="57"/>
        <item x="151"/>
        <item x="154"/>
        <item x="175"/>
        <item x="164"/>
        <item x="220"/>
        <item x="139"/>
        <item x="141"/>
        <item x="134"/>
        <item x="135"/>
        <item x="136"/>
        <item x="142"/>
        <item x="131"/>
        <item x="144"/>
        <item x="132"/>
        <item x="140"/>
        <item x="133"/>
        <item x="138"/>
        <item x="143"/>
        <item x="145"/>
        <item x="130"/>
        <item x="137"/>
        <item x="199"/>
        <item x="200"/>
        <item x="201"/>
        <item x="202"/>
        <item x="207"/>
        <item x="211"/>
        <item x="203"/>
        <item x="204"/>
        <item x="205"/>
        <item x="206"/>
        <item x="208"/>
        <item x="209"/>
        <item x="210"/>
        <item x="212"/>
        <item x="213"/>
        <item x="214"/>
        <item x="190"/>
        <item x="248"/>
        <item x="222"/>
        <item x="247"/>
        <item x="246"/>
        <item x="245"/>
        <item x="244"/>
        <item x="252"/>
        <item x="249"/>
        <item x="250"/>
        <item x="85"/>
        <item x="218"/>
        <item x="24"/>
        <item x="64"/>
        <item x="93"/>
        <item x="105"/>
        <item x="261"/>
        <item x="146"/>
        <item x="219"/>
        <item x="68"/>
        <item x="89"/>
        <item x="158"/>
        <item x="87"/>
        <item x="91"/>
        <item x="86"/>
        <item x="94"/>
        <item x="90"/>
        <item x="99"/>
        <item x="88"/>
        <item x="260"/>
        <item x="102"/>
        <item x="256"/>
        <item x="258"/>
        <item x="153"/>
        <item x="215"/>
        <item x="4"/>
        <item x="33"/>
        <item x="3"/>
        <item x="42"/>
        <item x="74"/>
        <item x="73"/>
        <item x="230"/>
        <item x="49"/>
        <item x="48"/>
        <item x="56"/>
        <item x="26"/>
        <item x="224"/>
        <item x="116"/>
        <item x="197"/>
        <item x="150"/>
        <item x="155"/>
        <item x="257"/>
        <item x="122"/>
        <item x="123"/>
        <item x="160"/>
        <item x="120"/>
        <item x="186"/>
        <item x="50"/>
        <item x="46"/>
        <item x="47"/>
        <item x="173"/>
        <item x="110"/>
        <item x="111"/>
        <item x="162"/>
        <item t="default"/>
      </items>
    </pivotField>
    <pivotField numFmtId="3" showAll="0"/>
    <pivotField numFmtId="3" showAll="0"/>
    <pivotField numFmtId="3" showAll="0"/>
    <pivotField dataField="1" showAll="0"/>
    <pivotField showAll="0"/>
    <pivotField numFmtId="172" showAll="0"/>
    <pivotField showAll="0"/>
    <pivotField numFmtId="172" showAll="0"/>
    <pivotField showAll="0"/>
    <pivotField showAll="0"/>
    <pivotField dataField="1" showAll="0"/>
  </pivotFields>
  <rowFields count="1">
    <field x="5"/>
  </rowFields>
  <rowItems count="6">
    <i>
      <x v="57"/>
    </i>
    <i>
      <x v="96"/>
    </i>
    <i>
      <x v="157"/>
    </i>
    <i>
      <x v="245"/>
    </i>
    <i>
      <x v="24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% Ejecución 2025." fld="9" baseField="5" baseItem="24"/>
    <dataField name="% Ejecución 2024." fld="16" baseField="5" baseItem="24"/>
  </dataFields>
  <formats count="1">
    <format dxfId="44">
      <pivotArea outline="0" collapsedLevelsAreSubtotals="1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8F8BF1-F59F-4905-96EE-34F664817B17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203:D209" firstHeaderRow="0" firstDataRow="1" firstDataCol="1" rowPageCount="1" colPageCount="1"/>
  <pivotFields count="17">
    <pivotField axis="axisPage" multipleItemSelectionAllowed="1" showAll="0">
      <items count="16">
        <item x="3"/>
        <item h="1" x="4"/>
        <item x="5"/>
        <item h="1" x="7"/>
        <item h="1" x="8"/>
        <item m="1" x="14"/>
        <item h="1" x="10"/>
        <item x="11"/>
        <item x="12"/>
        <item h="1" x="13"/>
        <item h="1" x="6"/>
        <item x="1"/>
        <item h="1" x="0"/>
        <item h="1" x="2"/>
        <item h="1" x="9"/>
        <item t="default"/>
      </items>
    </pivotField>
    <pivotField showAll="0"/>
    <pivotField showAll="0"/>
    <pivotField showAll="0"/>
    <pivotField showAll="0"/>
    <pivotField axis="axisRow" showAll="0">
      <items count="263">
        <item x="108"/>
        <item x="112"/>
        <item x="165"/>
        <item x="148"/>
        <item x="126"/>
        <item x="117"/>
        <item x="235"/>
        <item x="236"/>
        <item x="237"/>
        <item x="238"/>
        <item x="239"/>
        <item x="241"/>
        <item x="242"/>
        <item x="167"/>
        <item x="168"/>
        <item x="166"/>
        <item x="170"/>
        <item x="127"/>
        <item x="147"/>
        <item x="169"/>
        <item x="221"/>
        <item x="18"/>
        <item x="174"/>
        <item x="75"/>
        <item x="191"/>
        <item x="185"/>
        <item x="152"/>
        <item x="70"/>
        <item x="29"/>
        <item x="128"/>
        <item x="198"/>
        <item x="129"/>
        <item x="217"/>
        <item x="43"/>
        <item x="15"/>
        <item x="196"/>
        <item x="195"/>
        <item x="17"/>
        <item x="95"/>
        <item x="96"/>
        <item x="98"/>
        <item x="97"/>
        <item x="8"/>
        <item x="5"/>
        <item x="10"/>
        <item x="14"/>
        <item x="37"/>
        <item x="7"/>
        <item x="25"/>
        <item x="6"/>
        <item x="36"/>
        <item x="11"/>
        <item x="34"/>
        <item x="35"/>
        <item x="20"/>
        <item x="12"/>
        <item x="229"/>
        <item x="45"/>
        <item x="30"/>
        <item x="31"/>
        <item x="51"/>
        <item x="149"/>
        <item x="52"/>
        <item x="28"/>
        <item x="27"/>
        <item x="13"/>
        <item x="0"/>
        <item x="72"/>
        <item x="226"/>
        <item x="104"/>
        <item x="193"/>
        <item x="22"/>
        <item x="23"/>
        <item x="21"/>
        <item x="184"/>
        <item x="171"/>
        <item x="69"/>
        <item x="225"/>
        <item x="227"/>
        <item x="76"/>
        <item x="189"/>
        <item x="66"/>
        <item x="103"/>
        <item x="232"/>
        <item x="119"/>
        <item x="253"/>
        <item x="251"/>
        <item x="254"/>
        <item x="114"/>
        <item x="125"/>
        <item x="124"/>
        <item x="121"/>
        <item x="118"/>
        <item x="71"/>
        <item x="101"/>
        <item x="9"/>
        <item x="1"/>
        <item x="107"/>
        <item x="216"/>
        <item x="39"/>
        <item x="40"/>
        <item x="41"/>
        <item x="113"/>
        <item x="177"/>
        <item x="62"/>
        <item x="182"/>
        <item x="181"/>
        <item x="179"/>
        <item x="180"/>
        <item x="233"/>
        <item x="78"/>
        <item x="83"/>
        <item x="80"/>
        <item x="82"/>
        <item x="81"/>
        <item x="79"/>
        <item x="77"/>
        <item x="188"/>
        <item x="55"/>
        <item x="54"/>
        <item x="63"/>
        <item x="60"/>
        <item x="59"/>
        <item x="61"/>
        <item x="187"/>
        <item x="194"/>
        <item x="156"/>
        <item x="240"/>
        <item x="228"/>
        <item x="223"/>
        <item x="163"/>
        <item x="255"/>
        <item x="157"/>
        <item x="243"/>
        <item x="234"/>
        <item x="161"/>
        <item x="176"/>
        <item x="159"/>
        <item x="44"/>
        <item x="16"/>
        <item x="19"/>
        <item x="115"/>
        <item x="38"/>
        <item x="231"/>
        <item x="84"/>
        <item x="67"/>
        <item x="183"/>
        <item x="106"/>
        <item x="178"/>
        <item x="65"/>
        <item x="53"/>
        <item x="92"/>
        <item x="32"/>
        <item x="2"/>
        <item x="259"/>
        <item x="172"/>
        <item x="109"/>
        <item x="192"/>
        <item x="100"/>
        <item x="58"/>
        <item x="57"/>
        <item x="151"/>
        <item x="154"/>
        <item x="175"/>
        <item x="164"/>
        <item x="220"/>
        <item x="139"/>
        <item x="141"/>
        <item x="134"/>
        <item x="135"/>
        <item x="136"/>
        <item x="142"/>
        <item x="131"/>
        <item x="144"/>
        <item x="132"/>
        <item x="140"/>
        <item x="133"/>
        <item x="138"/>
        <item x="143"/>
        <item x="145"/>
        <item x="130"/>
        <item x="137"/>
        <item x="199"/>
        <item x="200"/>
        <item x="201"/>
        <item x="202"/>
        <item x="207"/>
        <item x="211"/>
        <item x="203"/>
        <item x="204"/>
        <item x="205"/>
        <item x="206"/>
        <item x="208"/>
        <item x="209"/>
        <item x="210"/>
        <item x="212"/>
        <item x="213"/>
        <item x="214"/>
        <item x="190"/>
        <item x="248"/>
        <item x="222"/>
        <item x="247"/>
        <item x="246"/>
        <item x="245"/>
        <item x="244"/>
        <item x="252"/>
        <item x="249"/>
        <item x="250"/>
        <item x="85"/>
        <item x="218"/>
        <item x="24"/>
        <item x="64"/>
        <item x="93"/>
        <item x="105"/>
        <item x="261"/>
        <item x="146"/>
        <item x="219"/>
        <item x="68"/>
        <item x="89"/>
        <item x="158"/>
        <item x="87"/>
        <item x="91"/>
        <item x="86"/>
        <item x="94"/>
        <item x="90"/>
        <item x="99"/>
        <item x="88"/>
        <item x="260"/>
        <item x="102"/>
        <item x="256"/>
        <item x="258"/>
        <item x="153"/>
        <item x="215"/>
        <item x="4"/>
        <item x="33"/>
        <item x="3"/>
        <item x="42"/>
        <item x="74"/>
        <item x="73"/>
        <item x="230"/>
        <item x="49"/>
        <item x="48"/>
        <item x="56"/>
        <item x="26"/>
        <item x="224"/>
        <item x="116"/>
        <item x="197"/>
        <item x="150"/>
        <item x="155"/>
        <item x="257"/>
        <item x="122"/>
        <item x="123"/>
        <item x="160"/>
        <item x="120"/>
        <item x="186"/>
        <item x="50"/>
        <item x="46"/>
        <item x="47"/>
        <item x="173"/>
        <item x="110"/>
        <item x="111"/>
        <item x="162"/>
        <item t="default"/>
      </items>
    </pivotField>
    <pivotField dataField="1" numFmtId="3" showAll="0"/>
    <pivotField dataField="1" numFmtId="3" showAll="0"/>
    <pivotField numFmtId="3" showAll="0"/>
    <pivotField showAll="0"/>
    <pivotField showAll="0"/>
    <pivotField numFmtId="172" showAll="0"/>
    <pivotField showAll="0"/>
    <pivotField numFmtId="172" showAll="0"/>
    <pivotField showAll="0"/>
    <pivotField showAll="0"/>
    <pivotField showAll="0"/>
  </pivotFields>
  <rowFields count="1">
    <field x="5"/>
  </rowFields>
  <rowItems count="6">
    <i>
      <x v="57"/>
    </i>
    <i>
      <x v="96"/>
    </i>
    <i>
      <x v="157"/>
    </i>
    <i>
      <x v="245"/>
    </i>
    <i>
      <x v="24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Presupuesto Inicial 2025." fld="6" baseField="5" baseItem="25" numFmtId="3"/>
    <dataField name="Presupuesto Vigente." fld="7" baseField="5" baseItem="25" numFmtId="3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5" count="1" selected="0">
            <x v="245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5" count="1" selected="0">
            <x v="96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5" count="1" selected="0">
            <x v="246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5" count="1" selected="0">
            <x v="15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03C70F-8354-4182-9E51-CF29719CF3B8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B140:D145" firstHeaderRow="0" firstDataRow="1" firstDataCol="1"/>
  <pivotFields count="18"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dataField="1" numFmtId="172" showAll="0"/>
    <pivotField showAll="0"/>
    <pivotField numFmtId="172" showAll="0"/>
    <pivotField numFmtId="41" showAll="0"/>
    <pivotField numFmtId="172" showAll="0"/>
    <pivotField numFmtId="3" showAll="0"/>
    <pivotField numFmtId="3" showAll="0"/>
    <pivotField dataField="1" numFmtId="172" showAll="0"/>
    <pivotField numFmtId="4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% Ejecución 2025." fld="9" baseField="0" baseItem="0" numFmtId="172"/>
    <dataField name="% Ejecución 2024." fld="16" baseField="0" baseItem="0" numFmtId="172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C2D920-26B7-4E2F-93AF-09905C831297}" name="TablaDinámica1" cacheId="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7">
  <location ref="B3:C6" firstHeaderRow="1" firstDataRow="1" firstDataCol="1" rowPageCount="1" colPageCount="1"/>
  <pivotFields count="18"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0" numFmtId="3"/>
    <dataField name="Saldo disponible." fld="12" baseField="0" baseItem="0" numFmtId="41"/>
    <dataField name="Saldo por ejecutar." fld="17" baseField="0" baseItem="0" numFmtId="41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F95777-0BFE-4527-BA3F-63294690D736}" name="TablaDinámica3" cacheId="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85:C88" firstHeaderRow="1" firstDataRow="1" firstDataCol="1" rowPageCount="1" colPageCount="1"/>
  <pivotFields count="18">
    <pivotField axis="axisPage" multipleItemSelectionAllowed="1" showAll="0">
      <items count="5">
        <item h="1" x="0"/>
        <item h="1" x="1"/>
        <item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" numFmtId="3"/>
    <dataField name="Saldo disponible." fld="12" baseField="0" baseItem="1" numFmtId="41"/>
    <dataField name="Saldo por ejecutar." fld="17" baseField="0" baseItem="1" numFmtId="41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DEE90F-8503-4693-A5AD-E85C98E65DB4}" name="TablaDinámica4" cacheId="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0">
  <location ref="B30:C33" firstHeaderRow="1" firstDataRow="1" firstDataCol="1" rowPageCount="1" colPageCount="1"/>
  <pivotFields count="18"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0" numFmtId="3"/>
    <dataField name="Saldo disponible." fld="12" baseField="0" baseItem="0" numFmtId="41"/>
    <dataField name="Saldo por ejecutar." fld="17" baseField="0" baseItem="0" numFmtId="41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8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9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0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9C63FF-D5E8-401D-9A8F-0246DD590738}" name="TablaDinámica2" cacheId="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5">
  <location ref="B57:C60" firstHeaderRow="1" firstDataRow="1" firstDataCol="1" rowPageCount="1" colPageCount="1"/>
  <pivotFields count="18">
    <pivotField axis="axisPage" multipleItemSelectionAllowed="1" showAll="0">
      <items count="5">
        <item h="1" x="0"/>
        <item x="1"/>
        <item h="1"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0" numFmtId="3"/>
    <dataField name="Saldo disponible." fld="12" baseField="0" baseItem="0" numFmtId="41"/>
    <dataField name="Saldo por ejecutar." fld="17" baseField="0" baseItem="0" numFmtId="41"/>
  </dataField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1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60"/>
  <sheetViews>
    <sheetView showGridLines="0" topLeftCell="B1" zoomScaleNormal="100" workbookViewId="0">
      <selection activeCell="P3" sqref="P3"/>
    </sheetView>
  </sheetViews>
  <sheetFormatPr baseColWidth="10" defaultColWidth="11.42578125" defaultRowHeight="15" x14ac:dyDescent="0.25"/>
  <cols>
    <col min="1" max="1" width="0" style="96" hidden="1" customWidth="1"/>
    <col min="2" max="2" width="29.7109375" style="40" bestFit="1" customWidth="1"/>
    <col min="3" max="3" width="18.5703125" style="40" bestFit="1" customWidth="1"/>
    <col min="4" max="4" width="16.140625" style="40" bestFit="1" customWidth="1"/>
    <col min="5" max="5" width="20.42578125" style="40" bestFit="1" customWidth="1"/>
    <col min="6" max="9" width="13" style="40" customWidth="1"/>
    <col min="10" max="10" width="3.7109375" style="40" customWidth="1"/>
    <col min="11" max="11" width="8.140625" style="40" customWidth="1"/>
    <col min="12" max="12" width="11.5703125" style="40" customWidth="1"/>
    <col min="13" max="13" width="8.140625" style="40" customWidth="1"/>
    <col min="14" max="14" width="11.5703125" style="40" customWidth="1"/>
    <col min="15" max="15" width="14.140625" style="40" customWidth="1"/>
    <col min="16" max="16" width="11.42578125" style="40" customWidth="1"/>
    <col min="17" max="17" width="40.7109375" style="40" bestFit="1" customWidth="1"/>
    <col min="18" max="18" width="16" style="40" bestFit="1" customWidth="1"/>
    <col min="19" max="19" width="50.140625" style="40" bestFit="1" customWidth="1"/>
    <col min="20" max="20" width="34.28515625" style="40" bestFit="1" customWidth="1"/>
    <col min="21" max="21" width="37.140625" style="40" bestFit="1" customWidth="1"/>
    <col min="22" max="22" width="55.28515625" style="40" bestFit="1" customWidth="1"/>
    <col min="23" max="23" width="25" style="40" bestFit="1" customWidth="1"/>
    <col min="24" max="24" width="22.7109375" style="40" bestFit="1" customWidth="1"/>
    <col min="25" max="25" width="16.42578125" style="40" bestFit="1" customWidth="1"/>
    <col min="26" max="26" width="38.5703125" style="40" bestFit="1" customWidth="1"/>
    <col min="27" max="27" width="41.5703125" style="40" bestFit="1" customWidth="1"/>
    <col min="28" max="28" width="5.7109375" style="40" customWidth="1"/>
    <col min="29" max="29" width="10.85546875" style="40" customWidth="1"/>
    <col min="30" max="30" width="36.28515625" style="40" bestFit="1" customWidth="1"/>
    <col min="31" max="31" width="18.7109375" style="40" bestFit="1" customWidth="1"/>
    <col min="32" max="32" width="40.28515625" style="40" bestFit="1" customWidth="1"/>
    <col min="33" max="33" width="31.7109375" style="40" bestFit="1" customWidth="1"/>
    <col min="34" max="34" width="50.140625" style="40" bestFit="1" customWidth="1"/>
    <col min="35" max="35" width="45.28515625" style="40" bestFit="1" customWidth="1"/>
    <col min="36" max="36" width="21.5703125" style="40" bestFit="1" customWidth="1"/>
    <col min="37" max="37" width="8.85546875" style="40" customWidth="1"/>
    <col min="38" max="38" width="19.5703125" style="40" bestFit="1" customWidth="1"/>
    <col min="39" max="40" width="31" style="40" bestFit="1" customWidth="1"/>
    <col min="41" max="41" width="28.5703125" style="40" bestFit="1" customWidth="1"/>
    <col min="42" max="42" width="24.28515625" style="40" bestFit="1" customWidth="1"/>
    <col min="43" max="43" width="30.5703125" style="40" bestFit="1" customWidth="1"/>
    <col min="44" max="44" width="37" style="40" bestFit="1" customWidth="1"/>
    <col min="45" max="45" width="37.42578125" style="40" bestFit="1" customWidth="1"/>
    <col min="46" max="46" width="18.42578125" style="40" bestFit="1" customWidth="1"/>
    <col min="47" max="47" width="45.140625" style="40" bestFit="1" customWidth="1"/>
    <col min="48" max="48" width="21.42578125" style="40" bestFit="1" customWidth="1"/>
    <col min="49" max="49" width="25.7109375" style="40" bestFit="1" customWidth="1"/>
    <col min="50" max="50" width="27.7109375" style="40" bestFit="1" customWidth="1"/>
    <col min="51" max="52" width="35.5703125" style="40" bestFit="1" customWidth="1"/>
    <col min="53" max="53" width="27.5703125" style="40" bestFit="1" customWidth="1"/>
    <col min="54" max="54" width="23.85546875" style="40" bestFit="1" customWidth="1"/>
    <col min="55" max="55" width="23.7109375" style="40" bestFit="1" customWidth="1"/>
    <col min="56" max="56" width="32.85546875" style="40" bestFit="1" customWidth="1"/>
    <col min="57" max="57" width="19.140625" style="40" bestFit="1" customWidth="1"/>
    <col min="58" max="58" width="16.7109375" style="40" bestFit="1" customWidth="1"/>
    <col min="59" max="59" width="8" style="40" customWidth="1"/>
    <col min="60" max="60" width="43.5703125" style="40" bestFit="1" customWidth="1"/>
    <col min="61" max="61" width="25.5703125" style="40" bestFit="1" customWidth="1"/>
    <col min="62" max="62" width="35.28515625" style="40" bestFit="1" customWidth="1"/>
    <col min="63" max="63" width="31.7109375" style="40" bestFit="1" customWidth="1"/>
    <col min="64" max="64" width="41.85546875" style="40" bestFit="1" customWidth="1"/>
    <col min="65" max="65" width="27.28515625" style="40" bestFit="1" customWidth="1"/>
    <col min="66" max="66" width="7" style="40" customWidth="1"/>
    <col min="67" max="67" width="24" style="40" bestFit="1" customWidth="1"/>
    <col min="68" max="68" width="21.42578125" style="40" bestFit="1" customWidth="1"/>
    <col min="69" max="69" width="12.140625" style="40" bestFit="1" customWidth="1"/>
    <col min="70" max="70" width="20.5703125" style="40" bestFit="1" customWidth="1"/>
    <col min="71" max="71" width="23.42578125" style="40" bestFit="1" customWidth="1"/>
    <col min="72" max="72" width="14.85546875" style="40" bestFit="1" customWidth="1"/>
    <col min="73" max="73" width="11.42578125" style="40"/>
    <col min="74" max="74" width="18" style="40" bestFit="1" customWidth="1"/>
    <col min="75" max="75" width="29.28515625" style="40" bestFit="1" customWidth="1"/>
    <col min="76" max="76" width="35.7109375" style="40" bestFit="1" customWidth="1"/>
    <col min="77" max="77" width="17" style="40" bestFit="1" customWidth="1"/>
    <col min="78" max="78" width="24.5703125" style="40" bestFit="1" customWidth="1"/>
    <col min="79" max="79" width="23.7109375" style="40" bestFit="1" customWidth="1"/>
    <col min="80" max="80" width="37.42578125" style="40" bestFit="1" customWidth="1"/>
    <col min="81" max="81" width="36.140625" style="40" bestFit="1" customWidth="1"/>
    <col min="82" max="82" width="24.28515625" style="40" bestFit="1" customWidth="1"/>
    <col min="83" max="83" width="46.42578125" style="40" bestFit="1" customWidth="1"/>
    <col min="84" max="84" width="29.28515625" style="40" bestFit="1" customWidth="1"/>
    <col min="85" max="85" width="27.85546875" style="40" bestFit="1" customWidth="1"/>
    <col min="86" max="86" width="45.5703125" style="40" bestFit="1" customWidth="1"/>
    <col min="87" max="87" width="42.28515625" style="40" bestFit="1" customWidth="1"/>
    <col min="88" max="88" width="4.5703125" style="40" customWidth="1"/>
    <col min="89" max="89" width="16.42578125" style="40" bestFit="1" customWidth="1"/>
    <col min="90" max="90" width="24.42578125" style="40" bestFit="1" customWidth="1"/>
    <col min="91" max="91" width="21.7109375" style="40" bestFit="1" customWidth="1"/>
    <col min="92" max="92" width="15.5703125" style="40" bestFit="1" customWidth="1"/>
    <col min="93" max="93" width="44.140625" style="40" bestFit="1" customWidth="1"/>
    <col min="94" max="94" width="35.5703125" style="40" bestFit="1" customWidth="1"/>
    <col min="95" max="95" width="32.7109375" style="40" bestFit="1" customWidth="1"/>
    <col min="96" max="96" width="19.140625" style="40" bestFit="1" customWidth="1"/>
    <col min="97" max="97" width="46.7109375" style="40" bestFit="1" customWidth="1"/>
    <col min="98" max="98" width="23.140625" style="40" bestFit="1" customWidth="1"/>
    <col min="99" max="99" width="46.7109375" style="40" bestFit="1" customWidth="1"/>
    <col min="100" max="100" width="42.85546875" style="40" bestFit="1" customWidth="1"/>
    <col min="101" max="101" width="49.42578125" style="40" bestFit="1" customWidth="1"/>
    <col min="102" max="102" width="58.42578125" style="40" bestFit="1" customWidth="1"/>
    <col min="103" max="103" width="48.42578125" style="40" bestFit="1" customWidth="1"/>
    <col min="104" max="104" width="39.28515625" style="40" bestFit="1" customWidth="1"/>
    <col min="105" max="105" width="29.85546875" style="40" bestFit="1" customWidth="1"/>
    <col min="106" max="106" width="20.85546875" style="40" bestFit="1" customWidth="1"/>
    <col min="107" max="107" width="27.85546875" style="40" bestFit="1" customWidth="1"/>
    <col min="108" max="108" width="57" style="40" bestFit="1" customWidth="1"/>
    <col min="109" max="109" width="26" style="40" bestFit="1" customWidth="1"/>
    <col min="110" max="110" width="29.140625" style="40" bestFit="1" customWidth="1"/>
    <col min="111" max="111" width="34.140625" style="40" bestFit="1" customWidth="1"/>
    <col min="112" max="112" width="50" style="40" bestFit="1" customWidth="1"/>
    <col min="113" max="113" width="49.7109375" style="40" bestFit="1" customWidth="1"/>
    <col min="114" max="114" width="43.28515625" style="40" bestFit="1" customWidth="1"/>
    <col min="115" max="115" width="82" style="40" bestFit="1" customWidth="1"/>
    <col min="116" max="116" width="12.42578125" style="40" bestFit="1" customWidth="1"/>
    <col min="117" max="117" width="27.7109375" style="40" bestFit="1" customWidth="1"/>
    <col min="118" max="118" width="57.7109375" style="40" bestFit="1" customWidth="1"/>
    <col min="119" max="119" width="30.140625" style="40" bestFit="1" customWidth="1"/>
    <col min="120" max="120" width="22" style="40" bestFit="1" customWidth="1"/>
    <col min="121" max="121" width="25.85546875" style="40" bestFit="1" customWidth="1"/>
    <col min="122" max="122" width="6" style="40" customWidth="1"/>
    <col min="123" max="123" width="6.5703125" style="40" customWidth="1"/>
    <col min="124" max="124" width="43.85546875" style="40" bestFit="1" customWidth="1"/>
    <col min="125" max="125" width="37.42578125" style="40" bestFit="1" customWidth="1"/>
    <col min="126" max="126" width="21.28515625" style="40" bestFit="1" customWidth="1"/>
    <col min="127" max="127" width="62.42578125" style="40" bestFit="1" customWidth="1"/>
    <col min="128" max="128" width="14.5703125" style="40" bestFit="1" customWidth="1"/>
    <col min="129" max="129" width="25.5703125" style="40" bestFit="1" customWidth="1"/>
    <col min="130" max="130" width="18.5703125" style="40" bestFit="1" customWidth="1"/>
    <col min="131" max="131" width="17.7109375" style="40" bestFit="1" customWidth="1"/>
    <col min="132" max="132" width="26.7109375" style="40" bestFit="1" customWidth="1"/>
    <col min="133" max="133" width="36.5703125" style="40" bestFit="1" customWidth="1"/>
    <col min="134" max="134" width="12.85546875" style="40" bestFit="1" customWidth="1"/>
    <col min="135" max="135" width="26.5703125" style="40" bestFit="1" customWidth="1"/>
    <col min="136" max="136" width="18.7109375" style="40" bestFit="1" customWidth="1"/>
    <col min="137" max="137" width="50.140625" style="40" bestFit="1" customWidth="1"/>
    <col min="138" max="138" width="67.85546875" style="40" bestFit="1" customWidth="1"/>
    <col min="139" max="139" width="35.7109375" style="40" bestFit="1" customWidth="1"/>
    <col min="140" max="140" width="44.42578125" style="40" bestFit="1" customWidth="1"/>
    <col min="141" max="141" width="52.28515625" style="40" bestFit="1" customWidth="1"/>
    <col min="142" max="142" width="54.140625" style="40" bestFit="1" customWidth="1"/>
    <col min="143" max="143" width="53.140625" style="40" bestFit="1" customWidth="1"/>
    <col min="144" max="144" width="65.140625" style="40" bestFit="1" customWidth="1"/>
    <col min="145" max="145" width="49.85546875" style="40" bestFit="1" customWidth="1"/>
    <col min="146" max="146" width="53.7109375" style="40" bestFit="1" customWidth="1"/>
    <col min="147" max="147" width="59.28515625" style="40" bestFit="1" customWidth="1"/>
    <col min="148" max="148" width="52.7109375" style="40" bestFit="1" customWidth="1"/>
    <col min="149" max="149" width="84.42578125" style="40" bestFit="1" customWidth="1"/>
    <col min="150" max="150" width="53.5703125" style="40" bestFit="1" customWidth="1"/>
    <col min="151" max="151" width="56.28515625" style="40" bestFit="1" customWidth="1"/>
    <col min="152" max="152" width="52" style="40" bestFit="1" customWidth="1"/>
    <col min="153" max="153" width="49.85546875" style="40" bestFit="1" customWidth="1"/>
    <col min="154" max="154" width="52.85546875" style="40" bestFit="1" customWidth="1"/>
    <col min="155" max="155" width="51.5703125" style="40" bestFit="1" customWidth="1"/>
    <col min="156" max="156" width="44.28515625" style="40" bestFit="1" customWidth="1"/>
    <col min="157" max="157" width="47.7109375" style="40" bestFit="1" customWidth="1"/>
    <col min="158" max="158" width="44.5703125" style="40" bestFit="1" customWidth="1"/>
    <col min="159" max="159" width="45.85546875" style="40" bestFit="1" customWidth="1"/>
    <col min="160" max="160" width="48.42578125" style="40" bestFit="1" customWidth="1"/>
    <col min="161" max="161" width="47.28515625" style="40" bestFit="1" customWidth="1"/>
    <col min="162" max="162" width="45.85546875" style="40" bestFit="1" customWidth="1"/>
    <col min="163" max="163" width="49.85546875" style="40" bestFit="1" customWidth="1"/>
    <col min="164" max="164" width="43.5703125" style="40" bestFit="1" customWidth="1"/>
    <col min="165" max="165" width="44.85546875" style="40" bestFit="1" customWidth="1"/>
    <col min="166" max="166" width="45.5703125" style="40" bestFit="1" customWidth="1"/>
    <col min="167" max="167" width="42.85546875" style="40" bestFit="1" customWidth="1"/>
    <col min="168" max="168" width="48.42578125" style="40" bestFit="1" customWidth="1"/>
    <col min="169" max="169" width="45.5703125" style="40" bestFit="1" customWidth="1"/>
    <col min="170" max="170" width="54.42578125" style="40" bestFit="1" customWidth="1"/>
    <col min="171" max="171" width="43.85546875" style="40" bestFit="1" customWidth="1"/>
    <col min="172" max="172" width="22.42578125" style="40" bestFit="1" customWidth="1"/>
    <col min="173" max="173" width="21" style="40" bestFit="1" customWidth="1"/>
    <col min="174" max="174" width="45.85546875" style="40" bestFit="1" customWidth="1"/>
    <col min="175" max="175" width="47.7109375" style="40" bestFit="1" customWidth="1"/>
    <col min="176" max="176" width="34.28515625" style="40" bestFit="1" customWidth="1"/>
    <col min="177" max="177" width="39.85546875" style="40" bestFit="1" customWidth="1"/>
    <col min="178" max="178" width="38" style="40" bestFit="1" customWidth="1"/>
    <col min="179" max="179" width="27.140625" style="40" bestFit="1" customWidth="1"/>
    <col min="180" max="180" width="29.42578125" style="40" bestFit="1" customWidth="1"/>
    <col min="181" max="181" width="19.85546875" style="40" bestFit="1" customWidth="1"/>
    <col min="182" max="182" width="25" style="40" bestFit="1" customWidth="1"/>
    <col min="183" max="183" width="67.7109375" style="40" bestFit="1" customWidth="1"/>
    <col min="184" max="184" width="32.7109375" style="40" bestFit="1" customWidth="1"/>
    <col min="185" max="185" width="21" style="40" bestFit="1" customWidth="1"/>
    <col min="186" max="186" width="20.7109375" style="40" bestFit="1" customWidth="1"/>
    <col min="187" max="187" width="22.42578125" style="40" bestFit="1" customWidth="1"/>
    <col min="188" max="188" width="37.85546875" style="40" bestFit="1" customWidth="1"/>
    <col min="189" max="189" width="16.28515625" style="40" bestFit="1" customWidth="1"/>
    <col min="190" max="190" width="16.5703125" style="40" bestFit="1" customWidth="1"/>
    <col min="191" max="191" width="21.28515625" style="40" bestFit="1" customWidth="1"/>
    <col min="192" max="192" width="21.5703125" style="40" bestFit="1" customWidth="1"/>
    <col min="193" max="193" width="33" style="40" bestFit="1" customWidth="1"/>
    <col min="194" max="194" width="21" style="40" bestFit="1" customWidth="1"/>
    <col min="195" max="195" width="32.42578125" style="40" bestFit="1" customWidth="1"/>
    <col min="196" max="196" width="18.7109375" style="40" bestFit="1" customWidth="1"/>
    <col min="197" max="197" width="15" style="40" bestFit="1" customWidth="1"/>
    <col min="198" max="198" width="31.5703125" style="40" bestFit="1" customWidth="1"/>
    <col min="199" max="199" width="38.85546875" style="40" bestFit="1" customWidth="1"/>
    <col min="200" max="200" width="35.140625" style="40" bestFit="1" customWidth="1"/>
    <col min="201" max="201" width="50" style="40" bestFit="1" customWidth="1"/>
    <col min="202" max="202" width="12.85546875" style="40" bestFit="1" customWidth="1"/>
    <col min="203" max="203" width="12.42578125" style="40" bestFit="1" customWidth="1"/>
    <col min="204" max="204" width="22.140625" style="40" bestFit="1" customWidth="1"/>
    <col min="205" max="205" width="23.7109375" style="40" bestFit="1" customWidth="1"/>
    <col min="206" max="206" width="16.28515625" style="40" bestFit="1" customWidth="1"/>
    <col min="207" max="207" width="13.140625" style="40" bestFit="1" customWidth="1"/>
    <col min="208" max="208" width="15" style="40" bestFit="1" customWidth="1"/>
    <col min="209" max="209" width="26.5703125" style="40" bestFit="1" customWidth="1"/>
    <col min="210" max="210" width="27" style="40" bestFit="1" customWidth="1"/>
    <col min="211" max="211" width="23" style="40" bestFit="1" customWidth="1"/>
    <col min="212" max="212" width="17.140625" style="40" bestFit="1" customWidth="1"/>
    <col min="213" max="213" width="30" style="40" bestFit="1" customWidth="1"/>
    <col min="214" max="214" width="28.85546875" style="40" bestFit="1" customWidth="1"/>
    <col min="215" max="215" width="34.7109375" style="40" bestFit="1" customWidth="1"/>
    <col min="216" max="216" width="44.28515625" style="40" bestFit="1" customWidth="1"/>
    <col min="217" max="217" width="41.85546875" style="40" bestFit="1" customWidth="1"/>
    <col min="218" max="218" width="25" style="40" bestFit="1" customWidth="1"/>
    <col min="219" max="219" width="38" style="40" bestFit="1" customWidth="1"/>
    <col min="220" max="220" width="12.85546875" style="40" bestFit="1" customWidth="1"/>
    <col min="221" max="16384" width="11.42578125" style="40"/>
  </cols>
  <sheetData>
    <row r="1" spans="1:14" x14ac:dyDescent="0.25">
      <c r="A1" s="96">
        <v>12</v>
      </c>
      <c r="B1" s="66" t="s">
        <v>428</v>
      </c>
      <c r="C1" t="s">
        <v>1035</v>
      </c>
      <c r="D1"/>
    </row>
    <row r="2" spans="1:14" x14ac:dyDescent="0.25">
      <c r="A2" s="96">
        <v>13</v>
      </c>
      <c r="B2"/>
      <c r="C2"/>
      <c r="D2"/>
      <c r="N2" s="805"/>
    </row>
    <row r="3" spans="1:14" x14ac:dyDescent="0.25">
      <c r="A3" s="96">
        <v>14</v>
      </c>
      <c r="B3" s="66" t="s">
        <v>709</v>
      </c>
      <c r="C3"/>
      <c r="D3"/>
    </row>
    <row r="4" spans="1:14" x14ac:dyDescent="0.25">
      <c r="A4" s="96">
        <v>15</v>
      </c>
      <c r="B4" s="18" t="s">
        <v>749</v>
      </c>
      <c r="C4" s="154">
        <v>235915199.25999999</v>
      </c>
      <c r="D4"/>
    </row>
    <row r="5" spans="1:14" x14ac:dyDescent="0.25">
      <c r="A5" s="96">
        <v>16</v>
      </c>
      <c r="B5" s="18" t="s">
        <v>751</v>
      </c>
      <c r="C5" s="67">
        <v>199266625.02400002</v>
      </c>
      <c r="D5"/>
    </row>
    <row r="6" spans="1:14" x14ac:dyDescent="0.25">
      <c r="A6" s="96">
        <v>17</v>
      </c>
      <c r="B6" s="18" t="s">
        <v>750</v>
      </c>
      <c r="C6" s="67">
        <v>5581251.9120000107</v>
      </c>
      <c r="D6"/>
    </row>
    <row r="7" spans="1:14" x14ac:dyDescent="0.25">
      <c r="A7" s="96">
        <v>18</v>
      </c>
      <c r="B7"/>
      <c r="C7"/>
      <c r="D7"/>
    </row>
    <row r="8" spans="1:14" x14ac:dyDescent="0.25">
      <c r="A8" s="96">
        <v>19</v>
      </c>
      <c r="B8"/>
      <c r="C8"/>
      <c r="D8"/>
    </row>
    <row r="9" spans="1:14" x14ac:dyDescent="0.25">
      <c r="A9" s="96">
        <v>20</v>
      </c>
      <c r="B9"/>
      <c r="C9"/>
      <c r="D9"/>
    </row>
    <row r="10" spans="1:14" x14ac:dyDescent="0.25">
      <c r="A10" s="96">
        <v>21</v>
      </c>
      <c r="B10"/>
      <c r="C10"/>
      <c r="D10"/>
    </row>
    <row r="11" spans="1:14" x14ac:dyDescent="0.25">
      <c r="A11" s="96">
        <v>22</v>
      </c>
      <c r="B11"/>
      <c r="C11"/>
      <c r="D11"/>
    </row>
    <row r="12" spans="1:14" x14ac:dyDescent="0.25">
      <c r="A12" s="96">
        <v>23</v>
      </c>
      <c r="B12"/>
      <c r="C12"/>
      <c r="D12"/>
    </row>
    <row r="13" spans="1:14" x14ac:dyDescent="0.25">
      <c r="A13" s="96">
        <v>24</v>
      </c>
      <c r="B13"/>
      <c r="C13"/>
      <c r="D13"/>
    </row>
    <row r="14" spans="1:14" x14ac:dyDescent="0.25">
      <c r="A14" s="96">
        <v>25</v>
      </c>
      <c r="B14"/>
      <c r="C14"/>
      <c r="D14"/>
    </row>
    <row r="15" spans="1:14" x14ac:dyDescent="0.25">
      <c r="A15" s="96">
        <v>26</v>
      </c>
      <c r="B15"/>
      <c r="C15"/>
      <c r="D15"/>
    </row>
    <row r="16" spans="1:14" x14ac:dyDescent="0.25">
      <c r="A16" s="96">
        <v>27</v>
      </c>
      <c r="B16"/>
      <c r="C16"/>
      <c r="D16"/>
    </row>
    <row r="17" spans="1:5" x14ac:dyDescent="0.25">
      <c r="A17" s="96">
        <v>28</v>
      </c>
      <c r="B17"/>
      <c r="C17"/>
      <c r="D17"/>
    </row>
    <row r="18" spans="1:5" x14ac:dyDescent="0.25">
      <c r="A18" s="96">
        <v>1</v>
      </c>
      <c r="B18"/>
      <c r="C18"/>
      <c r="D18"/>
    </row>
    <row r="19" spans="1:5" x14ac:dyDescent="0.25">
      <c r="A19" s="96">
        <v>2</v>
      </c>
    </row>
    <row r="20" spans="1:5" x14ac:dyDescent="0.25">
      <c r="A20" s="96">
        <v>3</v>
      </c>
    </row>
    <row r="21" spans="1:5" x14ac:dyDescent="0.25">
      <c r="A21" s="96">
        <v>22</v>
      </c>
    </row>
    <row r="22" spans="1:5" x14ac:dyDescent="0.25">
      <c r="A22" s="96">
        <v>23</v>
      </c>
    </row>
    <row r="23" spans="1:5" ht="22.5" customHeight="1" x14ac:dyDescent="0.25">
      <c r="A23" s="96">
        <v>24</v>
      </c>
    </row>
    <row r="25" spans="1:5" x14ac:dyDescent="0.25">
      <c r="B25"/>
      <c r="C25"/>
      <c r="D25"/>
    </row>
    <row r="26" spans="1:5" x14ac:dyDescent="0.25">
      <c r="B26"/>
      <c r="C26"/>
      <c r="D26"/>
    </row>
    <row r="27" spans="1:5" x14ac:dyDescent="0.25">
      <c r="B27"/>
      <c r="C27"/>
      <c r="D27"/>
    </row>
    <row r="28" spans="1:5" x14ac:dyDescent="0.25">
      <c r="B28" s="66" t="s">
        <v>428</v>
      </c>
      <c r="C28" t="s">
        <v>639</v>
      </c>
      <c r="D28"/>
    </row>
    <row r="29" spans="1:5" x14ac:dyDescent="0.25">
      <c r="B29"/>
      <c r="C29"/>
      <c r="D29"/>
    </row>
    <row r="30" spans="1:5" x14ac:dyDescent="0.25">
      <c r="B30" s="66" t="s">
        <v>709</v>
      </c>
      <c r="C30"/>
      <c r="D30"/>
      <c r="E30"/>
    </row>
    <row r="31" spans="1:5" x14ac:dyDescent="0.25">
      <c r="B31" s="18" t="s">
        <v>749</v>
      </c>
      <c r="C31" s="154">
        <v>26809829.456999999</v>
      </c>
      <c r="D31"/>
      <c r="E31"/>
    </row>
    <row r="32" spans="1:5" x14ac:dyDescent="0.25">
      <c r="B32" s="18" t="s">
        <v>751</v>
      </c>
      <c r="C32" s="67">
        <v>15395909.819</v>
      </c>
      <c r="D32"/>
      <c r="E32"/>
    </row>
    <row r="33" spans="2:5" x14ac:dyDescent="0.25">
      <c r="B33" s="18" t="s">
        <v>750</v>
      </c>
      <c r="C33" s="67">
        <v>2226301.8240000047</v>
      </c>
      <c r="D33"/>
      <c r="E33"/>
    </row>
    <row r="34" spans="2:5" x14ac:dyDescent="0.25">
      <c r="B34"/>
      <c r="C34"/>
      <c r="D34"/>
      <c r="E34"/>
    </row>
    <row r="35" spans="2:5" x14ac:dyDescent="0.25">
      <c r="B35"/>
      <c r="C35"/>
      <c r="D35"/>
      <c r="E35"/>
    </row>
    <row r="36" spans="2:5" x14ac:dyDescent="0.25">
      <c r="B36"/>
      <c r="C36"/>
      <c r="D36"/>
    </row>
    <row r="37" spans="2:5" x14ac:dyDescent="0.25">
      <c r="B37"/>
      <c r="C37"/>
      <c r="D37"/>
    </row>
    <row r="38" spans="2:5" x14ac:dyDescent="0.25">
      <c r="B38"/>
      <c r="C38"/>
      <c r="D38"/>
    </row>
    <row r="39" spans="2:5" x14ac:dyDescent="0.25">
      <c r="B39"/>
      <c r="C39"/>
      <c r="D39"/>
    </row>
    <row r="40" spans="2:5" x14ac:dyDescent="0.25">
      <c r="B40"/>
      <c r="C40"/>
      <c r="D40"/>
    </row>
    <row r="41" spans="2:5" x14ac:dyDescent="0.25">
      <c r="B41"/>
      <c r="C41"/>
      <c r="D41"/>
    </row>
    <row r="42" spans="2:5" x14ac:dyDescent="0.25">
      <c r="B42"/>
      <c r="C42"/>
      <c r="D42"/>
    </row>
    <row r="43" spans="2:5" x14ac:dyDescent="0.25">
      <c r="B43"/>
      <c r="C43"/>
      <c r="D43"/>
    </row>
    <row r="44" spans="2:5" x14ac:dyDescent="0.25">
      <c r="B44"/>
      <c r="C44"/>
      <c r="D44"/>
    </row>
    <row r="45" spans="2:5" x14ac:dyDescent="0.25">
      <c r="B45"/>
      <c r="C45"/>
      <c r="D45"/>
    </row>
    <row r="46" spans="2:5" x14ac:dyDescent="0.25">
      <c r="B46"/>
      <c r="C46"/>
      <c r="D46"/>
    </row>
    <row r="47" spans="2:5" x14ac:dyDescent="0.25">
      <c r="B47"/>
      <c r="C47"/>
      <c r="D47"/>
    </row>
    <row r="48" spans="2:5" x14ac:dyDescent="0.25">
      <c r="B48"/>
      <c r="C48"/>
      <c r="D48"/>
    </row>
    <row r="49" spans="2:5" x14ac:dyDescent="0.25">
      <c r="B49"/>
      <c r="C49"/>
      <c r="D49"/>
    </row>
    <row r="50" spans="2:5" x14ac:dyDescent="0.25">
      <c r="B50"/>
      <c r="C50"/>
      <c r="D50"/>
    </row>
    <row r="51" spans="2:5" x14ac:dyDescent="0.25">
      <c r="B51"/>
      <c r="C51"/>
      <c r="D51"/>
    </row>
    <row r="52" spans="2:5" x14ac:dyDescent="0.25">
      <c r="B52"/>
      <c r="C52"/>
      <c r="D52"/>
    </row>
    <row r="53" spans="2:5" x14ac:dyDescent="0.25">
      <c r="B53"/>
      <c r="C53"/>
      <c r="D53"/>
    </row>
    <row r="54" spans="2:5" x14ac:dyDescent="0.25">
      <c r="B54"/>
      <c r="C54"/>
      <c r="D54"/>
    </row>
    <row r="55" spans="2:5" x14ac:dyDescent="0.25">
      <c r="B55" s="66" t="s">
        <v>428</v>
      </c>
      <c r="C55" t="s">
        <v>247</v>
      </c>
    </row>
    <row r="57" spans="2:5" x14ac:dyDescent="0.25">
      <c r="B57" s="66" t="s">
        <v>709</v>
      </c>
      <c r="C57"/>
      <c r="D57"/>
    </row>
    <row r="58" spans="2:5" x14ac:dyDescent="0.25">
      <c r="B58" s="18" t="s">
        <v>749</v>
      </c>
      <c r="C58" s="154">
        <v>2963573.2809999995</v>
      </c>
      <c r="D58"/>
    </row>
    <row r="59" spans="2:5" x14ac:dyDescent="0.25">
      <c r="B59" s="18" t="s">
        <v>751</v>
      </c>
      <c r="C59" s="67">
        <v>3107055.3620000007</v>
      </c>
      <c r="D59"/>
    </row>
    <row r="60" spans="2:5" x14ac:dyDescent="0.25">
      <c r="B60" s="18" t="s">
        <v>750</v>
      </c>
      <c r="C60" s="67">
        <v>1714208.3569999998</v>
      </c>
      <c r="D60"/>
    </row>
    <row r="61" spans="2:5" x14ac:dyDescent="0.25">
      <c r="B61"/>
      <c r="C61"/>
      <c r="D61"/>
    </row>
    <row r="62" spans="2:5" x14ac:dyDescent="0.25">
      <c r="B62"/>
      <c r="C62"/>
      <c r="D62"/>
      <c r="E62"/>
    </row>
    <row r="63" spans="2:5" x14ac:dyDescent="0.25">
      <c r="B63"/>
      <c r="C63"/>
      <c r="D63"/>
      <c r="E63"/>
    </row>
    <row r="64" spans="2:5" x14ac:dyDescent="0.25">
      <c r="B64"/>
      <c r="C64"/>
      <c r="D64"/>
      <c r="E64"/>
    </row>
    <row r="65" spans="2:5" x14ac:dyDescent="0.25">
      <c r="B65"/>
      <c r="C65"/>
      <c r="D65"/>
      <c r="E65"/>
    </row>
    <row r="66" spans="2:5" x14ac:dyDescent="0.25">
      <c r="B66"/>
      <c r="C66"/>
      <c r="D66"/>
      <c r="E66"/>
    </row>
    <row r="67" spans="2:5" x14ac:dyDescent="0.25">
      <c r="B67"/>
      <c r="C67"/>
      <c r="D67"/>
      <c r="E67"/>
    </row>
    <row r="68" spans="2:5" x14ac:dyDescent="0.25">
      <c r="B68"/>
      <c r="C68"/>
      <c r="D68"/>
    </row>
    <row r="69" spans="2:5" x14ac:dyDescent="0.25">
      <c r="B69"/>
      <c r="C69"/>
      <c r="D69"/>
    </row>
    <row r="70" spans="2:5" x14ac:dyDescent="0.25">
      <c r="B70"/>
      <c r="C70"/>
      <c r="D70"/>
    </row>
    <row r="71" spans="2:5" x14ac:dyDescent="0.25">
      <c r="B71"/>
      <c r="C71"/>
      <c r="D71"/>
    </row>
    <row r="72" spans="2:5" x14ac:dyDescent="0.25">
      <c r="B72"/>
      <c r="C72"/>
      <c r="D72"/>
    </row>
    <row r="73" spans="2:5" x14ac:dyDescent="0.25">
      <c r="B73"/>
      <c r="C73"/>
      <c r="D73"/>
    </row>
    <row r="74" spans="2:5" x14ac:dyDescent="0.25">
      <c r="B74"/>
      <c r="C74"/>
      <c r="D74"/>
    </row>
    <row r="75" spans="2:5" x14ac:dyDescent="0.25">
      <c r="B75"/>
      <c r="C75"/>
      <c r="D75"/>
    </row>
    <row r="76" spans="2:5" x14ac:dyDescent="0.25">
      <c r="B76"/>
      <c r="C76"/>
      <c r="D76"/>
    </row>
    <row r="77" spans="2:5" x14ac:dyDescent="0.25">
      <c r="B77"/>
      <c r="C77"/>
      <c r="D77"/>
    </row>
    <row r="78" spans="2:5" x14ac:dyDescent="0.25">
      <c r="B78"/>
      <c r="C78"/>
      <c r="D78"/>
    </row>
    <row r="83" spans="2:5" x14ac:dyDescent="0.25">
      <c r="B83" s="66" t="s">
        <v>428</v>
      </c>
      <c r="C83" t="s">
        <v>248</v>
      </c>
    </row>
    <row r="84" spans="2:5" x14ac:dyDescent="0.25">
      <c r="B84"/>
      <c r="C84"/>
      <c r="D84"/>
    </row>
    <row r="85" spans="2:5" x14ac:dyDescent="0.25">
      <c r="B85" s="66" t="s">
        <v>709</v>
      </c>
      <c r="C85"/>
      <c r="D85"/>
    </row>
    <row r="86" spans="2:5" x14ac:dyDescent="0.25">
      <c r="B86" s="18" t="s">
        <v>749</v>
      </c>
      <c r="C86" s="154">
        <v>206141796.52199998</v>
      </c>
      <c r="D86"/>
      <c r="E86"/>
    </row>
    <row r="87" spans="2:5" x14ac:dyDescent="0.25">
      <c r="B87" s="18" t="s">
        <v>751</v>
      </c>
      <c r="C87" s="67">
        <v>123342927.84300002</v>
      </c>
      <c r="D87"/>
      <c r="E87"/>
    </row>
    <row r="88" spans="2:5" x14ac:dyDescent="0.25">
      <c r="B88" s="18" t="s">
        <v>750</v>
      </c>
      <c r="C88" s="67">
        <v>1640741.7310000062</v>
      </c>
      <c r="D88"/>
      <c r="E88"/>
    </row>
    <row r="89" spans="2:5" x14ac:dyDescent="0.25">
      <c r="B89"/>
      <c r="C89"/>
      <c r="D89"/>
      <c r="E89"/>
    </row>
    <row r="90" spans="2:5" x14ac:dyDescent="0.25">
      <c r="B90"/>
      <c r="C90"/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</row>
    <row r="93" spans="2:5" x14ac:dyDescent="0.25">
      <c r="B93"/>
      <c r="C93"/>
      <c r="D93"/>
    </row>
    <row r="94" spans="2:5" x14ac:dyDescent="0.25">
      <c r="B94"/>
      <c r="C94"/>
      <c r="D94"/>
    </row>
    <row r="95" spans="2:5" x14ac:dyDescent="0.25">
      <c r="B95"/>
      <c r="C95"/>
      <c r="D95"/>
    </row>
    <row r="96" spans="2:5" x14ac:dyDescent="0.25">
      <c r="B96"/>
      <c r="C96"/>
      <c r="D96"/>
    </row>
    <row r="97" spans="2:4" x14ac:dyDescent="0.25">
      <c r="B97"/>
      <c r="C97"/>
      <c r="D97"/>
    </row>
    <row r="98" spans="2:4" x14ac:dyDescent="0.25">
      <c r="B98"/>
      <c r="C98"/>
      <c r="D98"/>
    </row>
    <row r="99" spans="2:4" x14ac:dyDescent="0.25">
      <c r="B99"/>
      <c r="C99"/>
      <c r="D99"/>
    </row>
    <row r="100" spans="2:4" x14ac:dyDescent="0.25">
      <c r="B100"/>
      <c r="C100"/>
      <c r="D100"/>
    </row>
    <row r="101" spans="2:4" x14ac:dyDescent="0.25">
      <c r="B101"/>
      <c r="C101"/>
      <c r="D101"/>
    </row>
    <row r="102" spans="2:4" x14ac:dyDescent="0.25">
      <c r="B102"/>
      <c r="C102"/>
      <c r="D102"/>
    </row>
    <row r="111" spans="2:4" x14ac:dyDescent="0.25">
      <c r="B111" s="66" t="s">
        <v>428</v>
      </c>
      <c r="C111" t="s">
        <v>630</v>
      </c>
    </row>
    <row r="113" spans="2:4" x14ac:dyDescent="0.25">
      <c r="B113" s="66" t="s">
        <v>709</v>
      </c>
      <c r="C113"/>
      <c r="D113"/>
    </row>
    <row r="114" spans="2:4" x14ac:dyDescent="0.25">
      <c r="B114" s="18" t="s">
        <v>749</v>
      </c>
      <c r="C114" s="154">
        <v>0</v>
      </c>
      <c r="D114"/>
    </row>
    <row r="115" spans="2:4" x14ac:dyDescent="0.25">
      <c r="B115" s="18" t="s">
        <v>751</v>
      </c>
      <c r="C115" s="67">
        <v>57420732</v>
      </c>
      <c r="D115"/>
    </row>
    <row r="116" spans="2:4" x14ac:dyDescent="0.25">
      <c r="B116" s="18" t="s">
        <v>750</v>
      </c>
      <c r="C116" s="67">
        <v>0</v>
      </c>
      <c r="D116"/>
    </row>
    <row r="117" spans="2:4" x14ac:dyDescent="0.25">
      <c r="B117"/>
      <c r="C117"/>
      <c r="D117"/>
    </row>
    <row r="118" spans="2:4" x14ac:dyDescent="0.25">
      <c r="B118"/>
      <c r="C118"/>
      <c r="D118"/>
    </row>
    <row r="119" spans="2:4" x14ac:dyDescent="0.25">
      <c r="B119"/>
      <c r="C119"/>
      <c r="D119"/>
    </row>
    <row r="120" spans="2:4" x14ac:dyDescent="0.25">
      <c r="B120"/>
      <c r="C120"/>
      <c r="D120"/>
    </row>
    <row r="121" spans="2:4" x14ac:dyDescent="0.25">
      <c r="B121"/>
      <c r="C121"/>
      <c r="D121"/>
    </row>
    <row r="122" spans="2:4" x14ac:dyDescent="0.25">
      <c r="B122"/>
      <c r="C122"/>
      <c r="D122"/>
    </row>
    <row r="123" spans="2:4" x14ac:dyDescent="0.25">
      <c r="B123"/>
      <c r="C123"/>
      <c r="D123"/>
    </row>
    <row r="124" spans="2:4" x14ac:dyDescent="0.25">
      <c r="B124"/>
      <c r="C124"/>
      <c r="D124"/>
    </row>
    <row r="125" spans="2:4" x14ac:dyDescent="0.25">
      <c r="B125"/>
      <c r="C125"/>
      <c r="D125"/>
    </row>
    <row r="126" spans="2:4" x14ac:dyDescent="0.25">
      <c r="B126"/>
      <c r="C126"/>
      <c r="D126"/>
    </row>
    <row r="127" spans="2:4" x14ac:dyDescent="0.25">
      <c r="B127"/>
      <c r="C127"/>
      <c r="D127"/>
    </row>
    <row r="128" spans="2:4" x14ac:dyDescent="0.25">
      <c r="B128"/>
      <c r="C128"/>
      <c r="D128"/>
    </row>
    <row r="129" spans="2:4" x14ac:dyDescent="0.25">
      <c r="B129"/>
      <c r="C129"/>
      <c r="D129"/>
    </row>
    <row r="130" spans="2:4" x14ac:dyDescent="0.25">
      <c r="B130"/>
      <c r="C130"/>
      <c r="D130"/>
    </row>
    <row r="140" spans="2:4" x14ac:dyDescent="0.25">
      <c r="B140" s="66" t="s">
        <v>1036</v>
      </c>
      <c r="C140" t="s">
        <v>1038</v>
      </c>
      <c r="D140" t="s">
        <v>1039</v>
      </c>
    </row>
    <row r="141" spans="2:4" x14ac:dyDescent="0.25">
      <c r="B141" s="18" t="s">
        <v>639</v>
      </c>
      <c r="C141" s="492">
        <v>0.60338955387309445</v>
      </c>
      <c r="D141" s="492">
        <v>0.58890845105766154</v>
      </c>
    </row>
    <row r="142" spans="2:4" x14ac:dyDescent="0.25">
      <c r="B142" s="18" t="s">
        <v>247</v>
      </c>
      <c r="C142" s="492">
        <v>0.38068533496590867</v>
      </c>
      <c r="D142" s="492">
        <v>0.41747682965108618</v>
      </c>
    </row>
    <row r="143" spans="2:4" x14ac:dyDescent="0.25">
      <c r="B143" s="18" t="s">
        <v>248</v>
      </c>
      <c r="C143" s="492">
        <v>0.62254890556268871</v>
      </c>
      <c r="D143" s="492">
        <v>0.62518901188190312</v>
      </c>
    </row>
    <row r="144" spans="2:4" x14ac:dyDescent="0.25">
      <c r="B144" s="18" t="s">
        <v>630</v>
      </c>
      <c r="C144" s="492">
        <v>0</v>
      </c>
      <c r="D144" s="492">
        <v>0.16713335035815413</v>
      </c>
    </row>
    <row r="145" spans="2:4" x14ac:dyDescent="0.25">
      <c r="B145" s="18" t="s">
        <v>1037</v>
      </c>
      <c r="C145" s="492">
        <v>1.6066237944016919</v>
      </c>
      <c r="D145" s="492">
        <v>1.7987076429488051</v>
      </c>
    </row>
    <row r="146" spans="2:4" x14ac:dyDescent="0.25">
      <c r="B146"/>
      <c r="C146"/>
      <c r="D146"/>
    </row>
    <row r="147" spans="2:4" x14ac:dyDescent="0.25">
      <c r="B147"/>
      <c r="C147"/>
      <c r="D147"/>
    </row>
    <row r="148" spans="2:4" x14ac:dyDescent="0.25">
      <c r="B148"/>
      <c r="C148"/>
      <c r="D148"/>
    </row>
    <row r="149" spans="2:4" x14ac:dyDescent="0.25">
      <c r="B149"/>
      <c r="C149"/>
      <c r="D149"/>
    </row>
    <row r="150" spans="2:4" x14ac:dyDescent="0.25">
      <c r="B150"/>
      <c r="C150"/>
      <c r="D150"/>
    </row>
    <row r="151" spans="2:4" x14ac:dyDescent="0.25">
      <c r="B151"/>
      <c r="C151"/>
      <c r="D151"/>
    </row>
    <row r="152" spans="2:4" x14ac:dyDescent="0.25">
      <c r="B152"/>
      <c r="C152"/>
      <c r="D152"/>
    </row>
    <row r="153" spans="2:4" x14ac:dyDescent="0.25">
      <c r="B153"/>
      <c r="C153"/>
      <c r="D153"/>
    </row>
    <row r="154" spans="2:4" x14ac:dyDescent="0.25">
      <c r="B154"/>
      <c r="C154"/>
      <c r="D154"/>
    </row>
    <row r="155" spans="2:4" x14ac:dyDescent="0.25">
      <c r="B155"/>
      <c r="C155"/>
      <c r="D155"/>
    </row>
    <row r="156" spans="2:4" x14ac:dyDescent="0.25">
      <c r="B156"/>
      <c r="C156"/>
      <c r="D156"/>
    </row>
    <row r="157" spans="2:4" x14ac:dyDescent="0.25">
      <c r="B157"/>
      <c r="C157"/>
      <c r="D157"/>
    </row>
    <row r="170" spans="2:4" x14ac:dyDescent="0.25">
      <c r="B170" s="66" t="s">
        <v>736</v>
      </c>
      <c r="C170" t="s">
        <v>1040</v>
      </c>
    </row>
    <row r="172" spans="2:4" x14ac:dyDescent="0.25">
      <c r="B172" s="66" t="s">
        <v>1036</v>
      </c>
      <c r="C172" t="s">
        <v>1038</v>
      </c>
      <c r="D172" t="s">
        <v>1039</v>
      </c>
    </row>
    <row r="173" spans="2:4" x14ac:dyDescent="0.25">
      <c r="B173" s="18" t="s">
        <v>15</v>
      </c>
      <c r="C173" s="493">
        <v>0.38033914718411277</v>
      </c>
      <c r="D173" s="493">
        <v>0.41085360673649474</v>
      </c>
    </row>
    <row r="174" spans="2:4" x14ac:dyDescent="0.25">
      <c r="B174" s="18" t="s">
        <v>16</v>
      </c>
      <c r="C174" s="493">
        <v>0.5800971388117625</v>
      </c>
      <c r="D174" s="493">
        <v>0.57919348783097047</v>
      </c>
    </row>
    <row r="175" spans="2:4" x14ac:dyDescent="0.25">
      <c r="B175" s="18" t="s">
        <v>146</v>
      </c>
      <c r="C175" s="493">
        <v>0.2038390854085434</v>
      </c>
      <c r="D175" s="493">
        <v>0.53929177117341498</v>
      </c>
    </row>
    <row r="176" spans="2:4" x14ac:dyDescent="0.25">
      <c r="B176" s="18" t="s">
        <v>145</v>
      </c>
      <c r="C176" s="493">
        <v>0.90371385263916493</v>
      </c>
      <c r="D176" s="493">
        <v>0.92259114831834244</v>
      </c>
    </row>
    <row r="177" spans="2:4" x14ac:dyDescent="0.25">
      <c r="B177" s="18" t="s">
        <v>147</v>
      </c>
      <c r="C177" s="493">
        <v>0.32265599813754131</v>
      </c>
      <c r="D177" s="493">
        <v>0.36757191192907823</v>
      </c>
    </row>
    <row r="178" spans="2:4" x14ac:dyDescent="0.25">
      <c r="B178" s="18" t="s">
        <v>1037</v>
      </c>
      <c r="C178" s="493">
        <v>2.3906452221811247</v>
      </c>
      <c r="D178" s="493">
        <v>2.819501925988301</v>
      </c>
    </row>
    <row r="179" spans="2:4" x14ac:dyDescent="0.25">
      <c r="B179"/>
      <c r="C179"/>
      <c r="D179"/>
    </row>
    <row r="180" spans="2:4" x14ac:dyDescent="0.25">
      <c r="B180"/>
      <c r="C180"/>
      <c r="D180"/>
    </row>
    <row r="181" spans="2:4" x14ac:dyDescent="0.25">
      <c r="B181"/>
      <c r="C181"/>
      <c r="D181"/>
    </row>
    <row r="182" spans="2:4" x14ac:dyDescent="0.25">
      <c r="B182"/>
      <c r="C182"/>
      <c r="D182"/>
    </row>
    <row r="183" spans="2:4" x14ac:dyDescent="0.25">
      <c r="B183"/>
      <c r="C183"/>
      <c r="D183"/>
    </row>
    <row r="184" spans="2:4" x14ac:dyDescent="0.25">
      <c r="B184"/>
      <c r="C184"/>
      <c r="D184"/>
    </row>
    <row r="185" spans="2:4" x14ac:dyDescent="0.25">
      <c r="B185"/>
      <c r="C185"/>
      <c r="D185"/>
    </row>
    <row r="186" spans="2:4" x14ac:dyDescent="0.25">
      <c r="B186"/>
      <c r="C186"/>
      <c r="D186"/>
    </row>
    <row r="187" spans="2:4" x14ac:dyDescent="0.25">
      <c r="B187"/>
      <c r="C187"/>
      <c r="D187"/>
    </row>
    <row r="188" spans="2:4" x14ac:dyDescent="0.25">
      <c r="B188"/>
      <c r="C188"/>
      <c r="D188"/>
    </row>
    <row r="189" spans="2:4" x14ac:dyDescent="0.25">
      <c r="B189"/>
      <c r="C189"/>
      <c r="D189"/>
    </row>
    <row r="190" spans="2:4" x14ac:dyDescent="0.25">
      <c r="B190"/>
      <c r="C190"/>
      <c r="D190"/>
    </row>
    <row r="191" spans="2:4" x14ac:dyDescent="0.25">
      <c r="B191"/>
      <c r="C191"/>
      <c r="D191"/>
    </row>
    <row r="192" spans="2:4" x14ac:dyDescent="0.25">
      <c r="B192"/>
      <c r="C192"/>
      <c r="D192"/>
    </row>
    <row r="193" spans="2:4" x14ac:dyDescent="0.25">
      <c r="B193"/>
      <c r="C193"/>
      <c r="D193"/>
    </row>
    <row r="194" spans="2:4" x14ac:dyDescent="0.25">
      <c r="B194"/>
      <c r="C194"/>
      <c r="D194"/>
    </row>
    <row r="195" spans="2:4" x14ac:dyDescent="0.25">
      <c r="B195"/>
      <c r="C195"/>
      <c r="D195"/>
    </row>
    <row r="196" spans="2:4" x14ac:dyDescent="0.25">
      <c r="B196"/>
      <c r="C196"/>
      <c r="D196"/>
    </row>
    <row r="197" spans="2:4" x14ac:dyDescent="0.25">
      <c r="B197"/>
      <c r="C197"/>
      <c r="D197"/>
    </row>
    <row r="198" spans="2:4" x14ac:dyDescent="0.25">
      <c r="B198"/>
      <c r="C198"/>
      <c r="D198"/>
    </row>
    <row r="199" spans="2:4" x14ac:dyDescent="0.25">
      <c r="B199"/>
      <c r="C199"/>
      <c r="D199"/>
    </row>
    <row r="200" spans="2:4" x14ac:dyDescent="0.25">
      <c r="B200"/>
      <c r="C200"/>
      <c r="D200"/>
    </row>
    <row r="201" spans="2:4" x14ac:dyDescent="0.25">
      <c r="B201" s="66" t="s">
        <v>736</v>
      </c>
      <c r="C201" t="s">
        <v>1040</v>
      </c>
      <c r="D201"/>
    </row>
    <row r="202" spans="2:4" x14ac:dyDescent="0.25">
      <c r="B202"/>
      <c r="C202"/>
      <c r="D202"/>
    </row>
    <row r="203" spans="2:4" x14ac:dyDescent="0.25">
      <c r="B203" s="66" t="s">
        <v>1036</v>
      </c>
      <c r="C203" t="s">
        <v>1041</v>
      </c>
      <c r="D203" t="s">
        <v>1042</v>
      </c>
    </row>
    <row r="204" spans="2:4" x14ac:dyDescent="0.25">
      <c r="B204" s="18" t="s">
        <v>15</v>
      </c>
      <c r="C204" s="154">
        <v>2943989</v>
      </c>
      <c r="D204" s="154">
        <v>4547359.0000000009</v>
      </c>
    </row>
    <row r="205" spans="2:4" x14ac:dyDescent="0.25">
      <c r="B205" s="18" t="s">
        <v>16</v>
      </c>
      <c r="C205" s="154">
        <v>20227650.999999996</v>
      </c>
      <c r="D205" s="154">
        <v>19832144.999999996</v>
      </c>
    </row>
    <row r="206" spans="2:4" x14ac:dyDescent="0.25">
      <c r="B206" s="18" t="s">
        <v>146</v>
      </c>
      <c r="C206" s="154">
        <v>8610052</v>
      </c>
      <c r="D206" s="154">
        <v>8610052</v>
      </c>
    </row>
    <row r="207" spans="2:4" x14ac:dyDescent="0.25">
      <c r="B207" s="18" t="s">
        <v>145</v>
      </c>
      <c r="C207" s="154">
        <v>86148546</v>
      </c>
      <c r="D207" s="154">
        <v>88008486</v>
      </c>
    </row>
    <row r="208" spans="2:4" x14ac:dyDescent="0.25">
      <c r="B208" s="18" t="s">
        <v>147</v>
      </c>
      <c r="C208" s="154">
        <v>296545699</v>
      </c>
      <c r="D208" s="154">
        <v>255747970</v>
      </c>
    </row>
    <row r="209" spans="2:4" x14ac:dyDescent="0.25">
      <c r="B209" s="18" t="s">
        <v>1037</v>
      </c>
      <c r="C209" s="154">
        <v>414475937</v>
      </c>
      <c r="D209" s="154">
        <v>376746012</v>
      </c>
    </row>
    <row r="210" spans="2:4" x14ac:dyDescent="0.25">
      <c r="B210"/>
      <c r="C210"/>
      <c r="D210"/>
    </row>
    <row r="211" spans="2:4" x14ac:dyDescent="0.25">
      <c r="B211"/>
      <c r="C211"/>
      <c r="D211"/>
    </row>
    <row r="212" spans="2:4" x14ac:dyDescent="0.25">
      <c r="B212"/>
      <c r="C212"/>
      <c r="D212"/>
    </row>
    <row r="213" spans="2:4" x14ac:dyDescent="0.25">
      <c r="B213"/>
      <c r="C213"/>
      <c r="D213"/>
    </row>
    <row r="214" spans="2:4" x14ac:dyDescent="0.25">
      <c r="B214"/>
      <c r="C214"/>
      <c r="D214"/>
    </row>
    <row r="215" spans="2:4" x14ac:dyDescent="0.25">
      <c r="B215"/>
      <c r="C215"/>
      <c r="D215"/>
    </row>
    <row r="216" spans="2:4" x14ac:dyDescent="0.25">
      <c r="B216"/>
      <c r="C216"/>
      <c r="D216"/>
    </row>
    <row r="217" spans="2:4" x14ac:dyDescent="0.25">
      <c r="B217"/>
      <c r="C217"/>
      <c r="D217"/>
    </row>
    <row r="218" spans="2:4" x14ac:dyDescent="0.25">
      <c r="B218"/>
      <c r="C218"/>
      <c r="D218"/>
    </row>
    <row r="219" spans="2:4" x14ac:dyDescent="0.25">
      <c r="B219"/>
      <c r="C219"/>
      <c r="D219"/>
    </row>
    <row r="220" spans="2:4" x14ac:dyDescent="0.25">
      <c r="B220"/>
      <c r="C220"/>
      <c r="D220"/>
    </row>
    <row r="221" spans="2:4" x14ac:dyDescent="0.25">
      <c r="B221"/>
      <c r="C221"/>
      <c r="D221"/>
    </row>
    <row r="222" spans="2:4" x14ac:dyDescent="0.25">
      <c r="B222"/>
      <c r="C222"/>
      <c r="D222"/>
    </row>
    <row r="223" spans="2:4" x14ac:dyDescent="0.25">
      <c r="B223"/>
      <c r="C223"/>
      <c r="D223"/>
    </row>
    <row r="224" spans="2:4" x14ac:dyDescent="0.25">
      <c r="B224"/>
      <c r="C224"/>
      <c r="D224"/>
    </row>
    <row r="225" spans="2:4" x14ac:dyDescent="0.25">
      <c r="B225"/>
      <c r="C225"/>
      <c r="D225"/>
    </row>
    <row r="226" spans="2:4" x14ac:dyDescent="0.25">
      <c r="B226"/>
      <c r="C226"/>
      <c r="D226"/>
    </row>
    <row r="227" spans="2:4" x14ac:dyDescent="0.25">
      <c r="B227"/>
      <c r="C227"/>
      <c r="D227"/>
    </row>
    <row r="228" spans="2:4" x14ac:dyDescent="0.25">
      <c r="B228"/>
      <c r="C228"/>
      <c r="D228"/>
    </row>
    <row r="229" spans="2:4" x14ac:dyDescent="0.25">
      <c r="B229"/>
      <c r="C229"/>
      <c r="D229"/>
    </row>
    <row r="230" spans="2:4" x14ac:dyDescent="0.25">
      <c r="B230"/>
      <c r="C230"/>
      <c r="D230"/>
    </row>
    <row r="231" spans="2:4" x14ac:dyDescent="0.25">
      <c r="B231"/>
      <c r="C231"/>
      <c r="D231"/>
    </row>
    <row r="232" spans="2:4" x14ac:dyDescent="0.25">
      <c r="B232"/>
      <c r="C232"/>
      <c r="D232"/>
    </row>
    <row r="233" spans="2:4" x14ac:dyDescent="0.25">
      <c r="B233"/>
      <c r="C233"/>
      <c r="D233"/>
    </row>
    <row r="234" spans="2:4" x14ac:dyDescent="0.25">
      <c r="B234"/>
      <c r="C234"/>
      <c r="D234"/>
    </row>
    <row r="235" spans="2:4" x14ac:dyDescent="0.25">
      <c r="B235"/>
      <c r="C235"/>
      <c r="D235"/>
    </row>
    <row r="236" spans="2:4" x14ac:dyDescent="0.25">
      <c r="B236"/>
      <c r="C236"/>
      <c r="D236"/>
    </row>
    <row r="237" spans="2:4" x14ac:dyDescent="0.25">
      <c r="B237"/>
      <c r="C237"/>
      <c r="D237"/>
    </row>
    <row r="238" spans="2:4" x14ac:dyDescent="0.25">
      <c r="B238"/>
      <c r="C238"/>
      <c r="D238"/>
    </row>
    <row r="239" spans="2:4" x14ac:dyDescent="0.25">
      <c r="B239"/>
      <c r="C239"/>
      <c r="D239"/>
    </row>
    <row r="240" spans="2:4" x14ac:dyDescent="0.25">
      <c r="B240"/>
      <c r="C240"/>
      <c r="D240"/>
    </row>
    <row r="241" spans="2:4" x14ac:dyDescent="0.25">
      <c r="B241"/>
      <c r="C241"/>
      <c r="D241"/>
    </row>
    <row r="242" spans="2:4" x14ac:dyDescent="0.25">
      <c r="B242"/>
      <c r="C242"/>
      <c r="D242"/>
    </row>
    <row r="243" spans="2:4" x14ac:dyDescent="0.25">
      <c r="B243"/>
      <c r="C243"/>
      <c r="D243"/>
    </row>
    <row r="244" spans="2:4" x14ac:dyDescent="0.25">
      <c r="B244"/>
      <c r="C244"/>
      <c r="D244"/>
    </row>
    <row r="245" spans="2:4" x14ac:dyDescent="0.25">
      <c r="B245"/>
      <c r="C245"/>
      <c r="D245"/>
    </row>
    <row r="246" spans="2:4" x14ac:dyDescent="0.25">
      <c r="B246"/>
      <c r="C246"/>
      <c r="D246"/>
    </row>
    <row r="247" spans="2:4" x14ac:dyDescent="0.25">
      <c r="B247"/>
      <c r="C247"/>
      <c r="D247"/>
    </row>
    <row r="248" spans="2:4" x14ac:dyDescent="0.25">
      <c r="B248"/>
      <c r="C248"/>
      <c r="D248"/>
    </row>
    <row r="249" spans="2:4" x14ac:dyDescent="0.25">
      <c r="B249"/>
      <c r="C249"/>
      <c r="D249"/>
    </row>
    <row r="250" spans="2:4" x14ac:dyDescent="0.25">
      <c r="B250"/>
      <c r="C250"/>
      <c r="D250"/>
    </row>
    <row r="251" spans="2:4" x14ac:dyDescent="0.25">
      <c r="B251"/>
      <c r="C251"/>
      <c r="D251"/>
    </row>
    <row r="252" spans="2:4" x14ac:dyDescent="0.25">
      <c r="B252"/>
      <c r="C252"/>
      <c r="D252"/>
    </row>
    <row r="253" spans="2:4" x14ac:dyDescent="0.25">
      <c r="B253"/>
      <c r="C253"/>
      <c r="D253"/>
    </row>
    <row r="254" spans="2:4" x14ac:dyDescent="0.25">
      <c r="B254"/>
      <c r="C254"/>
      <c r="D254"/>
    </row>
    <row r="255" spans="2:4" x14ac:dyDescent="0.25">
      <c r="B255"/>
      <c r="C255"/>
      <c r="D255"/>
    </row>
    <row r="256" spans="2:4" x14ac:dyDescent="0.25">
      <c r="B256"/>
      <c r="C256"/>
      <c r="D256"/>
    </row>
    <row r="257" spans="2:4" x14ac:dyDescent="0.25">
      <c r="B257"/>
      <c r="C257"/>
      <c r="D257"/>
    </row>
    <row r="258" spans="2:4" x14ac:dyDescent="0.25">
      <c r="B258"/>
      <c r="C258"/>
      <c r="D258"/>
    </row>
    <row r="259" spans="2:4" x14ac:dyDescent="0.25">
      <c r="B259"/>
      <c r="C259"/>
      <c r="D259"/>
    </row>
    <row r="260" spans="2:4" x14ac:dyDescent="0.25">
      <c r="B260"/>
      <c r="C260"/>
      <c r="D260"/>
    </row>
    <row r="261" spans="2:4" x14ac:dyDescent="0.25">
      <c r="B261"/>
      <c r="C261"/>
      <c r="D261"/>
    </row>
    <row r="262" spans="2:4" x14ac:dyDescent="0.25">
      <c r="B262"/>
      <c r="C262"/>
      <c r="D262"/>
    </row>
    <row r="263" spans="2:4" x14ac:dyDescent="0.25">
      <c r="B263"/>
      <c r="C263"/>
      <c r="D263"/>
    </row>
    <row r="264" spans="2:4" x14ac:dyDescent="0.25">
      <c r="B264"/>
      <c r="C264"/>
      <c r="D264"/>
    </row>
    <row r="265" spans="2:4" x14ac:dyDescent="0.25">
      <c r="B265"/>
      <c r="C265"/>
      <c r="D265"/>
    </row>
    <row r="266" spans="2:4" x14ac:dyDescent="0.25">
      <c r="B266"/>
      <c r="C266"/>
      <c r="D266"/>
    </row>
    <row r="267" spans="2:4" x14ac:dyDescent="0.25">
      <c r="B267"/>
      <c r="C267"/>
      <c r="D267"/>
    </row>
    <row r="268" spans="2:4" x14ac:dyDescent="0.25">
      <c r="B268"/>
      <c r="C268"/>
      <c r="D268"/>
    </row>
    <row r="269" spans="2:4" x14ac:dyDescent="0.25">
      <c r="B269"/>
      <c r="C269"/>
      <c r="D269"/>
    </row>
    <row r="270" spans="2:4" x14ac:dyDescent="0.25">
      <c r="B270"/>
      <c r="C270"/>
      <c r="D270"/>
    </row>
    <row r="271" spans="2:4" x14ac:dyDescent="0.25">
      <c r="B271"/>
      <c r="C271"/>
      <c r="D271"/>
    </row>
    <row r="272" spans="2:4" x14ac:dyDescent="0.25">
      <c r="B272"/>
      <c r="C272"/>
      <c r="D272"/>
    </row>
    <row r="273" spans="2:4" x14ac:dyDescent="0.25">
      <c r="B273"/>
      <c r="C273"/>
      <c r="D273"/>
    </row>
    <row r="274" spans="2:4" x14ac:dyDescent="0.25">
      <c r="B274"/>
      <c r="C274"/>
      <c r="D274"/>
    </row>
    <row r="275" spans="2:4" x14ac:dyDescent="0.25">
      <c r="B275"/>
      <c r="C275"/>
      <c r="D275"/>
    </row>
    <row r="276" spans="2:4" x14ac:dyDescent="0.25">
      <c r="B276"/>
      <c r="C276"/>
      <c r="D276"/>
    </row>
    <row r="277" spans="2:4" x14ac:dyDescent="0.25">
      <c r="B277"/>
      <c r="C277"/>
      <c r="D277"/>
    </row>
    <row r="278" spans="2:4" x14ac:dyDescent="0.25">
      <c r="B278"/>
      <c r="C278"/>
      <c r="D278"/>
    </row>
    <row r="279" spans="2:4" x14ac:dyDescent="0.25">
      <c r="B279"/>
      <c r="C279"/>
      <c r="D279"/>
    </row>
    <row r="280" spans="2:4" x14ac:dyDescent="0.25">
      <c r="B280"/>
      <c r="C280"/>
      <c r="D280"/>
    </row>
    <row r="281" spans="2:4" x14ac:dyDescent="0.25">
      <c r="B281"/>
      <c r="C281"/>
      <c r="D281"/>
    </row>
    <row r="282" spans="2:4" x14ac:dyDescent="0.25">
      <c r="B282"/>
      <c r="C282"/>
      <c r="D282"/>
    </row>
    <row r="283" spans="2:4" x14ac:dyDescent="0.25">
      <c r="B283"/>
      <c r="C283"/>
      <c r="D283"/>
    </row>
    <row r="284" spans="2:4" x14ac:dyDescent="0.25">
      <c r="B284"/>
      <c r="C284"/>
      <c r="D284"/>
    </row>
    <row r="285" spans="2:4" x14ac:dyDescent="0.25">
      <c r="B285"/>
      <c r="C285"/>
      <c r="D285"/>
    </row>
    <row r="286" spans="2:4" x14ac:dyDescent="0.25">
      <c r="B286"/>
      <c r="C286"/>
      <c r="D286"/>
    </row>
    <row r="287" spans="2:4" x14ac:dyDescent="0.25">
      <c r="B287"/>
      <c r="C287"/>
      <c r="D287"/>
    </row>
    <row r="288" spans="2:4" x14ac:dyDescent="0.25">
      <c r="B288"/>
      <c r="C288"/>
      <c r="D288"/>
    </row>
    <row r="289" spans="2:4" x14ac:dyDescent="0.25">
      <c r="B289"/>
      <c r="C289"/>
      <c r="D289"/>
    </row>
    <row r="290" spans="2:4" x14ac:dyDescent="0.25">
      <c r="B290"/>
      <c r="C290"/>
      <c r="D290"/>
    </row>
    <row r="291" spans="2:4" x14ac:dyDescent="0.25">
      <c r="B291"/>
      <c r="C291"/>
      <c r="D291"/>
    </row>
    <row r="292" spans="2:4" x14ac:dyDescent="0.25">
      <c r="B292"/>
      <c r="C292"/>
      <c r="D292"/>
    </row>
    <row r="293" spans="2:4" x14ac:dyDescent="0.25">
      <c r="B293"/>
      <c r="C293"/>
      <c r="D293"/>
    </row>
    <row r="294" spans="2:4" x14ac:dyDescent="0.25">
      <c r="B294"/>
      <c r="C294"/>
      <c r="D294"/>
    </row>
    <row r="295" spans="2:4" x14ac:dyDescent="0.25">
      <c r="B295"/>
      <c r="C295"/>
      <c r="D295"/>
    </row>
    <row r="296" spans="2:4" x14ac:dyDescent="0.25">
      <c r="B296"/>
      <c r="C296"/>
      <c r="D296"/>
    </row>
    <row r="297" spans="2:4" x14ac:dyDescent="0.25">
      <c r="B297"/>
      <c r="C297"/>
      <c r="D297"/>
    </row>
    <row r="298" spans="2:4" x14ac:dyDescent="0.25">
      <c r="B298"/>
      <c r="C298"/>
      <c r="D298"/>
    </row>
    <row r="299" spans="2:4" x14ac:dyDescent="0.25">
      <c r="B299"/>
      <c r="C299"/>
      <c r="D299"/>
    </row>
    <row r="300" spans="2:4" x14ac:dyDescent="0.25">
      <c r="B300"/>
      <c r="C300"/>
      <c r="D300"/>
    </row>
    <row r="301" spans="2:4" x14ac:dyDescent="0.25">
      <c r="B301"/>
      <c r="C301"/>
      <c r="D301"/>
    </row>
    <row r="302" spans="2:4" x14ac:dyDescent="0.25">
      <c r="B302"/>
      <c r="C302"/>
      <c r="D302"/>
    </row>
    <row r="303" spans="2:4" x14ac:dyDescent="0.25">
      <c r="B303"/>
      <c r="C303"/>
      <c r="D303"/>
    </row>
    <row r="304" spans="2:4" x14ac:dyDescent="0.25">
      <c r="B304"/>
      <c r="C304"/>
      <c r="D304"/>
    </row>
    <row r="305" spans="2:4" x14ac:dyDescent="0.25">
      <c r="B305"/>
      <c r="C305"/>
      <c r="D305"/>
    </row>
    <row r="306" spans="2:4" x14ac:dyDescent="0.25">
      <c r="B306"/>
      <c r="C306"/>
      <c r="D306"/>
    </row>
    <row r="307" spans="2:4" x14ac:dyDescent="0.25">
      <c r="B307"/>
      <c r="C307"/>
      <c r="D307"/>
    </row>
    <row r="308" spans="2:4" x14ac:dyDescent="0.25">
      <c r="B308"/>
      <c r="C308"/>
      <c r="D308"/>
    </row>
    <row r="309" spans="2:4" x14ac:dyDescent="0.25">
      <c r="B309"/>
      <c r="C309"/>
      <c r="D309"/>
    </row>
    <row r="310" spans="2:4" x14ac:dyDescent="0.25">
      <c r="B310"/>
      <c r="C310"/>
      <c r="D310"/>
    </row>
    <row r="311" spans="2:4" x14ac:dyDescent="0.25">
      <c r="B311"/>
      <c r="C311"/>
      <c r="D311"/>
    </row>
    <row r="312" spans="2:4" x14ac:dyDescent="0.25">
      <c r="B312"/>
      <c r="C312"/>
      <c r="D312"/>
    </row>
    <row r="313" spans="2:4" x14ac:dyDescent="0.25">
      <c r="B313"/>
      <c r="C313"/>
      <c r="D313"/>
    </row>
    <row r="314" spans="2:4" x14ac:dyDescent="0.25">
      <c r="B314"/>
      <c r="C314"/>
      <c r="D314"/>
    </row>
    <row r="315" spans="2:4" x14ac:dyDescent="0.25">
      <c r="B315"/>
      <c r="C315"/>
      <c r="D315"/>
    </row>
    <row r="316" spans="2:4" x14ac:dyDescent="0.25">
      <c r="B316"/>
      <c r="C316"/>
      <c r="D316"/>
    </row>
    <row r="317" spans="2:4" x14ac:dyDescent="0.25">
      <c r="B317"/>
      <c r="C317"/>
      <c r="D317"/>
    </row>
    <row r="318" spans="2:4" x14ac:dyDescent="0.25">
      <c r="B318"/>
      <c r="C318"/>
      <c r="D318"/>
    </row>
    <row r="319" spans="2:4" x14ac:dyDescent="0.25">
      <c r="B319"/>
      <c r="C319"/>
      <c r="D319"/>
    </row>
    <row r="320" spans="2:4" x14ac:dyDescent="0.25">
      <c r="B320"/>
      <c r="C320"/>
      <c r="D320"/>
    </row>
    <row r="321" spans="2:4" x14ac:dyDescent="0.25">
      <c r="B321"/>
      <c r="C321"/>
      <c r="D321"/>
    </row>
    <row r="322" spans="2:4" x14ac:dyDescent="0.25">
      <c r="B322"/>
      <c r="C322"/>
      <c r="D322"/>
    </row>
    <row r="323" spans="2:4" x14ac:dyDescent="0.25">
      <c r="B323"/>
      <c r="C323"/>
      <c r="D323"/>
    </row>
    <row r="324" spans="2:4" x14ac:dyDescent="0.25">
      <c r="B324"/>
      <c r="C324"/>
      <c r="D324"/>
    </row>
    <row r="325" spans="2:4" x14ac:dyDescent="0.25">
      <c r="B325"/>
      <c r="C325"/>
      <c r="D325"/>
    </row>
    <row r="326" spans="2:4" x14ac:dyDescent="0.25">
      <c r="B326"/>
      <c r="C326"/>
      <c r="D326"/>
    </row>
    <row r="327" spans="2:4" x14ac:dyDescent="0.25">
      <c r="B327"/>
      <c r="C327"/>
      <c r="D327"/>
    </row>
    <row r="328" spans="2:4" x14ac:dyDescent="0.25">
      <c r="B328"/>
      <c r="C328"/>
      <c r="D328"/>
    </row>
    <row r="329" spans="2:4" x14ac:dyDescent="0.25">
      <c r="B329"/>
      <c r="C329"/>
      <c r="D329"/>
    </row>
    <row r="330" spans="2:4" x14ac:dyDescent="0.25">
      <c r="B330"/>
      <c r="C330"/>
      <c r="D330"/>
    </row>
    <row r="331" spans="2:4" x14ac:dyDescent="0.25">
      <c r="B331"/>
      <c r="C331"/>
      <c r="D331"/>
    </row>
    <row r="332" spans="2:4" x14ac:dyDescent="0.25">
      <c r="B332"/>
      <c r="C332"/>
      <c r="D332"/>
    </row>
    <row r="333" spans="2:4" x14ac:dyDescent="0.25">
      <c r="B333"/>
      <c r="C333"/>
      <c r="D333"/>
    </row>
    <row r="334" spans="2:4" x14ac:dyDescent="0.25">
      <c r="B334"/>
      <c r="C334"/>
      <c r="D334"/>
    </row>
    <row r="335" spans="2:4" x14ac:dyDescent="0.25">
      <c r="B335"/>
      <c r="C335"/>
      <c r="D335"/>
    </row>
    <row r="336" spans="2:4" x14ac:dyDescent="0.25">
      <c r="B336"/>
      <c r="C336"/>
      <c r="D336"/>
    </row>
    <row r="337" spans="2:4" x14ac:dyDescent="0.25">
      <c r="B337"/>
      <c r="C337"/>
      <c r="D337"/>
    </row>
    <row r="338" spans="2:4" x14ac:dyDescent="0.25">
      <c r="B338"/>
      <c r="C338"/>
      <c r="D338"/>
    </row>
    <row r="339" spans="2:4" x14ac:dyDescent="0.25">
      <c r="B339"/>
      <c r="C339"/>
      <c r="D339"/>
    </row>
    <row r="340" spans="2:4" x14ac:dyDescent="0.25">
      <c r="B340"/>
      <c r="C340"/>
      <c r="D340"/>
    </row>
    <row r="341" spans="2:4" x14ac:dyDescent="0.25">
      <c r="B341"/>
      <c r="C341"/>
      <c r="D341"/>
    </row>
    <row r="342" spans="2:4" x14ac:dyDescent="0.25">
      <c r="B342"/>
      <c r="C342"/>
      <c r="D342"/>
    </row>
    <row r="343" spans="2:4" x14ac:dyDescent="0.25">
      <c r="B343"/>
      <c r="C343"/>
      <c r="D343"/>
    </row>
    <row r="344" spans="2:4" x14ac:dyDescent="0.25">
      <c r="B344"/>
      <c r="C344"/>
      <c r="D344"/>
    </row>
    <row r="345" spans="2:4" x14ac:dyDescent="0.25">
      <c r="B345"/>
      <c r="C345"/>
      <c r="D345"/>
    </row>
    <row r="346" spans="2:4" x14ac:dyDescent="0.25">
      <c r="B346"/>
      <c r="C346"/>
      <c r="D346"/>
    </row>
    <row r="347" spans="2:4" x14ac:dyDescent="0.25">
      <c r="B347"/>
      <c r="C347"/>
      <c r="D347"/>
    </row>
    <row r="348" spans="2:4" x14ac:dyDescent="0.25">
      <c r="B348"/>
      <c r="C348"/>
      <c r="D348"/>
    </row>
    <row r="349" spans="2:4" x14ac:dyDescent="0.25">
      <c r="B349"/>
      <c r="C349"/>
      <c r="D349"/>
    </row>
    <row r="350" spans="2:4" x14ac:dyDescent="0.25">
      <c r="B350"/>
      <c r="C350"/>
      <c r="D350"/>
    </row>
    <row r="351" spans="2:4" x14ac:dyDescent="0.25">
      <c r="B351"/>
      <c r="C351"/>
      <c r="D351"/>
    </row>
    <row r="352" spans="2:4" x14ac:dyDescent="0.25">
      <c r="B352"/>
      <c r="C352"/>
      <c r="D352"/>
    </row>
    <row r="353" spans="2:4" x14ac:dyDescent="0.25">
      <c r="B353"/>
      <c r="C353"/>
      <c r="D353"/>
    </row>
    <row r="354" spans="2:4" x14ac:dyDescent="0.25">
      <c r="B354"/>
      <c r="C354"/>
      <c r="D354"/>
    </row>
    <row r="355" spans="2:4" x14ac:dyDescent="0.25">
      <c r="B355"/>
      <c r="C355"/>
      <c r="D355"/>
    </row>
    <row r="356" spans="2:4" x14ac:dyDescent="0.25">
      <c r="B356"/>
      <c r="C356"/>
      <c r="D356"/>
    </row>
    <row r="357" spans="2:4" x14ac:dyDescent="0.25">
      <c r="B357"/>
      <c r="C357"/>
      <c r="D357"/>
    </row>
    <row r="358" spans="2:4" x14ac:dyDescent="0.25">
      <c r="B358"/>
      <c r="C358"/>
      <c r="D358"/>
    </row>
    <row r="359" spans="2:4" x14ac:dyDescent="0.25">
      <c r="B359"/>
      <c r="C359"/>
      <c r="D359"/>
    </row>
    <row r="360" spans="2:4" x14ac:dyDescent="0.25">
      <c r="B360"/>
      <c r="C360"/>
      <c r="D360"/>
    </row>
    <row r="361" spans="2:4" x14ac:dyDescent="0.25">
      <c r="B361"/>
      <c r="C361"/>
      <c r="D361"/>
    </row>
    <row r="362" spans="2:4" x14ac:dyDescent="0.25">
      <c r="B362"/>
      <c r="C362"/>
      <c r="D362"/>
    </row>
    <row r="363" spans="2:4" x14ac:dyDescent="0.25">
      <c r="B363"/>
      <c r="C363"/>
      <c r="D363"/>
    </row>
    <row r="364" spans="2:4" x14ac:dyDescent="0.25">
      <c r="B364"/>
      <c r="C364"/>
      <c r="D364"/>
    </row>
    <row r="365" spans="2:4" x14ac:dyDescent="0.25">
      <c r="B365"/>
      <c r="C365"/>
      <c r="D365"/>
    </row>
    <row r="366" spans="2:4" x14ac:dyDescent="0.25">
      <c r="B366"/>
      <c r="C366"/>
      <c r="D366"/>
    </row>
    <row r="367" spans="2:4" x14ac:dyDescent="0.25">
      <c r="B367"/>
      <c r="C367"/>
      <c r="D367"/>
    </row>
    <row r="368" spans="2:4" x14ac:dyDescent="0.25">
      <c r="B368"/>
      <c r="C368"/>
      <c r="D368"/>
    </row>
    <row r="369" spans="2:4" x14ac:dyDescent="0.25">
      <c r="B369"/>
      <c r="C369"/>
      <c r="D369"/>
    </row>
    <row r="370" spans="2:4" x14ac:dyDescent="0.25">
      <c r="B370"/>
      <c r="C370"/>
      <c r="D370"/>
    </row>
    <row r="371" spans="2:4" x14ac:dyDescent="0.25">
      <c r="B371"/>
      <c r="C371"/>
      <c r="D371"/>
    </row>
    <row r="372" spans="2:4" x14ac:dyDescent="0.25">
      <c r="B372"/>
      <c r="C372"/>
      <c r="D372"/>
    </row>
    <row r="373" spans="2:4" x14ac:dyDescent="0.25">
      <c r="B373"/>
      <c r="C373"/>
      <c r="D373"/>
    </row>
    <row r="374" spans="2:4" x14ac:dyDescent="0.25">
      <c r="B374"/>
      <c r="C374"/>
      <c r="D374"/>
    </row>
    <row r="375" spans="2:4" x14ac:dyDescent="0.25">
      <c r="B375"/>
      <c r="C375"/>
      <c r="D375"/>
    </row>
    <row r="376" spans="2:4" x14ac:dyDescent="0.25">
      <c r="B376"/>
      <c r="C376"/>
      <c r="D376"/>
    </row>
    <row r="377" spans="2:4" x14ac:dyDescent="0.25">
      <c r="B377"/>
      <c r="C377"/>
      <c r="D377"/>
    </row>
    <row r="378" spans="2:4" x14ac:dyDescent="0.25">
      <c r="B378"/>
      <c r="C378"/>
      <c r="D378"/>
    </row>
    <row r="379" spans="2:4" x14ac:dyDescent="0.25">
      <c r="B379"/>
      <c r="C379"/>
      <c r="D379"/>
    </row>
    <row r="380" spans="2:4" x14ac:dyDescent="0.25">
      <c r="B380"/>
      <c r="C380"/>
      <c r="D380"/>
    </row>
    <row r="381" spans="2:4" x14ac:dyDescent="0.25">
      <c r="B381"/>
      <c r="C381"/>
      <c r="D381"/>
    </row>
    <row r="382" spans="2:4" x14ac:dyDescent="0.25">
      <c r="B382"/>
      <c r="C382"/>
      <c r="D382"/>
    </row>
    <row r="383" spans="2:4" x14ac:dyDescent="0.25">
      <c r="B383"/>
      <c r="C383"/>
      <c r="D383"/>
    </row>
    <row r="384" spans="2:4" x14ac:dyDescent="0.25">
      <c r="B384"/>
      <c r="C384"/>
      <c r="D384"/>
    </row>
    <row r="385" spans="2:4" x14ac:dyDescent="0.25">
      <c r="B385"/>
      <c r="C385"/>
      <c r="D385"/>
    </row>
    <row r="386" spans="2:4" x14ac:dyDescent="0.25">
      <c r="B386"/>
      <c r="C386"/>
      <c r="D386"/>
    </row>
    <row r="387" spans="2:4" x14ac:dyDescent="0.25">
      <c r="B387"/>
      <c r="C387"/>
      <c r="D387"/>
    </row>
    <row r="388" spans="2:4" x14ac:dyDescent="0.25">
      <c r="B388"/>
      <c r="C388"/>
      <c r="D388"/>
    </row>
    <row r="389" spans="2:4" x14ac:dyDescent="0.25">
      <c r="B389"/>
      <c r="C389"/>
      <c r="D389"/>
    </row>
    <row r="390" spans="2:4" x14ac:dyDescent="0.25">
      <c r="B390"/>
      <c r="C390"/>
      <c r="D390"/>
    </row>
    <row r="391" spans="2:4" x14ac:dyDescent="0.25">
      <c r="B391"/>
      <c r="C391"/>
      <c r="D391"/>
    </row>
    <row r="392" spans="2:4" x14ac:dyDescent="0.25">
      <c r="B392"/>
      <c r="C392"/>
      <c r="D392"/>
    </row>
    <row r="393" spans="2:4" x14ac:dyDescent="0.25">
      <c r="B393"/>
      <c r="C393"/>
      <c r="D393"/>
    </row>
    <row r="394" spans="2:4" x14ac:dyDescent="0.25">
      <c r="B394"/>
      <c r="C394"/>
      <c r="D394"/>
    </row>
    <row r="395" spans="2:4" x14ac:dyDescent="0.25">
      <c r="B395"/>
      <c r="C395"/>
      <c r="D395"/>
    </row>
    <row r="396" spans="2:4" x14ac:dyDescent="0.25">
      <c r="B396"/>
      <c r="C396"/>
      <c r="D396"/>
    </row>
    <row r="397" spans="2:4" x14ac:dyDescent="0.25">
      <c r="B397"/>
      <c r="C397"/>
      <c r="D397"/>
    </row>
    <row r="398" spans="2:4" x14ac:dyDescent="0.25">
      <c r="B398"/>
      <c r="C398"/>
      <c r="D398"/>
    </row>
    <row r="399" spans="2:4" x14ac:dyDescent="0.25">
      <c r="B399"/>
      <c r="C399"/>
      <c r="D399"/>
    </row>
    <row r="400" spans="2:4" x14ac:dyDescent="0.25">
      <c r="B400"/>
      <c r="C400"/>
      <c r="D400"/>
    </row>
    <row r="401" spans="2:4" x14ac:dyDescent="0.25">
      <c r="B401"/>
      <c r="C401"/>
      <c r="D401"/>
    </row>
    <row r="402" spans="2:4" x14ac:dyDescent="0.25">
      <c r="B402"/>
      <c r="C402"/>
      <c r="D402"/>
    </row>
    <row r="403" spans="2:4" x14ac:dyDescent="0.25">
      <c r="B403"/>
      <c r="C403"/>
      <c r="D403"/>
    </row>
    <row r="404" spans="2:4" x14ac:dyDescent="0.25">
      <c r="B404"/>
      <c r="C404"/>
      <c r="D404"/>
    </row>
    <row r="405" spans="2:4" x14ac:dyDescent="0.25">
      <c r="B405"/>
      <c r="C405"/>
      <c r="D405"/>
    </row>
    <row r="406" spans="2:4" x14ac:dyDescent="0.25">
      <c r="B406"/>
      <c r="C406"/>
      <c r="D406"/>
    </row>
    <row r="407" spans="2:4" x14ac:dyDescent="0.25">
      <c r="B407"/>
      <c r="C407"/>
      <c r="D407"/>
    </row>
    <row r="408" spans="2:4" x14ac:dyDescent="0.25">
      <c r="B408"/>
      <c r="C408"/>
      <c r="D408"/>
    </row>
    <row r="409" spans="2:4" x14ac:dyDescent="0.25">
      <c r="B409"/>
      <c r="C409"/>
      <c r="D409"/>
    </row>
    <row r="410" spans="2:4" x14ac:dyDescent="0.25">
      <c r="B410"/>
      <c r="C410"/>
      <c r="D410"/>
    </row>
    <row r="411" spans="2:4" x14ac:dyDescent="0.25">
      <c r="B411"/>
      <c r="C411"/>
      <c r="D411"/>
    </row>
    <row r="412" spans="2:4" x14ac:dyDescent="0.25">
      <c r="B412"/>
      <c r="C412"/>
      <c r="D412"/>
    </row>
    <row r="413" spans="2:4" x14ac:dyDescent="0.25">
      <c r="B413"/>
      <c r="C413"/>
      <c r="D413"/>
    </row>
    <row r="414" spans="2:4" x14ac:dyDescent="0.25">
      <c r="B414"/>
      <c r="C414"/>
      <c r="D414"/>
    </row>
    <row r="415" spans="2:4" x14ac:dyDescent="0.25">
      <c r="B415"/>
      <c r="C415"/>
      <c r="D415"/>
    </row>
    <row r="416" spans="2:4" x14ac:dyDescent="0.25">
      <c r="B416"/>
      <c r="C416"/>
      <c r="D416"/>
    </row>
    <row r="417" spans="2:4" x14ac:dyDescent="0.25">
      <c r="B417"/>
      <c r="C417"/>
      <c r="D417"/>
    </row>
    <row r="418" spans="2:4" x14ac:dyDescent="0.25">
      <c r="B418"/>
      <c r="C418"/>
      <c r="D418"/>
    </row>
    <row r="419" spans="2:4" x14ac:dyDescent="0.25">
      <c r="B419"/>
      <c r="C419"/>
      <c r="D419"/>
    </row>
    <row r="420" spans="2:4" x14ac:dyDescent="0.25">
      <c r="B420"/>
      <c r="C420"/>
      <c r="D420"/>
    </row>
    <row r="421" spans="2:4" x14ac:dyDescent="0.25">
      <c r="B421"/>
      <c r="C421"/>
      <c r="D421"/>
    </row>
    <row r="422" spans="2:4" x14ac:dyDescent="0.25">
      <c r="B422"/>
      <c r="C422"/>
      <c r="D422"/>
    </row>
    <row r="423" spans="2:4" x14ac:dyDescent="0.25">
      <c r="B423"/>
      <c r="C423"/>
      <c r="D423"/>
    </row>
    <row r="424" spans="2:4" x14ac:dyDescent="0.25">
      <c r="B424"/>
      <c r="C424"/>
      <c r="D424"/>
    </row>
    <row r="425" spans="2:4" x14ac:dyDescent="0.25">
      <c r="B425"/>
      <c r="C425"/>
      <c r="D425"/>
    </row>
    <row r="426" spans="2:4" x14ac:dyDescent="0.25">
      <c r="B426"/>
      <c r="C426"/>
      <c r="D426"/>
    </row>
    <row r="427" spans="2:4" x14ac:dyDescent="0.25">
      <c r="B427"/>
      <c r="C427"/>
      <c r="D427"/>
    </row>
    <row r="428" spans="2:4" x14ac:dyDescent="0.25">
      <c r="B428"/>
      <c r="C428"/>
      <c r="D428"/>
    </row>
    <row r="429" spans="2:4" x14ac:dyDescent="0.25">
      <c r="B429"/>
      <c r="C429"/>
      <c r="D429"/>
    </row>
    <row r="430" spans="2:4" x14ac:dyDescent="0.25">
      <c r="B430"/>
    </row>
    <row r="431" spans="2:4" x14ac:dyDescent="0.25">
      <c r="B431"/>
    </row>
    <row r="432" spans="2:4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</sheetData>
  <pageMargins left="0.7" right="0.7" top="0.75" bottom="0.75" header="0.3" footer="0.3"/>
  <pageSetup orientation="portrait" verticalDpi="0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5DFDD"/>
  </sheetPr>
  <dimension ref="A1:HL57"/>
  <sheetViews>
    <sheetView showGridLines="0" topLeftCell="CJ1" zoomScale="80" zoomScaleNormal="80" workbookViewId="0">
      <selection activeCell="DZ21" sqref="DZ21"/>
    </sheetView>
  </sheetViews>
  <sheetFormatPr baseColWidth="10" defaultColWidth="11.42578125" defaultRowHeight="15" x14ac:dyDescent="0.25"/>
  <cols>
    <col min="1" max="1" width="19.5703125" style="204" hidden="1" customWidth="1"/>
    <col min="2" max="2" width="28.42578125" style="213" hidden="1" customWidth="1"/>
    <col min="3" max="3" width="17.42578125" style="204" hidden="1" customWidth="1"/>
    <col min="4" max="4" width="24.7109375" style="213" hidden="1" customWidth="1"/>
    <col min="5" max="10" width="17.42578125" style="204" hidden="1" customWidth="1"/>
    <col min="11" max="11" width="5" style="204" hidden="1" customWidth="1"/>
    <col min="12" max="12" width="0" style="204" hidden="1" customWidth="1"/>
    <col min="13" max="13" width="17.140625" style="204" hidden="1" customWidth="1"/>
    <col min="14" max="14" width="24.85546875" style="213" hidden="1" customWidth="1"/>
    <col min="15" max="15" width="12.85546875" style="204" hidden="1" customWidth="1"/>
    <col min="16" max="16" width="21.7109375" style="204" hidden="1" customWidth="1"/>
    <col min="17" max="17" width="12.85546875" style="204" hidden="1" customWidth="1"/>
    <col min="18" max="18" width="12.5703125" style="204" hidden="1" customWidth="1"/>
    <col min="19" max="19" width="6.140625" style="204" hidden="1" customWidth="1"/>
    <col min="20" max="20" width="12.42578125" style="204" hidden="1" customWidth="1"/>
    <col min="21" max="21" width="16.5703125" style="213" hidden="1" customWidth="1"/>
    <col min="22" max="22" width="16.42578125" style="204" hidden="1" customWidth="1"/>
    <col min="23" max="23" width="13.85546875" style="213" hidden="1" customWidth="1"/>
    <col min="24" max="26" width="11.42578125" style="204" hidden="1" customWidth="1"/>
    <col min="27" max="27" width="13.7109375" style="204" hidden="1" customWidth="1"/>
    <col min="28" max="28" width="14" style="204" hidden="1" customWidth="1"/>
    <col min="29" max="29" width="10" style="204" hidden="1" customWidth="1"/>
    <col min="30" max="38" width="11.42578125" style="204" hidden="1" customWidth="1"/>
    <col min="39" max="39" width="7.5703125" style="204" hidden="1" customWidth="1"/>
    <col min="40" max="42" width="11.42578125" style="204" hidden="1" customWidth="1"/>
    <col min="43" max="43" width="23.85546875" style="204" hidden="1" customWidth="1"/>
    <col min="44" max="46" width="11.42578125" style="224" hidden="1" customWidth="1"/>
    <col min="47" max="51" width="11.42578125" style="204" hidden="1" customWidth="1"/>
    <col min="52" max="52" width="47.85546875" style="204" hidden="1" customWidth="1"/>
    <col min="53" max="53" width="11.42578125" style="204" hidden="1" customWidth="1"/>
    <col min="54" max="54" width="9.42578125" style="204" hidden="1" customWidth="1"/>
    <col min="55" max="55" width="13.5703125" style="204" hidden="1" customWidth="1"/>
    <col min="56" max="58" width="11.42578125" style="204" hidden="1" customWidth="1"/>
    <col min="59" max="59" width="15.7109375" style="204" hidden="1" customWidth="1"/>
    <col min="60" max="60" width="11.42578125" style="204" hidden="1" customWidth="1"/>
    <col min="61" max="61" width="11.42578125" style="213" hidden="1" customWidth="1"/>
    <col min="62" max="69" width="11.42578125" style="204" hidden="1" customWidth="1"/>
    <col min="70" max="70" width="12" style="204" hidden="1" customWidth="1"/>
    <col min="71" max="71" width="47.85546875" style="213" hidden="1" customWidth="1"/>
    <col min="72" max="72" width="15.85546875" style="204" hidden="1" customWidth="1"/>
    <col min="73" max="73" width="35" style="204" hidden="1" customWidth="1"/>
    <col min="74" max="74" width="13.140625" style="204" hidden="1" customWidth="1"/>
    <col min="75" max="75" width="11" style="204" hidden="1" customWidth="1"/>
    <col min="76" max="76" width="11.42578125" style="204" hidden="1" customWidth="1"/>
    <col min="77" max="77" width="12" style="204" hidden="1" customWidth="1"/>
    <col min="78" max="78" width="47.85546875" style="204" hidden="1" customWidth="1"/>
    <col min="79" max="79" width="11.28515625" style="204" hidden="1" customWidth="1"/>
    <col min="80" max="80" width="44.85546875" style="204" hidden="1" customWidth="1"/>
    <col min="81" max="81" width="56.5703125" style="204" hidden="1" customWidth="1"/>
    <col min="82" max="83" width="14.5703125" style="204" hidden="1" customWidth="1"/>
    <col min="84" max="84" width="14.28515625" style="204" hidden="1" customWidth="1"/>
    <col min="85" max="85" width="11.42578125" style="204" hidden="1" customWidth="1"/>
    <col min="86" max="86" width="11.28515625" style="204" hidden="1" customWidth="1"/>
    <col min="87" max="87" width="11" style="204" hidden="1" customWidth="1"/>
    <col min="88" max="88" width="11.42578125" style="204" customWidth="1"/>
    <col min="89" max="95" width="11.42578125" style="204" hidden="1" customWidth="1"/>
    <col min="96" max="96" width="9.7109375" style="204" hidden="1" customWidth="1"/>
    <col min="97" max="97" width="14.140625" style="204" hidden="1" customWidth="1"/>
    <col min="98" max="99" width="11.42578125" style="204" hidden="1" customWidth="1"/>
    <col min="100" max="102" width="14.5703125" style="204" hidden="1" customWidth="1"/>
    <col min="103" max="107" width="11.42578125" style="204" hidden="1" customWidth="1"/>
    <col min="108" max="108" width="26.85546875" style="204" hidden="1" customWidth="1"/>
    <col min="109" max="115" width="11.42578125" style="204" hidden="1" customWidth="1"/>
    <col min="116" max="116" width="11.42578125" style="213" hidden="1" customWidth="1"/>
    <col min="117" max="117" width="11.42578125" style="204" hidden="1" customWidth="1"/>
    <col min="118" max="118" width="22.28515625" style="213" hidden="1" customWidth="1"/>
    <col min="119" max="125" width="11.42578125" style="204" hidden="1" customWidth="1"/>
    <col min="126" max="126" width="5.28515625" style="204" customWidth="1"/>
    <col min="127" max="127" width="8.85546875" style="204" customWidth="1"/>
    <col min="128" max="128" width="17.140625" style="299" customWidth="1"/>
    <col min="129" max="129" width="11" style="204" customWidth="1"/>
    <col min="130" max="130" width="30.28515625" style="300" customWidth="1"/>
    <col min="131" max="131" width="5.28515625" style="204" hidden="1" customWidth="1"/>
    <col min="132" max="132" width="10.42578125" style="204" customWidth="1"/>
    <col min="133" max="135" width="11.42578125" style="204" customWidth="1"/>
    <col min="136" max="136" width="20.7109375" style="213" customWidth="1"/>
    <col min="137" max="137" width="11.42578125" style="213" customWidth="1"/>
    <col min="138" max="138" width="18.7109375" style="213" customWidth="1"/>
    <col min="139" max="141" width="11.42578125" style="204" hidden="1" customWidth="1"/>
    <col min="142" max="144" width="11.42578125" style="260" customWidth="1"/>
    <col min="145" max="146" width="11.42578125" style="204" customWidth="1"/>
    <col min="147" max="147" width="11.42578125" style="204" hidden="1" customWidth="1"/>
    <col min="148" max="148" width="43.5703125" style="213" hidden="1" customWidth="1"/>
    <col min="149" max="155" width="11.42578125" style="204" hidden="1" customWidth="1"/>
    <col min="156" max="158" width="11.42578125" style="213" hidden="1" customWidth="1"/>
    <col min="159" max="166" width="11.42578125" style="204" hidden="1" customWidth="1"/>
    <col min="167" max="167" width="12" style="204" hidden="1" customWidth="1"/>
    <col min="168" max="168" width="47.85546875" style="204" hidden="1" customWidth="1"/>
    <col min="169" max="169" width="11.28515625" style="204" hidden="1" customWidth="1"/>
    <col min="170" max="170" width="35" style="204" hidden="1" customWidth="1"/>
    <col min="171" max="171" width="14.28515625" style="204" hidden="1" customWidth="1"/>
    <col min="172" max="172" width="20.28515625" style="204" hidden="1" customWidth="1"/>
    <col min="173" max="173" width="11.42578125" style="204" hidden="1" customWidth="1"/>
    <col min="174" max="174" width="12" style="204" hidden="1" customWidth="1"/>
    <col min="175" max="175" width="47.85546875" style="204" hidden="1" customWidth="1"/>
    <col min="176" max="176" width="11.28515625" style="204" hidden="1" customWidth="1"/>
    <col min="177" max="177" width="44.85546875" style="204" hidden="1" customWidth="1"/>
    <col min="178" max="180" width="18.140625" style="204" hidden="1" customWidth="1"/>
    <col min="181" max="183" width="17.140625" style="204" hidden="1" customWidth="1"/>
    <col min="184" max="186" width="11.42578125" style="204" hidden="1" customWidth="1"/>
    <col min="187" max="187" width="28.5703125" style="204" hidden="1" customWidth="1"/>
    <col min="188" max="196" width="11.42578125" style="204" hidden="1" customWidth="1"/>
    <col min="197" max="199" width="11.42578125" style="257" hidden="1" customWidth="1"/>
    <col min="200" max="204" width="11.42578125" style="204" hidden="1" customWidth="1"/>
    <col min="205" max="206" width="11.42578125" style="300" hidden="1" customWidth="1"/>
    <col min="207" max="207" width="21.7109375" style="300" hidden="1" customWidth="1"/>
    <col min="208" max="211" width="11.42578125" style="204" hidden="1" customWidth="1"/>
    <col min="212" max="212" width="17" style="204" hidden="1" customWidth="1"/>
    <col min="213" max="213" width="11.42578125" style="204" hidden="1" customWidth="1"/>
    <col min="214" max="214" width="27.85546875" style="204" hidden="1" customWidth="1"/>
    <col min="215" max="217" width="13.28515625" style="225" hidden="1" customWidth="1"/>
    <col min="218" max="218" width="11.42578125" style="48" hidden="1" customWidth="1"/>
    <col min="219" max="220" width="11.42578125" style="225" hidden="1" customWidth="1"/>
    <col min="221" max="270" width="11.42578125" style="204" customWidth="1"/>
    <col min="271" max="16384" width="11.42578125" style="204"/>
  </cols>
  <sheetData>
    <row r="1" spans="1:220" s="256" customFormat="1" ht="12" x14ac:dyDescent="0.2">
      <c r="A1" s="1285" t="s">
        <v>889</v>
      </c>
      <c r="B1" s="1286"/>
      <c r="C1" s="1286"/>
      <c r="D1" s="1286"/>
      <c r="H1" s="256">
        <v>1000</v>
      </c>
      <c r="I1" s="256">
        <v>1.042</v>
      </c>
      <c r="M1" s="1286" t="s">
        <v>135</v>
      </c>
      <c r="N1" s="1286"/>
      <c r="O1" s="1286"/>
      <c r="P1" s="1286"/>
      <c r="Q1" s="256">
        <v>1000</v>
      </c>
      <c r="R1" s="256">
        <v>1.042</v>
      </c>
      <c r="T1" s="1286" t="s">
        <v>900</v>
      </c>
      <c r="U1" s="1286"/>
      <c r="V1" s="1286"/>
      <c r="W1" s="1286"/>
      <c r="X1" s="1286"/>
      <c r="Y1" s="1286"/>
      <c r="Z1" s="1286"/>
      <c r="AB1" s="256">
        <v>1000</v>
      </c>
      <c r="AC1" s="256">
        <v>1.042</v>
      </c>
      <c r="AE1" s="1286" t="s">
        <v>6</v>
      </c>
      <c r="AF1" s="1286"/>
      <c r="AG1" s="1286"/>
      <c r="AH1" s="1286"/>
      <c r="AI1" s="1286"/>
      <c r="AJ1" s="256">
        <v>1000</v>
      </c>
      <c r="AK1" s="256">
        <v>1.042</v>
      </c>
      <c r="AM1" s="1286" t="s">
        <v>828</v>
      </c>
      <c r="AN1" s="1286"/>
      <c r="AO1" s="1286"/>
      <c r="AP1" s="1286"/>
      <c r="AQ1" s="1286"/>
      <c r="AR1" s="1286"/>
      <c r="AS1" s="1286"/>
      <c r="AT1" s="1286"/>
      <c r="AU1" s="1286"/>
      <c r="AV1" s="256">
        <v>1000</v>
      </c>
      <c r="AW1" s="256">
        <v>1.042</v>
      </c>
      <c r="AY1" s="1286" t="s">
        <v>7</v>
      </c>
      <c r="AZ1" s="1286"/>
      <c r="BA1" s="1286"/>
      <c r="BB1" s="1286"/>
      <c r="BC1" s="256">
        <v>1000</v>
      </c>
      <c r="BD1" s="256">
        <v>1.042</v>
      </c>
      <c r="BF1" s="1286" t="s">
        <v>921</v>
      </c>
      <c r="BG1" s="1286"/>
      <c r="BH1" s="1286"/>
      <c r="BI1" s="1286"/>
      <c r="BJ1" s="1286"/>
      <c r="BK1" s="1286"/>
      <c r="BL1" s="1286"/>
      <c r="BM1" s="256">
        <v>1000</v>
      </c>
      <c r="BN1" s="256">
        <v>1.042</v>
      </c>
      <c r="BR1" s="1286" t="s">
        <v>835</v>
      </c>
      <c r="BS1" s="1286"/>
      <c r="BT1" s="1286"/>
      <c r="BU1" s="256">
        <v>1000</v>
      </c>
      <c r="BV1" s="256">
        <v>1.042</v>
      </c>
      <c r="BY1" s="1286" t="s">
        <v>835</v>
      </c>
      <c r="BZ1" s="1286"/>
      <c r="CA1" s="1286"/>
      <c r="CB1" s="1286"/>
      <c r="CC1" s="1286"/>
      <c r="CD1" s="1286"/>
      <c r="CE1" s="1286"/>
      <c r="CF1" s="1286"/>
      <c r="CG1" s="1286"/>
      <c r="CH1" s="256">
        <v>1000</v>
      </c>
      <c r="CI1" s="256">
        <v>1.042</v>
      </c>
      <c r="CK1" s="1286" t="s">
        <v>9</v>
      </c>
      <c r="CL1" s="1286"/>
      <c r="CM1" s="1286"/>
      <c r="CN1" s="1286"/>
      <c r="CO1" s="256">
        <v>1000</v>
      </c>
      <c r="CP1" s="256">
        <v>1.042</v>
      </c>
      <c r="CR1" s="1286" t="s">
        <v>845</v>
      </c>
      <c r="CS1" s="1286"/>
      <c r="CT1" s="1286"/>
      <c r="CU1" s="1286"/>
      <c r="CV1" s="1286"/>
      <c r="CW1" s="1286"/>
      <c r="CX1" s="1286"/>
      <c r="CY1" s="256">
        <v>1000</v>
      </c>
      <c r="CZ1" s="256">
        <v>1.042</v>
      </c>
      <c r="DC1" s="1286" t="s">
        <v>79</v>
      </c>
      <c r="DD1" s="1286"/>
      <c r="DE1" s="1286"/>
      <c r="DF1" s="1286"/>
      <c r="DG1" s="1286"/>
      <c r="DH1" s="256">
        <v>1000</v>
      </c>
      <c r="DI1" s="256">
        <v>1.042</v>
      </c>
      <c r="DK1" s="1286" t="s">
        <v>933</v>
      </c>
      <c r="DL1" s="1286"/>
      <c r="DM1" s="1286"/>
      <c r="DN1" s="1286"/>
      <c r="DO1" s="1286"/>
      <c r="DP1" s="1286"/>
      <c r="DQ1" s="1286"/>
      <c r="DR1" s="1286"/>
      <c r="DS1" s="256">
        <v>1000</v>
      </c>
      <c r="DT1" s="256">
        <v>1.042</v>
      </c>
      <c r="DW1" s="1286" t="s">
        <v>10</v>
      </c>
      <c r="DX1" s="1286"/>
      <c r="DY1" s="1286"/>
      <c r="DZ1" s="1286"/>
      <c r="EA1" s="256">
        <v>1000</v>
      </c>
      <c r="EB1" s="256">
        <v>1.042</v>
      </c>
      <c r="EE1" s="1286" t="s">
        <v>739</v>
      </c>
      <c r="EF1" s="1286"/>
      <c r="EG1" s="1286"/>
      <c r="EH1" s="1286"/>
      <c r="EL1" s="282">
        <v>1000</v>
      </c>
      <c r="EM1" s="1073">
        <v>1.042</v>
      </c>
      <c r="EN1" s="282"/>
      <c r="EQ1" s="1287" t="s">
        <v>11</v>
      </c>
      <c r="ER1" s="1287"/>
      <c r="ES1" s="1287"/>
      <c r="ET1" s="1287"/>
      <c r="EU1" s="1287"/>
      <c r="EV1" s="204">
        <v>1000</v>
      </c>
      <c r="EW1" s="204">
        <v>1</v>
      </c>
      <c r="EX1" s="204"/>
      <c r="EY1" s="1287" t="s">
        <v>960</v>
      </c>
      <c r="EZ1" s="1287"/>
      <c r="FA1" s="1287"/>
      <c r="FB1" s="1287"/>
      <c r="FC1" s="1287"/>
      <c r="FD1" s="1287"/>
      <c r="FE1" s="1287"/>
      <c r="FF1" s="204"/>
      <c r="FG1" s="257">
        <v>1000</v>
      </c>
      <c r="FH1" s="204">
        <v>1</v>
      </c>
      <c r="FI1" s="204"/>
      <c r="FK1" s="1286" t="s">
        <v>970</v>
      </c>
      <c r="FL1" s="1286"/>
      <c r="FM1" s="1286"/>
      <c r="FN1" s="1286"/>
      <c r="FO1" s="204">
        <v>1000</v>
      </c>
      <c r="FP1" s="204">
        <v>1</v>
      </c>
      <c r="FR1" s="1286" t="s">
        <v>966</v>
      </c>
      <c r="FS1" s="1286"/>
      <c r="FT1" s="1286"/>
      <c r="FU1" s="1286"/>
      <c r="GA1" s="204">
        <v>1000</v>
      </c>
      <c r="GB1" s="204">
        <v>1</v>
      </c>
      <c r="GD1" s="1286" t="s">
        <v>978</v>
      </c>
      <c r="GE1" s="1286"/>
      <c r="GF1" s="1286"/>
      <c r="GG1" s="1286"/>
      <c r="GH1" s="256">
        <v>1000</v>
      </c>
      <c r="GI1" s="256">
        <v>1</v>
      </c>
      <c r="GK1" s="1286" t="s">
        <v>979</v>
      </c>
      <c r="GL1" s="1286"/>
      <c r="GM1" s="1286"/>
      <c r="GN1" s="1286"/>
      <c r="GO1" s="1286"/>
      <c r="GP1" s="1286"/>
      <c r="GQ1" s="1286"/>
      <c r="GR1" s="1286"/>
      <c r="GS1" s="256">
        <v>1000</v>
      </c>
      <c r="GT1" s="256">
        <v>1</v>
      </c>
      <c r="GV1" s="1286" t="s">
        <v>14</v>
      </c>
      <c r="GW1" s="1286"/>
      <c r="GX1" s="1286"/>
      <c r="GY1" s="1286"/>
      <c r="GZ1" s="256">
        <v>1000</v>
      </c>
      <c r="HA1" s="256">
        <v>1</v>
      </c>
      <c r="HC1" s="1286" t="s">
        <v>989</v>
      </c>
      <c r="HD1" s="1286"/>
      <c r="HE1" s="1286"/>
      <c r="HF1" s="1286"/>
      <c r="HG1" s="1286"/>
      <c r="HH1" s="1286"/>
      <c r="HI1" s="1286"/>
      <c r="HJ1" s="1286"/>
      <c r="HK1" s="354">
        <v>1000</v>
      </c>
      <c r="HL1" s="354">
        <v>1</v>
      </c>
    </row>
    <row r="2" spans="1:220" s="285" customFormat="1" ht="40.5" customHeight="1" x14ac:dyDescent="0.2">
      <c r="A2" s="283" t="s">
        <v>407</v>
      </c>
      <c r="B2" s="284" t="s">
        <v>432</v>
      </c>
      <c r="C2" s="283" t="s">
        <v>408</v>
      </c>
      <c r="D2" s="284" t="s">
        <v>502</v>
      </c>
      <c r="E2" s="283" t="s">
        <v>444</v>
      </c>
      <c r="F2" s="283" t="s">
        <v>463</v>
      </c>
      <c r="G2" s="283" t="s">
        <v>410</v>
      </c>
      <c r="H2" s="283" t="s">
        <v>1023</v>
      </c>
      <c r="I2" s="283" t="s">
        <v>1024</v>
      </c>
      <c r="J2" s="283" t="s">
        <v>1025</v>
      </c>
      <c r="M2" s="286" t="s">
        <v>407</v>
      </c>
      <c r="N2" s="287" t="s">
        <v>432</v>
      </c>
      <c r="O2" s="286" t="s">
        <v>408</v>
      </c>
      <c r="P2" s="286" t="s">
        <v>502</v>
      </c>
      <c r="Q2" s="286" t="s">
        <v>410</v>
      </c>
      <c r="R2" s="286" t="s">
        <v>919</v>
      </c>
      <c r="T2" s="286" t="s">
        <v>407</v>
      </c>
      <c r="U2" s="286" t="s">
        <v>432</v>
      </c>
      <c r="V2" s="286" t="s">
        <v>408</v>
      </c>
      <c r="W2" s="287" t="s">
        <v>502</v>
      </c>
      <c r="X2" s="286" t="s">
        <v>444</v>
      </c>
      <c r="Y2" s="286" t="s">
        <v>463</v>
      </c>
      <c r="Z2" s="286" t="s">
        <v>410</v>
      </c>
      <c r="AA2" s="286" t="s">
        <v>914</v>
      </c>
      <c r="AB2" s="286" t="s">
        <v>920</v>
      </c>
      <c r="AC2" s="286" t="s">
        <v>919</v>
      </c>
      <c r="AE2" s="286" t="s">
        <v>407</v>
      </c>
      <c r="AF2" s="286" t="s">
        <v>432</v>
      </c>
      <c r="AG2" s="286" t="s">
        <v>408</v>
      </c>
      <c r="AH2" s="286" t="s">
        <v>502</v>
      </c>
      <c r="AI2" s="286" t="s">
        <v>409</v>
      </c>
      <c r="AJ2" s="286" t="s">
        <v>410</v>
      </c>
      <c r="AK2" s="286" t="s">
        <v>919</v>
      </c>
      <c r="AM2" s="286" t="s">
        <v>407</v>
      </c>
      <c r="AN2" s="286" t="s">
        <v>432</v>
      </c>
      <c r="AO2" s="286" t="s">
        <v>408</v>
      </c>
      <c r="AP2" s="286" t="s">
        <v>502</v>
      </c>
      <c r="AQ2" s="286" t="s">
        <v>409</v>
      </c>
      <c r="AR2" s="286" t="s">
        <v>444</v>
      </c>
      <c r="AS2" s="286" t="s">
        <v>463</v>
      </c>
      <c r="AT2" s="286" t="s">
        <v>410</v>
      </c>
      <c r="AU2" s="286" t="s">
        <v>914</v>
      </c>
      <c r="AV2" s="286" t="s">
        <v>920</v>
      </c>
      <c r="AW2" s="286" t="s">
        <v>919</v>
      </c>
      <c r="AY2" s="286" t="s">
        <v>407</v>
      </c>
      <c r="AZ2" s="286" t="s">
        <v>432</v>
      </c>
      <c r="BA2" s="286" t="s">
        <v>408</v>
      </c>
      <c r="BB2" s="286" t="s">
        <v>502</v>
      </c>
      <c r="BC2" s="286" t="s">
        <v>410</v>
      </c>
      <c r="BD2" s="286" t="s">
        <v>919</v>
      </c>
      <c r="BF2" s="286" t="s">
        <v>407</v>
      </c>
      <c r="BG2" s="286" t="s">
        <v>432</v>
      </c>
      <c r="BH2" s="286" t="s">
        <v>408</v>
      </c>
      <c r="BI2" s="286" t="s">
        <v>502</v>
      </c>
      <c r="BJ2" s="286" t="s">
        <v>444</v>
      </c>
      <c r="BK2" s="286" t="s">
        <v>463</v>
      </c>
      <c r="BL2" s="286" t="s">
        <v>410</v>
      </c>
      <c r="BM2" s="286" t="s">
        <v>914</v>
      </c>
      <c r="BN2" s="286" t="s">
        <v>920</v>
      </c>
      <c r="BO2" s="286" t="s">
        <v>919</v>
      </c>
      <c r="BR2" s="286" t="s">
        <v>407</v>
      </c>
      <c r="BS2" s="286" t="s">
        <v>432</v>
      </c>
      <c r="BT2" s="286" t="s">
        <v>408</v>
      </c>
      <c r="BU2" s="286" t="s">
        <v>502</v>
      </c>
      <c r="BV2" s="286" t="s">
        <v>410</v>
      </c>
      <c r="BW2" s="286" t="s">
        <v>919</v>
      </c>
      <c r="BY2" s="286" t="s">
        <v>407</v>
      </c>
      <c r="BZ2" s="286" t="s">
        <v>432</v>
      </c>
      <c r="CA2" s="286" t="s">
        <v>408</v>
      </c>
      <c r="CB2" s="286" t="s">
        <v>502</v>
      </c>
      <c r="CC2" s="286" t="s">
        <v>409</v>
      </c>
      <c r="CD2" s="286" t="s">
        <v>444</v>
      </c>
      <c r="CE2" s="286" t="s">
        <v>463</v>
      </c>
      <c r="CF2" s="286" t="s">
        <v>410</v>
      </c>
      <c r="CG2" s="286" t="s">
        <v>914</v>
      </c>
      <c r="CH2" s="286" t="s">
        <v>920</v>
      </c>
      <c r="CI2" s="286" t="s">
        <v>919</v>
      </c>
      <c r="CK2" s="286" t="s">
        <v>407</v>
      </c>
      <c r="CL2" s="286" t="s">
        <v>432</v>
      </c>
      <c r="CM2" s="286" t="s">
        <v>408</v>
      </c>
      <c r="CN2" s="286" t="s">
        <v>502</v>
      </c>
      <c r="CO2" s="286" t="s">
        <v>410</v>
      </c>
      <c r="CP2" s="286" t="s">
        <v>919</v>
      </c>
      <c r="CR2" s="286" t="s">
        <v>407</v>
      </c>
      <c r="CS2" s="286" t="s">
        <v>432</v>
      </c>
      <c r="CT2" s="286" t="s">
        <v>408</v>
      </c>
      <c r="CU2" s="286" t="s">
        <v>502</v>
      </c>
      <c r="CV2" s="286" t="s">
        <v>444</v>
      </c>
      <c r="CW2" s="286" t="s">
        <v>463</v>
      </c>
      <c r="CX2" s="286" t="s">
        <v>410</v>
      </c>
      <c r="CY2" s="286" t="s">
        <v>914</v>
      </c>
      <c r="CZ2" s="286" t="s">
        <v>920</v>
      </c>
      <c r="DA2" s="286" t="s">
        <v>919</v>
      </c>
      <c r="DC2" s="286" t="s">
        <v>407</v>
      </c>
      <c r="DD2" s="286" t="s">
        <v>432</v>
      </c>
      <c r="DE2" s="286" t="s">
        <v>408</v>
      </c>
      <c r="DF2" s="286" t="s">
        <v>502</v>
      </c>
      <c r="DG2" s="286" t="s">
        <v>410</v>
      </c>
      <c r="DH2" s="286" t="s">
        <v>919</v>
      </c>
      <c r="DK2" s="286" t="s">
        <v>407</v>
      </c>
      <c r="DL2" s="286" t="s">
        <v>432</v>
      </c>
      <c r="DM2" s="286" t="s">
        <v>408</v>
      </c>
      <c r="DN2" s="286" t="s">
        <v>502</v>
      </c>
      <c r="DO2" s="286" t="s">
        <v>444</v>
      </c>
      <c r="DP2" s="286" t="s">
        <v>463</v>
      </c>
      <c r="DQ2" s="286" t="s">
        <v>410</v>
      </c>
      <c r="DR2" s="286" t="s">
        <v>914</v>
      </c>
      <c r="DS2" s="286" t="s">
        <v>920</v>
      </c>
      <c r="DT2" s="286" t="s">
        <v>919</v>
      </c>
      <c r="DW2" s="283" t="s">
        <v>407</v>
      </c>
      <c r="DX2" s="284" t="s">
        <v>432</v>
      </c>
      <c r="DY2" s="283" t="s">
        <v>408</v>
      </c>
      <c r="DZ2" s="283" t="s">
        <v>502</v>
      </c>
      <c r="EA2" s="283" t="s">
        <v>410</v>
      </c>
      <c r="EB2" s="283" t="s">
        <v>919</v>
      </c>
      <c r="EE2" s="283" t="s">
        <v>407</v>
      </c>
      <c r="EF2" s="283" t="s">
        <v>432</v>
      </c>
      <c r="EG2" s="283" t="s">
        <v>408</v>
      </c>
      <c r="EH2" s="283" t="s">
        <v>502</v>
      </c>
      <c r="EI2" s="283" t="s">
        <v>444</v>
      </c>
      <c r="EJ2" s="283" t="s">
        <v>463</v>
      </c>
      <c r="EK2" s="283" t="s">
        <v>410</v>
      </c>
      <c r="EL2" s="288" t="s">
        <v>914</v>
      </c>
      <c r="EM2" s="288" t="s">
        <v>920</v>
      </c>
      <c r="EN2" s="288" t="s">
        <v>919</v>
      </c>
      <c r="EQ2" s="355" t="s">
        <v>407</v>
      </c>
      <c r="ER2" s="356" t="s">
        <v>432</v>
      </c>
      <c r="ES2" s="355" t="s">
        <v>408</v>
      </c>
      <c r="ET2" s="355" t="s">
        <v>502</v>
      </c>
      <c r="EU2" s="355" t="s">
        <v>410</v>
      </c>
      <c r="EV2" s="355" t="s">
        <v>919</v>
      </c>
      <c r="EY2" s="355" t="s">
        <v>407</v>
      </c>
      <c r="EZ2" s="355" t="s">
        <v>432</v>
      </c>
      <c r="FA2" s="355" t="s">
        <v>408</v>
      </c>
      <c r="FB2" s="355" t="s">
        <v>502</v>
      </c>
      <c r="FC2" s="355" t="s">
        <v>444</v>
      </c>
      <c r="FD2" s="355" t="s">
        <v>410</v>
      </c>
      <c r="FE2" s="355" t="s">
        <v>463</v>
      </c>
      <c r="FF2" s="355" t="s">
        <v>914</v>
      </c>
      <c r="FG2" s="357" t="s">
        <v>929</v>
      </c>
      <c r="FH2" s="355" t="s">
        <v>928</v>
      </c>
      <c r="FK2" s="355" t="s">
        <v>407</v>
      </c>
      <c r="FL2" s="355" t="s">
        <v>432</v>
      </c>
      <c r="FM2" s="355" t="s">
        <v>408</v>
      </c>
      <c r="FN2" s="355" t="s">
        <v>502</v>
      </c>
      <c r="FO2" s="355" t="s">
        <v>410</v>
      </c>
      <c r="FP2" s="355" t="s">
        <v>919</v>
      </c>
      <c r="FR2" s="355" t="s">
        <v>407</v>
      </c>
      <c r="FS2" s="355" t="s">
        <v>432</v>
      </c>
      <c r="FT2" s="355" t="s">
        <v>408</v>
      </c>
      <c r="FU2" s="355" t="s">
        <v>502</v>
      </c>
      <c r="FV2" s="355" t="s">
        <v>444</v>
      </c>
      <c r="FW2" s="355" t="s">
        <v>463</v>
      </c>
      <c r="FX2" s="355" t="s">
        <v>410</v>
      </c>
      <c r="FY2" s="355" t="s">
        <v>967</v>
      </c>
      <c r="FZ2" s="355" t="s">
        <v>968</v>
      </c>
      <c r="GA2" s="355" t="s">
        <v>969</v>
      </c>
      <c r="GD2" s="355" t="s">
        <v>407</v>
      </c>
      <c r="GE2" s="355" t="s">
        <v>432</v>
      </c>
      <c r="GF2" s="355" t="s">
        <v>408</v>
      </c>
      <c r="GG2" s="355" t="s">
        <v>502</v>
      </c>
      <c r="GH2" s="355" t="s">
        <v>410</v>
      </c>
      <c r="GI2" s="355" t="s">
        <v>919</v>
      </c>
      <c r="GK2" s="355" t="s">
        <v>407</v>
      </c>
      <c r="GL2" s="355" t="s">
        <v>432</v>
      </c>
      <c r="GM2" s="355" t="s">
        <v>408</v>
      </c>
      <c r="GN2" s="355" t="s">
        <v>502</v>
      </c>
      <c r="GO2" s="355" t="s">
        <v>444</v>
      </c>
      <c r="GP2" s="355" t="s">
        <v>463</v>
      </c>
      <c r="GQ2" s="355" t="s">
        <v>410</v>
      </c>
      <c r="GR2" s="355" t="s">
        <v>914</v>
      </c>
      <c r="GS2" s="355" t="s">
        <v>920</v>
      </c>
      <c r="GT2" s="355" t="s">
        <v>919</v>
      </c>
      <c r="GV2" s="355" t="s">
        <v>407</v>
      </c>
      <c r="GW2" s="355" t="s">
        <v>432</v>
      </c>
      <c r="GX2" s="355" t="s">
        <v>408</v>
      </c>
      <c r="GY2" s="355" t="s">
        <v>502</v>
      </c>
      <c r="GZ2" s="355" t="s">
        <v>410</v>
      </c>
      <c r="HA2" s="355" t="s">
        <v>919</v>
      </c>
      <c r="HC2" s="355" t="s">
        <v>407</v>
      </c>
      <c r="HD2" s="355" t="s">
        <v>432</v>
      </c>
      <c r="HE2" s="355" t="s">
        <v>408</v>
      </c>
      <c r="HF2" s="355" t="s">
        <v>502</v>
      </c>
      <c r="HG2" s="355" t="s">
        <v>444</v>
      </c>
      <c r="HH2" s="355" t="s">
        <v>410</v>
      </c>
      <c r="HI2" s="355" t="s">
        <v>463</v>
      </c>
      <c r="HJ2" s="355" t="s">
        <v>914</v>
      </c>
      <c r="HK2" s="355" t="s">
        <v>919</v>
      </c>
      <c r="HL2" s="355" t="s">
        <v>920</v>
      </c>
    </row>
    <row r="3" spans="1:220" ht="15" customHeight="1" x14ac:dyDescent="0.2">
      <c r="A3" s="210" t="s">
        <v>421</v>
      </c>
      <c r="B3" s="212" t="s">
        <v>216</v>
      </c>
      <c r="C3" s="210" t="s">
        <v>471</v>
      </c>
      <c r="D3" s="212" t="s">
        <v>288</v>
      </c>
      <c r="E3" s="211">
        <v>54940335000</v>
      </c>
      <c r="F3" s="211">
        <v>0</v>
      </c>
      <c r="G3" s="211">
        <v>0</v>
      </c>
      <c r="H3" s="211">
        <f>+E3/$H$1*$I$1</f>
        <v>57247829.07</v>
      </c>
      <c r="I3" s="211">
        <f>+F3/$H$1*$I$1</f>
        <v>0</v>
      </c>
      <c r="J3" s="211">
        <f>+G3/$H$1*$I$1</f>
        <v>0</v>
      </c>
      <c r="M3" s="289" t="s">
        <v>421</v>
      </c>
      <c r="N3" s="290" t="s">
        <v>216</v>
      </c>
      <c r="O3" s="289" t="s">
        <v>471</v>
      </c>
      <c r="P3" s="289" t="s">
        <v>288</v>
      </c>
      <c r="Q3" s="291">
        <v>9107771724</v>
      </c>
      <c r="R3" s="291">
        <f>+Q3/$Q$1*$R$1</f>
        <v>9490298.1364079993</v>
      </c>
      <c r="T3" s="292" t="s">
        <v>421</v>
      </c>
      <c r="U3" s="293" t="s">
        <v>216</v>
      </c>
      <c r="V3" s="292" t="s">
        <v>471</v>
      </c>
      <c r="W3" s="293" t="s">
        <v>288</v>
      </c>
      <c r="X3" s="294">
        <v>54940335000</v>
      </c>
      <c r="Y3" s="294">
        <v>0</v>
      </c>
      <c r="Z3" s="294">
        <v>0</v>
      </c>
      <c r="AA3" s="258">
        <f>+X3/$AB$1*$AC$1</f>
        <v>57247829.07</v>
      </c>
      <c r="AB3" s="258">
        <f>+Y3/$AB$1*$AC$1</f>
        <v>0</v>
      </c>
      <c r="AC3" s="258">
        <f>+Z3/$AB$1*$AC$1</f>
        <v>0</v>
      </c>
      <c r="AE3" s="210" t="s">
        <v>421</v>
      </c>
      <c r="AF3" s="210" t="s">
        <v>216</v>
      </c>
      <c r="AG3" s="210" t="s">
        <v>471</v>
      </c>
      <c r="AH3" s="210" t="s">
        <v>288</v>
      </c>
      <c r="AI3" s="212" t="s">
        <v>513</v>
      </c>
      <c r="AJ3" s="211">
        <v>14241415944</v>
      </c>
      <c r="AK3" s="211">
        <f>+AJ3/$AJ$1*$AK$1</f>
        <v>14839555.413648</v>
      </c>
      <c r="AM3" s="212" t="s">
        <v>421</v>
      </c>
      <c r="AN3" s="212" t="s">
        <v>216</v>
      </c>
      <c r="AO3" s="212" t="s">
        <v>471</v>
      </c>
      <c r="AP3" s="212" t="s">
        <v>288</v>
      </c>
      <c r="AQ3" s="212" t="s">
        <v>513</v>
      </c>
      <c r="AR3" s="295">
        <v>54940335000</v>
      </c>
      <c r="AS3" s="295">
        <v>0</v>
      </c>
      <c r="AT3" s="295">
        <v>0</v>
      </c>
      <c r="AU3" s="295">
        <f>+AR3/$AV$1*$AW$1</f>
        <v>57247829.07</v>
      </c>
      <c r="AV3" s="295">
        <f>+AS3/$AV$1*$AW$1</f>
        <v>0</v>
      </c>
      <c r="AW3" s="295">
        <f>+AT3/$AV$1*$AW$1</f>
        <v>0</v>
      </c>
      <c r="AY3" s="263" t="s">
        <v>421</v>
      </c>
      <c r="AZ3" s="212" t="s">
        <v>216</v>
      </c>
      <c r="BA3" s="263" t="s">
        <v>471</v>
      </c>
      <c r="BB3" s="212" t="s">
        <v>288</v>
      </c>
      <c r="BC3" s="264">
        <v>9694536210</v>
      </c>
      <c r="BD3" s="264">
        <f>+BC3/$BC$1*$BD$1</f>
        <v>10101706.730820002</v>
      </c>
      <c r="BF3" s="263" t="s">
        <v>421</v>
      </c>
      <c r="BG3" s="296" t="s">
        <v>216</v>
      </c>
      <c r="BH3" s="210" t="s">
        <v>471</v>
      </c>
      <c r="BI3" s="212" t="s">
        <v>288</v>
      </c>
      <c r="BJ3" s="264">
        <v>54940335000</v>
      </c>
      <c r="BK3" s="264">
        <v>0</v>
      </c>
      <c r="BL3" s="264">
        <v>0</v>
      </c>
      <c r="BM3" s="264">
        <f>+BJ3/$BM$1*$BN$1</f>
        <v>57247829.07</v>
      </c>
      <c r="BN3" s="264">
        <f>+BK3/$BM$1*$BN$1</f>
        <v>0</v>
      </c>
      <c r="BO3" s="264">
        <f>+BL3/$BM$1*$BN$1</f>
        <v>0</v>
      </c>
      <c r="BR3" s="263" t="s">
        <v>421</v>
      </c>
      <c r="BS3" s="212" t="s">
        <v>216</v>
      </c>
      <c r="BT3" s="263" t="s">
        <v>471</v>
      </c>
      <c r="BU3" s="210" t="s">
        <v>288</v>
      </c>
      <c r="BV3" s="264">
        <v>1530887554</v>
      </c>
      <c r="BW3" s="264">
        <f>+BV3/$BU$1*$BV$1</f>
        <v>1595184.831268</v>
      </c>
      <c r="BY3" s="210" t="s">
        <v>421</v>
      </c>
      <c r="BZ3" s="210" t="s">
        <v>216</v>
      </c>
      <c r="CA3" s="210" t="s">
        <v>471</v>
      </c>
      <c r="CB3" s="210" t="s">
        <v>288</v>
      </c>
      <c r="CC3" s="212" t="s">
        <v>513</v>
      </c>
      <c r="CD3" s="211">
        <v>54940335000</v>
      </c>
      <c r="CE3" s="211">
        <v>0</v>
      </c>
      <c r="CF3" s="211">
        <v>0</v>
      </c>
      <c r="CG3" s="211">
        <f>+CD3/$CH$1*$CI$1</f>
        <v>57247829.07</v>
      </c>
      <c r="CH3" s="211">
        <f>+CE3/$CH$1*$CI$1</f>
        <v>0</v>
      </c>
      <c r="CI3" s="211">
        <f>+CF3/$CH$1*$CI$1</f>
        <v>0</v>
      </c>
      <c r="CK3" s="212" t="s">
        <v>421</v>
      </c>
      <c r="CL3" s="212" t="s">
        <v>216</v>
      </c>
      <c r="CM3" s="212" t="s">
        <v>471</v>
      </c>
      <c r="CN3" s="212" t="s">
        <v>288</v>
      </c>
      <c r="CO3" s="211">
        <v>20365723568</v>
      </c>
      <c r="CP3" s="211">
        <f>+CO3/$CO$1*$CP$1</f>
        <v>21221083.957855999</v>
      </c>
      <c r="CR3" s="212" t="s">
        <v>421</v>
      </c>
      <c r="CS3" s="212" t="s">
        <v>216</v>
      </c>
      <c r="CT3" s="212" t="s">
        <v>471</v>
      </c>
      <c r="CU3" s="212" t="s">
        <v>288</v>
      </c>
      <c r="CV3" s="211">
        <v>54940335000</v>
      </c>
      <c r="CW3" s="211">
        <v>0</v>
      </c>
      <c r="CX3" s="211">
        <v>0</v>
      </c>
      <c r="CY3" s="211">
        <f>+CV3/$CY$1*$CZ$1</f>
        <v>57247829.07</v>
      </c>
      <c r="CZ3" s="211">
        <f t="shared" ref="CZ3:DA3" si="0">+CW3/$CY$1*$CZ$1</f>
        <v>0</v>
      </c>
      <c r="DA3" s="211">
        <f t="shared" si="0"/>
        <v>0</v>
      </c>
      <c r="DC3" s="263" t="s">
        <v>423</v>
      </c>
      <c r="DD3" s="212" t="s">
        <v>853</v>
      </c>
      <c r="DE3" s="263" t="s">
        <v>450</v>
      </c>
      <c r="DF3" s="210" t="s">
        <v>267</v>
      </c>
      <c r="DG3" s="264">
        <v>768372455</v>
      </c>
      <c r="DH3" s="264">
        <f>+DG3/$DH$1*$DI$1</f>
        <v>800644.09811000002</v>
      </c>
      <c r="DK3" s="210" t="s">
        <v>421</v>
      </c>
      <c r="DL3" s="212" t="s">
        <v>216</v>
      </c>
      <c r="DM3" s="210" t="s">
        <v>471</v>
      </c>
      <c r="DN3" s="212" t="s">
        <v>288</v>
      </c>
      <c r="DO3" s="211">
        <v>54940335000</v>
      </c>
      <c r="DP3" s="211">
        <v>0</v>
      </c>
      <c r="DQ3" s="211">
        <v>0</v>
      </c>
      <c r="DR3" s="211">
        <f>+DO3/$DS$1*$DT$1</f>
        <v>57247829.07</v>
      </c>
      <c r="DS3" s="211">
        <f t="shared" ref="DS3:DT3" si="1">+DP3/$DS$1*$DT$1</f>
        <v>0</v>
      </c>
      <c r="DT3" s="211">
        <f t="shared" si="1"/>
        <v>0</v>
      </c>
      <c r="DW3" s="265" t="s">
        <v>423</v>
      </c>
      <c r="DX3" s="297" t="s">
        <v>853</v>
      </c>
      <c r="DY3" s="265" t="s">
        <v>448</v>
      </c>
      <c r="DZ3" s="298" t="s">
        <v>449</v>
      </c>
      <c r="EA3" s="264">
        <v>3048892</v>
      </c>
      <c r="EB3" s="264">
        <f>+EA3/$EA$1*$EB$1</f>
        <v>3176.9454639999999</v>
      </c>
      <c r="EE3" s="210" t="s">
        <v>421</v>
      </c>
      <c r="EF3" s="212" t="s">
        <v>216</v>
      </c>
      <c r="EG3" s="212" t="s">
        <v>471</v>
      </c>
      <c r="EH3" s="212" t="s">
        <v>288</v>
      </c>
      <c r="EI3" s="211">
        <v>54940335000</v>
      </c>
      <c r="EJ3" s="211">
        <v>0</v>
      </c>
      <c r="EK3" s="211">
        <v>0</v>
      </c>
      <c r="EL3" s="258">
        <f>+EI3/$EL$1*$EM$1</f>
        <v>57247829.07</v>
      </c>
      <c r="EM3" s="258">
        <f t="shared" ref="EM3:EN3" si="2">+EJ3/$EL$1*$EM$1</f>
        <v>0</v>
      </c>
      <c r="EN3" s="258">
        <f t="shared" si="2"/>
        <v>0</v>
      </c>
      <c r="EQ3" s="210" t="s">
        <v>423</v>
      </c>
      <c r="ER3" s="212" t="s">
        <v>853</v>
      </c>
      <c r="ES3" s="210" t="s">
        <v>424</v>
      </c>
      <c r="ET3" s="210" t="s">
        <v>268</v>
      </c>
      <c r="EU3" s="211">
        <v>20349382</v>
      </c>
      <c r="EV3" s="257">
        <f>+EU3/$EV$1*$EW$1</f>
        <v>20349.382000000001</v>
      </c>
      <c r="EY3" s="210" t="s">
        <v>421</v>
      </c>
      <c r="EZ3" s="212" t="s">
        <v>216</v>
      </c>
      <c r="FA3" s="212" t="s">
        <v>471</v>
      </c>
      <c r="FB3" s="212" t="s">
        <v>288</v>
      </c>
      <c r="FC3" s="211">
        <v>54940335000</v>
      </c>
      <c r="FD3" s="211">
        <v>0</v>
      </c>
      <c r="FE3" s="211">
        <v>0</v>
      </c>
      <c r="FF3" s="257">
        <f>+FC3/$FG$1*$FH$1</f>
        <v>54940335</v>
      </c>
      <c r="FG3" s="257">
        <f t="shared" ref="FG3:FH3" si="3">+FD3/$FG$1*$FH$1</f>
        <v>0</v>
      </c>
      <c r="FH3" s="257">
        <f t="shared" si="3"/>
        <v>0</v>
      </c>
      <c r="FK3" s="204" t="s">
        <v>423</v>
      </c>
      <c r="FL3" s="204" t="s">
        <v>853</v>
      </c>
      <c r="FM3" s="204" t="s">
        <v>424</v>
      </c>
      <c r="FN3" s="204" t="s">
        <v>268</v>
      </c>
      <c r="FO3" s="257">
        <v>16830311</v>
      </c>
      <c r="FP3" s="226">
        <f>FO3/$FO$1*$FP$1</f>
        <v>16830.311000000002</v>
      </c>
      <c r="FR3" s="262">
        <v>2403403</v>
      </c>
      <c r="FS3" s="204" t="s">
        <v>216</v>
      </c>
      <c r="FT3" s="204" t="s">
        <v>471</v>
      </c>
      <c r="FU3" s="204" t="s">
        <v>288</v>
      </c>
      <c r="FV3" s="257">
        <v>54940335000</v>
      </c>
      <c r="FW3" s="257">
        <v>0</v>
      </c>
      <c r="FX3" s="257">
        <v>0</v>
      </c>
      <c r="FY3" s="226">
        <f>FV3/$GA$1*$GB$1</f>
        <v>54940335</v>
      </c>
      <c r="FZ3" s="226">
        <f t="shared" ref="FZ3:GA3" si="4">FW3/$GA$1*$GB$1</f>
        <v>0</v>
      </c>
      <c r="GA3" s="226">
        <f t="shared" si="4"/>
        <v>0</v>
      </c>
      <c r="GD3" s="204" t="s">
        <v>421</v>
      </c>
      <c r="GE3" s="204" t="s">
        <v>216</v>
      </c>
      <c r="GF3" s="204" t="s">
        <v>422</v>
      </c>
      <c r="GG3" s="204" t="s">
        <v>310</v>
      </c>
      <c r="GH3" s="257">
        <v>54664902</v>
      </c>
      <c r="GI3" s="257">
        <f>+GH3/$GH$1*$GI$1</f>
        <v>54664.902000000002</v>
      </c>
      <c r="GK3" s="204" t="s">
        <v>421</v>
      </c>
      <c r="GL3" s="204" t="s">
        <v>216</v>
      </c>
      <c r="GM3" s="204" t="s">
        <v>471</v>
      </c>
      <c r="GN3" s="204" t="s">
        <v>288</v>
      </c>
      <c r="GO3" s="257">
        <v>54940335000</v>
      </c>
      <c r="GP3" s="257">
        <v>0</v>
      </c>
      <c r="GQ3" s="257">
        <v>0</v>
      </c>
      <c r="GR3" s="257">
        <f>+GO3/$GS$1*$GT$1</f>
        <v>54940335</v>
      </c>
      <c r="GS3" s="257">
        <f t="shared" ref="GS3:GT3" si="5">+GP3/$GS$1*$GT$1</f>
        <v>0</v>
      </c>
      <c r="GT3" s="257">
        <f t="shared" si="5"/>
        <v>0</v>
      </c>
      <c r="GV3" s="263" t="s">
        <v>423</v>
      </c>
      <c r="GW3" s="353" t="s">
        <v>853</v>
      </c>
      <c r="GX3" s="353" t="s">
        <v>450</v>
      </c>
      <c r="GY3" s="353" t="s">
        <v>267</v>
      </c>
      <c r="GZ3" s="264">
        <v>688120550</v>
      </c>
      <c r="HA3" s="264">
        <f>+GZ3/$GZ$1*$HA$1</f>
        <v>688120.55</v>
      </c>
      <c r="HC3" s="204" t="s">
        <v>421</v>
      </c>
      <c r="HD3" s="204" t="s">
        <v>216</v>
      </c>
      <c r="HE3" s="204" t="s">
        <v>471</v>
      </c>
      <c r="HF3" s="204" t="s">
        <v>288</v>
      </c>
      <c r="HG3" s="225">
        <v>54940335000</v>
      </c>
      <c r="HH3" s="225">
        <v>0</v>
      </c>
      <c r="HI3" s="225">
        <v>0</v>
      </c>
      <c r="HJ3" s="225">
        <f>+HG3/$HK$1*$HL$1</f>
        <v>54940335</v>
      </c>
      <c r="HK3" s="225">
        <f t="shared" ref="HK3:HL3" si="6">+HH3/$HK$1*$HL$1</f>
        <v>0</v>
      </c>
      <c r="HL3" s="225">
        <f t="shared" si="6"/>
        <v>0</v>
      </c>
    </row>
    <row r="4" spans="1:220" ht="15" customHeight="1" x14ac:dyDescent="0.2">
      <c r="A4" s="210" t="s">
        <v>421</v>
      </c>
      <c r="B4" s="212" t="s">
        <v>216</v>
      </c>
      <c r="C4" s="210" t="s">
        <v>422</v>
      </c>
      <c r="D4" s="212" t="s">
        <v>310</v>
      </c>
      <c r="E4" s="211">
        <v>20617916000</v>
      </c>
      <c r="F4" s="211">
        <v>0</v>
      </c>
      <c r="G4" s="211">
        <v>0</v>
      </c>
      <c r="H4" s="211">
        <f t="shared" ref="H4:H38" si="7">+E4/$H$1*$I$1</f>
        <v>21483868.471999999</v>
      </c>
      <c r="I4" s="211">
        <f t="shared" ref="I4:I38" si="8">+F4/$H$1*$I$1</f>
        <v>0</v>
      </c>
      <c r="J4" s="211">
        <f t="shared" ref="J4:J38" si="9">+G4/$H$1*$I$1</f>
        <v>0</v>
      </c>
      <c r="M4" s="289" t="s">
        <v>423</v>
      </c>
      <c r="N4" s="290" t="s">
        <v>853</v>
      </c>
      <c r="O4" s="289" t="s">
        <v>450</v>
      </c>
      <c r="P4" s="289" t="s">
        <v>267</v>
      </c>
      <c r="Q4" s="291">
        <v>8900000</v>
      </c>
      <c r="R4" s="291">
        <f t="shared" ref="R4:R10" si="10">+Q4/$Q$1*$R$1</f>
        <v>9273.8000000000011</v>
      </c>
      <c r="T4" s="292" t="s">
        <v>421</v>
      </c>
      <c r="U4" s="293" t="s">
        <v>216</v>
      </c>
      <c r="V4" s="292" t="s">
        <v>422</v>
      </c>
      <c r="W4" s="293" t="s">
        <v>310</v>
      </c>
      <c r="X4" s="294">
        <v>20617916000</v>
      </c>
      <c r="Y4" s="294">
        <v>0</v>
      </c>
      <c r="Z4" s="294">
        <v>0</v>
      </c>
      <c r="AA4" s="258">
        <f t="shared" ref="AA4:AA42" si="11">+X4/$AB$1*$AC$1</f>
        <v>21483868.471999999</v>
      </c>
      <c r="AB4" s="258">
        <f t="shared" ref="AB4:AB42" si="12">+Y4/$AB$1*$AC$1</f>
        <v>0</v>
      </c>
      <c r="AC4" s="258">
        <f t="shared" ref="AC4:AC42" si="13">+Z4/$AB$1*$AC$1</f>
        <v>0</v>
      </c>
      <c r="AE4" s="210" t="s">
        <v>421</v>
      </c>
      <c r="AF4" s="210" t="s">
        <v>216</v>
      </c>
      <c r="AG4" s="210" t="s">
        <v>422</v>
      </c>
      <c r="AH4" s="210" t="s">
        <v>310</v>
      </c>
      <c r="AI4" s="212" t="s">
        <v>513</v>
      </c>
      <c r="AJ4" s="211">
        <v>20617907292</v>
      </c>
      <c r="AK4" s="211">
        <f t="shared" ref="AK4:AK14" si="14">+AJ4/$AJ$1*$AK$1</f>
        <v>21483859.398263998</v>
      </c>
      <c r="AM4" s="212" t="s">
        <v>421</v>
      </c>
      <c r="AN4" s="212" t="s">
        <v>216</v>
      </c>
      <c r="AO4" s="212" t="s">
        <v>422</v>
      </c>
      <c r="AP4" s="212" t="s">
        <v>310</v>
      </c>
      <c r="AQ4" s="212" t="s">
        <v>513</v>
      </c>
      <c r="AR4" s="295">
        <v>20617916000</v>
      </c>
      <c r="AS4" s="295">
        <v>0</v>
      </c>
      <c r="AT4" s="295">
        <v>0</v>
      </c>
      <c r="AU4" s="295">
        <f t="shared" ref="AU4:AU46" si="15">+AR4/$AV$1*$AW$1</f>
        <v>21483868.471999999</v>
      </c>
      <c r="AV4" s="295">
        <f t="shared" ref="AV4:AV46" si="16">+AS4/$AV$1*$AW$1</f>
        <v>0</v>
      </c>
      <c r="AW4" s="295">
        <f t="shared" ref="AW4:AW46" si="17">+AT4/$AV$1*$AW$1</f>
        <v>0</v>
      </c>
      <c r="AY4" s="263" t="s">
        <v>423</v>
      </c>
      <c r="AZ4" s="212" t="s">
        <v>853</v>
      </c>
      <c r="BA4" s="263" t="s">
        <v>450</v>
      </c>
      <c r="BB4" s="212" t="s">
        <v>267</v>
      </c>
      <c r="BC4" s="264">
        <v>84000000</v>
      </c>
      <c r="BD4" s="264">
        <f t="shared" ref="BD4:BD15" si="18">+BC4/$BC$1*$BD$1</f>
        <v>87528</v>
      </c>
      <c r="BF4" s="263" t="s">
        <v>421</v>
      </c>
      <c r="BG4" s="296" t="s">
        <v>216</v>
      </c>
      <c r="BH4" s="210" t="s">
        <v>422</v>
      </c>
      <c r="BI4" s="212" t="s">
        <v>310</v>
      </c>
      <c r="BJ4" s="264">
        <v>20617916000</v>
      </c>
      <c r="BK4" s="264">
        <v>0</v>
      </c>
      <c r="BL4" s="264">
        <v>0</v>
      </c>
      <c r="BM4" s="264">
        <f t="shared" ref="BM4:BM49" si="19">+BJ4/$BM$1*$BN$1</f>
        <v>21483868.471999999</v>
      </c>
      <c r="BN4" s="264">
        <f t="shared" ref="BN4:BN49" si="20">+BK4/$BM$1*$BN$1</f>
        <v>0</v>
      </c>
      <c r="BO4" s="264">
        <f t="shared" ref="BO4:BO49" si="21">+BL4/$BM$1*$BN$1</f>
        <v>0</v>
      </c>
      <c r="BR4" s="263" t="s">
        <v>423</v>
      </c>
      <c r="BS4" s="212" t="s">
        <v>853</v>
      </c>
      <c r="BT4" s="263" t="s">
        <v>450</v>
      </c>
      <c r="BU4" s="210" t="s">
        <v>267</v>
      </c>
      <c r="BV4" s="264">
        <v>937032000</v>
      </c>
      <c r="BW4" s="264">
        <f t="shared" ref="BW4:BW17" si="22">+BV4/$BU$1*$BV$1</f>
        <v>976387.34400000004</v>
      </c>
      <c r="BY4" s="210" t="s">
        <v>421</v>
      </c>
      <c r="BZ4" s="210" t="s">
        <v>216</v>
      </c>
      <c r="CA4" s="210" t="s">
        <v>422</v>
      </c>
      <c r="CB4" s="210" t="s">
        <v>310</v>
      </c>
      <c r="CC4" s="212" t="s">
        <v>513</v>
      </c>
      <c r="CD4" s="211">
        <v>20617916000</v>
      </c>
      <c r="CE4" s="211">
        <v>0</v>
      </c>
      <c r="CF4" s="211">
        <v>0</v>
      </c>
      <c r="CG4" s="211">
        <f t="shared" ref="CG4:CG51" si="23">+CD4/$CH$1*$CI$1</f>
        <v>21483868.471999999</v>
      </c>
      <c r="CH4" s="211">
        <f t="shared" ref="CH4:CH51" si="24">+CE4/$CH$1*$CI$1</f>
        <v>0</v>
      </c>
      <c r="CI4" s="211">
        <f t="shared" ref="CI4:CI51" si="25">+CF4/$CH$1*$CI$1</f>
        <v>0</v>
      </c>
      <c r="CK4" s="212" t="s">
        <v>423</v>
      </c>
      <c r="CL4" s="212" t="s">
        <v>853</v>
      </c>
      <c r="CM4" s="212" t="s">
        <v>424</v>
      </c>
      <c r="CN4" s="212" t="s">
        <v>268</v>
      </c>
      <c r="CO4" s="211">
        <v>10071551</v>
      </c>
      <c r="CP4" s="211">
        <f t="shared" ref="CP4:CP17" si="26">+CO4/$CO$1*$CP$1</f>
        <v>10494.556141999999</v>
      </c>
      <c r="CR4" s="212" t="s">
        <v>421</v>
      </c>
      <c r="CS4" s="212" t="s">
        <v>216</v>
      </c>
      <c r="CT4" s="212" t="s">
        <v>422</v>
      </c>
      <c r="CU4" s="212" t="s">
        <v>310</v>
      </c>
      <c r="CV4" s="211">
        <v>20617916000</v>
      </c>
      <c r="CW4" s="211">
        <v>0</v>
      </c>
      <c r="CX4" s="211">
        <v>0</v>
      </c>
      <c r="CY4" s="211">
        <f t="shared" ref="CY4:CY53" si="27">+CV4/$CY$1*$CZ$1</f>
        <v>21483868.471999999</v>
      </c>
      <c r="CZ4" s="211">
        <f t="shared" ref="CZ4:CZ53" si="28">+CW4/$CY$1*$CZ$1</f>
        <v>0</v>
      </c>
      <c r="DA4" s="211">
        <f t="shared" ref="DA4:DA53" si="29">+CX4/$CY$1*$CZ$1</f>
        <v>0</v>
      </c>
      <c r="DC4" s="263" t="s">
        <v>423</v>
      </c>
      <c r="DD4" s="212" t="s">
        <v>853</v>
      </c>
      <c r="DE4" s="263" t="s">
        <v>424</v>
      </c>
      <c r="DF4" s="210" t="s">
        <v>268</v>
      </c>
      <c r="DG4" s="264">
        <v>17077655</v>
      </c>
      <c r="DH4" s="264">
        <f t="shared" ref="DH4:DH18" si="30">+DG4/$DH$1*$DI$1</f>
        <v>17794.916509999999</v>
      </c>
      <c r="DK4" s="210" t="s">
        <v>421</v>
      </c>
      <c r="DL4" s="212" t="s">
        <v>216</v>
      </c>
      <c r="DM4" s="210" t="s">
        <v>422</v>
      </c>
      <c r="DN4" s="212" t="s">
        <v>310</v>
      </c>
      <c r="DO4" s="211">
        <v>20617916000</v>
      </c>
      <c r="DP4" s="211">
        <v>0</v>
      </c>
      <c r="DQ4" s="211">
        <v>0</v>
      </c>
      <c r="DR4" s="211">
        <f t="shared" ref="DR4:DR55" si="31">+DO4/$DS$1*$DT$1</f>
        <v>21483868.471999999</v>
      </c>
      <c r="DS4" s="211">
        <f t="shared" ref="DS4:DS55" si="32">+DP4/$DS$1*$DT$1</f>
        <v>0</v>
      </c>
      <c r="DT4" s="211">
        <f t="shared" ref="DT4:DT55" si="33">+DQ4/$DS$1*$DT$1</f>
        <v>0</v>
      </c>
      <c r="DW4" s="265" t="s">
        <v>423</v>
      </c>
      <c r="DX4" s="297" t="s">
        <v>853</v>
      </c>
      <c r="DY4" s="265" t="s">
        <v>450</v>
      </c>
      <c r="DZ4" s="298" t="s">
        <v>267</v>
      </c>
      <c r="EA4" s="264">
        <v>154816300</v>
      </c>
      <c r="EB4" s="264">
        <f t="shared" ref="EB4:EB16" si="34">+EA4/$EA$1*$EB$1</f>
        <v>161318.5846</v>
      </c>
      <c r="EE4" s="210" t="s">
        <v>421</v>
      </c>
      <c r="EF4" s="212" t="s">
        <v>216</v>
      </c>
      <c r="EG4" s="212" t="s">
        <v>422</v>
      </c>
      <c r="EH4" s="212" t="s">
        <v>310</v>
      </c>
      <c r="EI4" s="211">
        <v>20617916000</v>
      </c>
      <c r="EJ4" s="211">
        <v>0</v>
      </c>
      <c r="EK4" s="211">
        <v>0</v>
      </c>
      <c r="EL4" s="258">
        <f t="shared" ref="EL4:EL55" si="35">+EI4/$EL$1*$EM$1</f>
        <v>21483868.471999999</v>
      </c>
      <c r="EM4" s="258">
        <f t="shared" ref="EM4:EM55" si="36">+EJ4/$EL$1*$EM$1</f>
        <v>0</v>
      </c>
      <c r="EN4" s="258">
        <f t="shared" ref="EN4:EN55" si="37">+EK4/$EL$1*$EM$1</f>
        <v>0</v>
      </c>
      <c r="EQ4" s="210" t="s">
        <v>423</v>
      </c>
      <c r="ER4" s="212" t="s">
        <v>853</v>
      </c>
      <c r="ES4" s="210" t="s">
        <v>450</v>
      </c>
      <c r="ET4" s="210" t="s">
        <v>267</v>
      </c>
      <c r="EU4" s="211">
        <v>119335915</v>
      </c>
      <c r="EV4" s="257">
        <f t="shared" ref="EV4:EV55" si="38">+EU4/$EV$1*$EW$1</f>
        <v>119335.91499999999</v>
      </c>
      <c r="EY4" s="210" t="s">
        <v>421</v>
      </c>
      <c r="EZ4" s="212" t="s">
        <v>216</v>
      </c>
      <c r="FA4" s="212" t="s">
        <v>422</v>
      </c>
      <c r="FB4" s="212" t="s">
        <v>310</v>
      </c>
      <c r="FC4" s="211">
        <v>20617916000</v>
      </c>
      <c r="FD4" s="211">
        <v>0</v>
      </c>
      <c r="FE4" s="211">
        <v>0</v>
      </c>
      <c r="FF4" s="257">
        <f t="shared" ref="FF4:FF55" si="39">+FC4/$FG$1*$FH$1</f>
        <v>20617916</v>
      </c>
      <c r="FG4" s="257">
        <f t="shared" ref="FG4:FG55" si="40">+FD4/$FG$1*$FH$1</f>
        <v>0</v>
      </c>
      <c r="FH4" s="257">
        <f t="shared" ref="FH4:FH55" si="41">+FE4/$FG$1*$FH$1</f>
        <v>0</v>
      </c>
      <c r="FK4" s="204" t="s">
        <v>423</v>
      </c>
      <c r="FL4" s="204" t="s">
        <v>853</v>
      </c>
      <c r="FM4" s="204" t="s">
        <v>450</v>
      </c>
      <c r="FN4" s="204" t="s">
        <v>267</v>
      </c>
      <c r="FO4" s="257">
        <v>70000025</v>
      </c>
      <c r="FP4" s="226">
        <f t="shared" ref="FP4:FP19" si="42">FO4/$FO$1*$FP$1</f>
        <v>70000.024999999994</v>
      </c>
      <c r="FR4" s="262" t="s">
        <v>421</v>
      </c>
      <c r="FS4" s="204" t="s">
        <v>216</v>
      </c>
      <c r="FT4" s="204" t="s">
        <v>422</v>
      </c>
      <c r="FU4" s="204" t="s">
        <v>310</v>
      </c>
      <c r="FV4" s="257">
        <v>20617916000</v>
      </c>
      <c r="FW4" s="257">
        <v>0</v>
      </c>
      <c r="FX4" s="257">
        <v>0</v>
      </c>
      <c r="FY4" s="226">
        <f t="shared" ref="FY4:FY55" si="43">FV4/$GA$1*$GB$1</f>
        <v>20617916</v>
      </c>
      <c r="FZ4" s="226">
        <f t="shared" ref="FZ4:FZ55" si="44">FW4/$GA$1*$GB$1</f>
        <v>0</v>
      </c>
      <c r="GA4" s="226">
        <f t="shared" ref="GA4:GA55" si="45">FX4/$GA$1*$GB$1</f>
        <v>0</v>
      </c>
      <c r="GD4" s="204" t="s">
        <v>423</v>
      </c>
      <c r="GE4" s="204" t="s">
        <v>853</v>
      </c>
      <c r="GF4" s="204" t="s">
        <v>424</v>
      </c>
      <c r="GG4" s="204" t="s">
        <v>268</v>
      </c>
      <c r="GH4" s="257">
        <v>16830311</v>
      </c>
      <c r="GI4" s="257">
        <f t="shared" ref="GI4:GI21" si="46">+GH4/$GH$1*$GI$1</f>
        <v>16830.311000000002</v>
      </c>
      <c r="GK4" s="204" t="s">
        <v>421</v>
      </c>
      <c r="GL4" s="204" t="s">
        <v>216</v>
      </c>
      <c r="GM4" s="204" t="s">
        <v>422</v>
      </c>
      <c r="GN4" s="204" t="s">
        <v>310</v>
      </c>
      <c r="GO4" s="257">
        <v>20672588000</v>
      </c>
      <c r="GP4" s="257">
        <v>0</v>
      </c>
      <c r="GQ4" s="257">
        <v>0</v>
      </c>
      <c r="GR4" s="257">
        <f t="shared" ref="GR4:GR56" si="47">+GO4/$GS$1*$GT$1</f>
        <v>20672588</v>
      </c>
      <c r="GS4" s="257">
        <f t="shared" ref="GS4:GS56" si="48">+GP4/$GS$1*$GT$1</f>
        <v>0</v>
      </c>
      <c r="GT4" s="257">
        <f t="shared" ref="GT4:GT56" si="49">+GQ4/$GS$1*$GT$1</f>
        <v>0</v>
      </c>
      <c r="GV4" s="263" t="s">
        <v>423</v>
      </c>
      <c r="GW4" s="353" t="s">
        <v>853</v>
      </c>
      <c r="GX4" s="353" t="s">
        <v>472</v>
      </c>
      <c r="GY4" s="353" t="s">
        <v>330</v>
      </c>
      <c r="GZ4" s="264">
        <v>536145160</v>
      </c>
      <c r="HA4" s="264">
        <f t="shared" ref="HA4:HA20" si="50">+GZ4/$GZ$1*$HA$1</f>
        <v>536145.16</v>
      </c>
      <c r="HC4" s="204" t="s">
        <v>421</v>
      </c>
      <c r="HD4" s="204" t="s">
        <v>216</v>
      </c>
      <c r="HE4" s="204" t="s">
        <v>422</v>
      </c>
      <c r="HF4" s="204" t="s">
        <v>310</v>
      </c>
      <c r="HG4" s="225">
        <v>20672588000</v>
      </c>
      <c r="HH4" s="225">
        <v>0</v>
      </c>
      <c r="HI4" s="225">
        <v>0</v>
      </c>
      <c r="HJ4" s="225">
        <f t="shared" ref="HJ4:HJ56" si="51">+HG4/$HK$1*$HL$1</f>
        <v>20672588</v>
      </c>
      <c r="HK4" s="225">
        <f t="shared" ref="HK4:HK56" si="52">+HH4/$HK$1*$HL$1</f>
        <v>0</v>
      </c>
      <c r="HL4" s="225">
        <f t="shared" ref="HL4:HL56" si="53">+HI4/$HK$1*$HL$1</f>
        <v>0</v>
      </c>
    </row>
    <row r="5" spans="1:220" ht="15" customHeight="1" x14ac:dyDescent="0.2">
      <c r="A5" s="210" t="s">
        <v>423</v>
      </c>
      <c r="B5" s="212" t="s">
        <v>853</v>
      </c>
      <c r="C5" s="210" t="s">
        <v>450</v>
      </c>
      <c r="D5" s="212" t="s">
        <v>267</v>
      </c>
      <c r="E5" s="211">
        <v>2642082000</v>
      </c>
      <c r="F5" s="211">
        <v>0</v>
      </c>
      <c r="G5" s="211">
        <v>0</v>
      </c>
      <c r="H5" s="211">
        <f t="shared" si="7"/>
        <v>2753049.4440000001</v>
      </c>
      <c r="I5" s="211">
        <f t="shared" si="8"/>
        <v>0</v>
      </c>
      <c r="J5" s="211">
        <f t="shared" si="9"/>
        <v>0</v>
      </c>
      <c r="M5" s="289" t="s">
        <v>423</v>
      </c>
      <c r="N5" s="290" t="s">
        <v>853</v>
      </c>
      <c r="O5" s="289" t="s">
        <v>424</v>
      </c>
      <c r="P5" s="289" t="s">
        <v>268</v>
      </c>
      <c r="Q5" s="291">
        <v>12734603</v>
      </c>
      <c r="R5" s="291">
        <f t="shared" si="10"/>
        <v>13269.456326</v>
      </c>
      <c r="T5" s="292" t="s">
        <v>421</v>
      </c>
      <c r="U5" s="293" t="s">
        <v>216</v>
      </c>
      <c r="V5" s="292" t="s">
        <v>471</v>
      </c>
      <c r="W5" s="293" t="s">
        <v>288</v>
      </c>
      <c r="X5" s="294">
        <v>0</v>
      </c>
      <c r="Y5" s="294">
        <v>54940335000</v>
      </c>
      <c r="Z5" s="294">
        <v>9107771724</v>
      </c>
      <c r="AA5" s="258">
        <f t="shared" si="11"/>
        <v>0</v>
      </c>
      <c r="AB5" s="258">
        <f t="shared" si="12"/>
        <v>57247829.07</v>
      </c>
      <c r="AC5" s="258">
        <f t="shared" si="13"/>
        <v>9490298.1364079993</v>
      </c>
      <c r="AE5" s="210" t="s">
        <v>423</v>
      </c>
      <c r="AF5" s="210" t="s">
        <v>853</v>
      </c>
      <c r="AG5" s="210" t="s">
        <v>424</v>
      </c>
      <c r="AH5" s="210" t="s">
        <v>268</v>
      </c>
      <c r="AI5" s="212" t="s">
        <v>513</v>
      </c>
      <c r="AJ5" s="211">
        <v>12734603</v>
      </c>
      <c r="AK5" s="211">
        <f t="shared" si="14"/>
        <v>13269.456326</v>
      </c>
      <c r="AM5" s="212" t="s">
        <v>421</v>
      </c>
      <c r="AN5" s="212" t="s">
        <v>216</v>
      </c>
      <c r="AO5" s="212" t="s">
        <v>471</v>
      </c>
      <c r="AP5" s="212" t="s">
        <v>288</v>
      </c>
      <c r="AQ5" s="212" t="s">
        <v>513</v>
      </c>
      <c r="AR5" s="295">
        <v>0</v>
      </c>
      <c r="AS5" s="295">
        <v>54940335000</v>
      </c>
      <c r="AT5" s="295">
        <v>23349187668</v>
      </c>
      <c r="AU5" s="295">
        <f t="shared" si="15"/>
        <v>0</v>
      </c>
      <c r="AV5" s="295">
        <f t="shared" si="16"/>
        <v>57247829.07</v>
      </c>
      <c r="AW5" s="295">
        <f t="shared" si="17"/>
        <v>24329853.550056003</v>
      </c>
      <c r="AY5" s="263" t="s">
        <v>423</v>
      </c>
      <c r="AZ5" s="212" t="s">
        <v>853</v>
      </c>
      <c r="BA5" s="263" t="s">
        <v>424</v>
      </c>
      <c r="BB5" s="212" t="s">
        <v>268</v>
      </c>
      <c r="BC5" s="264">
        <v>17214603</v>
      </c>
      <c r="BD5" s="264">
        <f t="shared" si="18"/>
        <v>17937.616325999999</v>
      </c>
      <c r="BF5" s="263" t="s">
        <v>421</v>
      </c>
      <c r="BG5" s="296" t="s">
        <v>216</v>
      </c>
      <c r="BH5" s="210" t="s">
        <v>426</v>
      </c>
      <c r="BI5" s="212" t="s">
        <v>426</v>
      </c>
      <c r="BJ5" s="264">
        <v>0</v>
      </c>
      <c r="BK5" s="264">
        <v>0</v>
      </c>
      <c r="BL5" s="264">
        <v>0</v>
      </c>
      <c r="BM5" s="264">
        <f t="shared" si="19"/>
        <v>0</v>
      </c>
      <c r="BN5" s="264">
        <f t="shared" si="20"/>
        <v>0</v>
      </c>
      <c r="BO5" s="264">
        <f t="shared" si="21"/>
        <v>0</v>
      </c>
      <c r="BR5" s="263" t="s">
        <v>423</v>
      </c>
      <c r="BS5" s="212" t="s">
        <v>853</v>
      </c>
      <c r="BT5" s="263" t="s">
        <v>424</v>
      </c>
      <c r="BU5" s="210" t="s">
        <v>268</v>
      </c>
      <c r="BV5" s="264">
        <v>14834603</v>
      </c>
      <c r="BW5" s="264">
        <f t="shared" si="22"/>
        <v>15457.656326</v>
      </c>
      <c r="BY5" s="210" t="s">
        <v>421</v>
      </c>
      <c r="BZ5" s="210" t="s">
        <v>216</v>
      </c>
      <c r="CA5" s="210" t="s">
        <v>426</v>
      </c>
      <c r="CB5" s="210" t="s">
        <v>426</v>
      </c>
      <c r="CC5" s="212" t="s">
        <v>513</v>
      </c>
      <c r="CD5" s="211">
        <v>0</v>
      </c>
      <c r="CE5" s="211">
        <v>0</v>
      </c>
      <c r="CF5" s="211">
        <v>0</v>
      </c>
      <c r="CG5" s="211">
        <f t="shared" si="23"/>
        <v>0</v>
      </c>
      <c r="CH5" s="211">
        <f t="shared" si="24"/>
        <v>0</v>
      </c>
      <c r="CI5" s="211">
        <f t="shared" si="25"/>
        <v>0</v>
      </c>
      <c r="CK5" s="212" t="s">
        <v>423</v>
      </c>
      <c r="CL5" s="212" t="s">
        <v>853</v>
      </c>
      <c r="CM5" s="212" t="s">
        <v>425</v>
      </c>
      <c r="CN5" s="212" t="s">
        <v>311</v>
      </c>
      <c r="CO5" s="211">
        <v>139289</v>
      </c>
      <c r="CP5" s="211">
        <f t="shared" si="26"/>
        <v>145.139138</v>
      </c>
      <c r="CR5" s="212" t="s">
        <v>421</v>
      </c>
      <c r="CS5" s="212" t="s">
        <v>216</v>
      </c>
      <c r="CT5" s="212" t="s">
        <v>426</v>
      </c>
      <c r="CU5" s="212" t="s">
        <v>426</v>
      </c>
      <c r="CV5" s="211">
        <v>0</v>
      </c>
      <c r="CW5" s="211">
        <v>0</v>
      </c>
      <c r="CX5" s="211">
        <v>0</v>
      </c>
      <c r="CY5" s="211">
        <f t="shared" si="27"/>
        <v>0</v>
      </c>
      <c r="CZ5" s="211">
        <f t="shared" si="28"/>
        <v>0</v>
      </c>
      <c r="DA5" s="211">
        <f t="shared" si="29"/>
        <v>0</v>
      </c>
      <c r="DC5" s="263" t="s">
        <v>423</v>
      </c>
      <c r="DD5" s="212" t="s">
        <v>853</v>
      </c>
      <c r="DE5" s="263" t="s">
        <v>448</v>
      </c>
      <c r="DF5" s="210" t="s">
        <v>449</v>
      </c>
      <c r="DG5" s="264">
        <v>27678034</v>
      </c>
      <c r="DH5" s="264">
        <f t="shared" si="30"/>
        <v>28840.511428000002</v>
      </c>
      <c r="DK5" s="210" t="s">
        <v>421</v>
      </c>
      <c r="DL5" s="212" t="s">
        <v>216</v>
      </c>
      <c r="DM5" s="210" t="s">
        <v>471</v>
      </c>
      <c r="DN5" s="212" t="s">
        <v>288</v>
      </c>
      <c r="DO5" s="211">
        <v>0</v>
      </c>
      <c r="DP5" s="211">
        <v>54940335000</v>
      </c>
      <c r="DQ5" s="211">
        <v>54940335000</v>
      </c>
      <c r="DR5" s="211">
        <f t="shared" si="31"/>
        <v>0</v>
      </c>
      <c r="DS5" s="211">
        <f t="shared" si="32"/>
        <v>57247829.07</v>
      </c>
      <c r="DT5" s="211">
        <f t="shared" si="33"/>
        <v>57247829.07</v>
      </c>
      <c r="DW5" s="265" t="s">
        <v>423</v>
      </c>
      <c r="DX5" s="297" t="s">
        <v>853</v>
      </c>
      <c r="DY5" s="265" t="s">
        <v>424</v>
      </c>
      <c r="DZ5" s="298" t="s">
        <v>268</v>
      </c>
      <c r="EA5" s="264">
        <v>16745018</v>
      </c>
      <c r="EB5" s="264">
        <f t="shared" si="34"/>
        <v>17448.308756000002</v>
      </c>
      <c r="EE5" s="210" t="s">
        <v>421</v>
      </c>
      <c r="EF5" s="212" t="s">
        <v>216</v>
      </c>
      <c r="EG5" s="212" t="s">
        <v>422</v>
      </c>
      <c r="EH5" s="212" t="s">
        <v>310</v>
      </c>
      <c r="EI5" s="211">
        <v>0</v>
      </c>
      <c r="EJ5" s="211">
        <v>20617907292</v>
      </c>
      <c r="EK5" s="211">
        <v>20617907292</v>
      </c>
      <c r="EL5" s="258">
        <f t="shared" si="35"/>
        <v>0</v>
      </c>
      <c r="EM5" s="258">
        <f t="shared" si="36"/>
        <v>21483859.398263998</v>
      </c>
      <c r="EN5" s="258">
        <f t="shared" si="37"/>
        <v>21483859.398263998</v>
      </c>
      <c r="EQ5" s="210" t="s">
        <v>779</v>
      </c>
      <c r="ER5" s="212" t="s">
        <v>780</v>
      </c>
      <c r="ES5" s="210" t="s">
        <v>426</v>
      </c>
      <c r="ET5" s="210" t="s">
        <v>426</v>
      </c>
      <c r="EU5" s="211">
        <v>4106314735</v>
      </c>
      <c r="EV5" s="257">
        <f t="shared" si="38"/>
        <v>4106314.7349999999</v>
      </c>
      <c r="EY5" s="210" t="s">
        <v>421</v>
      </c>
      <c r="EZ5" s="212" t="s">
        <v>216</v>
      </c>
      <c r="FA5" s="212" t="s">
        <v>471</v>
      </c>
      <c r="FB5" s="212" t="s">
        <v>288</v>
      </c>
      <c r="FC5" s="211">
        <v>0</v>
      </c>
      <c r="FD5" s="211">
        <v>54940335000</v>
      </c>
      <c r="FE5" s="211">
        <v>54940335000</v>
      </c>
      <c r="FF5" s="257">
        <f t="shared" si="39"/>
        <v>0</v>
      </c>
      <c r="FG5" s="257">
        <f t="shared" si="40"/>
        <v>54940335</v>
      </c>
      <c r="FH5" s="257">
        <f t="shared" si="41"/>
        <v>54940335</v>
      </c>
      <c r="FK5" s="204" t="s">
        <v>887</v>
      </c>
      <c r="FL5" s="204" t="s">
        <v>888</v>
      </c>
      <c r="FM5" s="204" t="s">
        <v>426</v>
      </c>
      <c r="FN5" s="204" t="s">
        <v>426</v>
      </c>
      <c r="FO5" s="257">
        <v>76854497</v>
      </c>
      <c r="FP5" s="226">
        <f t="shared" si="42"/>
        <v>76854.497000000003</v>
      </c>
      <c r="FR5" s="262" t="s">
        <v>421</v>
      </c>
      <c r="FS5" s="204" t="s">
        <v>216</v>
      </c>
      <c r="FT5" s="204" t="s">
        <v>426</v>
      </c>
      <c r="FU5" s="204" t="s">
        <v>426</v>
      </c>
      <c r="FV5" s="257">
        <v>0</v>
      </c>
      <c r="FW5" s="257">
        <v>0</v>
      </c>
      <c r="FX5" s="257">
        <v>0</v>
      </c>
      <c r="FY5" s="226">
        <f t="shared" si="43"/>
        <v>0</v>
      </c>
      <c r="FZ5" s="226">
        <f t="shared" si="44"/>
        <v>0</v>
      </c>
      <c r="GA5" s="226">
        <f t="shared" si="45"/>
        <v>0</v>
      </c>
      <c r="GD5" s="204" t="s">
        <v>423</v>
      </c>
      <c r="GE5" s="204" t="s">
        <v>853</v>
      </c>
      <c r="GF5" s="204" t="s">
        <v>425</v>
      </c>
      <c r="GG5" s="204" t="s">
        <v>311</v>
      </c>
      <c r="GH5" s="257">
        <v>198486</v>
      </c>
      <c r="GI5" s="257">
        <f t="shared" si="46"/>
        <v>198.48599999999999</v>
      </c>
      <c r="GK5" s="204" t="s">
        <v>421</v>
      </c>
      <c r="GL5" s="204" t="s">
        <v>216</v>
      </c>
      <c r="GM5" s="204" t="s">
        <v>422</v>
      </c>
      <c r="GN5" s="204" t="s">
        <v>310</v>
      </c>
      <c r="GO5" s="257">
        <v>0</v>
      </c>
      <c r="GP5" s="257">
        <v>20672572194</v>
      </c>
      <c r="GQ5" s="257">
        <v>20672572194</v>
      </c>
      <c r="GR5" s="257">
        <f t="shared" si="47"/>
        <v>0</v>
      </c>
      <c r="GS5" s="257">
        <f t="shared" si="48"/>
        <v>20672572.193999998</v>
      </c>
      <c r="GT5" s="257">
        <f t="shared" si="49"/>
        <v>20672572.193999998</v>
      </c>
      <c r="GV5" s="263" t="s">
        <v>423</v>
      </c>
      <c r="GW5" s="353" t="s">
        <v>853</v>
      </c>
      <c r="GX5" s="353" t="s">
        <v>447</v>
      </c>
      <c r="GY5" s="353" t="s">
        <v>270</v>
      </c>
      <c r="GZ5" s="264">
        <v>2560880</v>
      </c>
      <c r="HA5" s="264">
        <f t="shared" si="50"/>
        <v>2560.88</v>
      </c>
      <c r="HC5" s="204" t="s">
        <v>421</v>
      </c>
      <c r="HD5" s="204" t="s">
        <v>216</v>
      </c>
      <c r="HE5" s="204" t="s">
        <v>471</v>
      </c>
      <c r="HF5" s="204" t="s">
        <v>288</v>
      </c>
      <c r="HG5" s="225">
        <v>0</v>
      </c>
      <c r="HH5" s="225">
        <v>54940335000</v>
      </c>
      <c r="HI5" s="225">
        <v>54940335000</v>
      </c>
      <c r="HJ5" s="225">
        <f t="shared" si="51"/>
        <v>0</v>
      </c>
      <c r="HK5" s="225">
        <f t="shared" si="52"/>
        <v>54940335</v>
      </c>
      <c r="HL5" s="225">
        <f t="shared" si="53"/>
        <v>54940335</v>
      </c>
    </row>
    <row r="6" spans="1:220" ht="15" customHeight="1" x14ac:dyDescent="0.2">
      <c r="A6" s="210" t="s">
        <v>423</v>
      </c>
      <c r="B6" s="212" t="s">
        <v>853</v>
      </c>
      <c r="C6" s="210" t="s">
        <v>472</v>
      </c>
      <c r="D6" s="212" t="s">
        <v>330</v>
      </c>
      <c r="E6" s="211">
        <v>587229000</v>
      </c>
      <c r="F6" s="211">
        <v>0</v>
      </c>
      <c r="G6" s="211">
        <v>0</v>
      </c>
      <c r="H6" s="211">
        <f t="shared" si="7"/>
        <v>611892.61800000002</v>
      </c>
      <c r="I6" s="211">
        <f t="shared" si="8"/>
        <v>0</v>
      </c>
      <c r="J6" s="211">
        <f t="shared" si="9"/>
        <v>0</v>
      </c>
      <c r="M6" s="289" t="s">
        <v>781</v>
      </c>
      <c r="N6" s="290" t="s">
        <v>782</v>
      </c>
      <c r="O6" s="289" t="s">
        <v>426</v>
      </c>
      <c r="P6" s="289" t="s">
        <v>426</v>
      </c>
      <c r="Q6" s="291">
        <v>15164780950</v>
      </c>
      <c r="R6" s="291">
        <f t="shared" si="10"/>
        <v>15801701.7499</v>
      </c>
      <c r="T6" s="292" t="s">
        <v>421</v>
      </c>
      <c r="U6" s="293" t="s">
        <v>216</v>
      </c>
      <c r="V6" s="292" t="s">
        <v>426</v>
      </c>
      <c r="W6" s="293" t="s">
        <v>426</v>
      </c>
      <c r="X6" s="294">
        <v>0</v>
      </c>
      <c r="Y6" s="294">
        <v>0</v>
      </c>
      <c r="Z6" s="294">
        <v>0</v>
      </c>
      <c r="AA6" s="258">
        <f t="shared" si="11"/>
        <v>0</v>
      </c>
      <c r="AB6" s="258">
        <f t="shared" si="12"/>
        <v>0</v>
      </c>
      <c r="AC6" s="258">
        <f t="shared" si="13"/>
        <v>0</v>
      </c>
      <c r="AE6" s="210" t="s">
        <v>423</v>
      </c>
      <c r="AF6" s="210" t="s">
        <v>853</v>
      </c>
      <c r="AG6" s="210" t="s">
        <v>450</v>
      </c>
      <c r="AH6" s="210" t="s">
        <v>267</v>
      </c>
      <c r="AI6" s="212" t="s">
        <v>513</v>
      </c>
      <c r="AJ6" s="211">
        <v>30857000</v>
      </c>
      <c r="AK6" s="211">
        <f t="shared" si="14"/>
        <v>32152.994000000002</v>
      </c>
      <c r="AM6" s="212" t="s">
        <v>421</v>
      </c>
      <c r="AN6" s="212" t="s">
        <v>216</v>
      </c>
      <c r="AO6" s="212" t="s">
        <v>422</v>
      </c>
      <c r="AP6" s="212" t="s">
        <v>310</v>
      </c>
      <c r="AQ6" s="212" t="s">
        <v>513</v>
      </c>
      <c r="AR6" s="295">
        <v>0</v>
      </c>
      <c r="AS6" s="295">
        <v>20617907292</v>
      </c>
      <c r="AT6" s="295">
        <v>20617907292</v>
      </c>
      <c r="AU6" s="295">
        <f t="shared" si="15"/>
        <v>0</v>
      </c>
      <c r="AV6" s="295">
        <f t="shared" si="16"/>
        <v>21483859.398263998</v>
      </c>
      <c r="AW6" s="295">
        <f t="shared" si="17"/>
        <v>21483859.398263998</v>
      </c>
      <c r="AY6" s="263" t="s">
        <v>779</v>
      </c>
      <c r="AZ6" s="212" t="s">
        <v>780</v>
      </c>
      <c r="BA6" s="263" t="s">
        <v>426</v>
      </c>
      <c r="BB6" s="212" t="s">
        <v>426</v>
      </c>
      <c r="BC6" s="264">
        <v>125929730</v>
      </c>
      <c r="BD6" s="264">
        <f t="shared" si="18"/>
        <v>131218.77866000001</v>
      </c>
      <c r="BF6" s="263" t="s">
        <v>421</v>
      </c>
      <c r="BG6" s="296" t="s">
        <v>216</v>
      </c>
      <c r="BH6" s="210" t="s">
        <v>422</v>
      </c>
      <c r="BI6" s="212" t="s">
        <v>310</v>
      </c>
      <c r="BJ6" s="264">
        <v>0</v>
      </c>
      <c r="BK6" s="264">
        <v>20617907292</v>
      </c>
      <c r="BL6" s="264">
        <v>20617907292</v>
      </c>
      <c r="BM6" s="264">
        <f t="shared" si="19"/>
        <v>0</v>
      </c>
      <c r="BN6" s="264">
        <f t="shared" si="20"/>
        <v>21483859.398263998</v>
      </c>
      <c r="BO6" s="264">
        <f t="shared" si="21"/>
        <v>21483859.398263998</v>
      </c>
      <c r="BR6" s="263" t="s">
        <v>887</v>
      </c>
      <c r="BS6" s="212" t="s">
        <v>888</v>
      </c>
      <c r="BT6" s="263" t="s">
        <v>426</v>
      </c>
      <c r="BU6" s="210" t="s">
        <v>426</v>
      </c>
      <c r="BV6" s="264">
        <v>31380000</v>
      </c>
      <c r="BW6" s="264">
        <f t="shared" si="22"/>
        <v>32697.960000000003</v>
      </c>
      <c r="BY6" s="210" t="s">
        <v>421</v>
      </c>
      <c r="BZ6" s="210" t="s">
        <v>216</v>
      </c>
      <c r="CA6" s="210" t="s">
        <v>471</v>
      </c>
      <c r="CB6" s="210" t="s">
        <v>288</v>
      </c>
      <c r="CC6" s="212" t="s">
        <v>513</v>
      </c>
      <c r="CD6" s="211">
        <v>0</v>
      </c>
      <c r="CE6" s="211">
        <v>54940335000</v>
      </c>
      <c r="CF6" s="211">
        <v>34574611432</v>
      </c>
      <c r="CG6" s="211">
        <f t="shared" si="23"/>
        <v>0</v>
      </c>
      <c r="CH6" s="211">
        <f t="shared" si="24"/>
        <v>57247829.07</v>
      </c>
      <c r="CI6" s="211">
        <f t="shared" si="25"/>
        <v>36026745.112144001</v>
      </c>
      <c r="CK6" s="212" t="s">
        <v>423</v>
      </c>
      <c r="CL6" s="212" t="s">
        <v>853</v>
      </c>
      <c r="CM6" s="212" t="s">
        <v>450</v>
      </c>
      <c r="CN6" s="212" t="s">
        <v>267</v>
      </c>
      <c r="CO6" s="211">
        <v>126200000</v>
      </c>
      <c r="CP6" s="211">
        <f t="shared" si="26"/>
        <v>131500.4</v>
      </c>
      <c r="CR6" s="212" t="s">
        <v>421</v>
      </c>
      <c r="CS6" s="212" t="s">
        <v>216</v>
      </c>
      <c r="CT6" s="212" t="s">
        <v>422</v>
      </c>
      <c r="CU6" s="212" t="s">
        <v>310</v>
      </c>
      <c r="CV6" s="211">
        <v>0</v>
      </c>
      <c r="CW6" s="211">
        <v>20617907292</v>
      </c>
      <c r="CX6" s="211">
        <v>20617907292</v>
      </c>
      <c r="CY6" s="211">
        <f t="shared" si="27"/>
        <v>0</v>
      </c>
      <c r="CZ6" s="211">
        <f t="shared" si="28"/>
        <v>21483859.398263998</v>
      </c>
      <c r="DA6" s="211">
        <f t="shared" si="29"/>
        <v>21483859.398263998</v>
      </c>
      <c r="DC6" s="263" t="s">
        <v>887</v>
      </c>
      <c r="DD6" s="212" t="s">
        <v>888</v>
      </c>
      <c r="DE6" s="263" t="s">
        <v>426</v>
      </c>
      <c r="DF6" s="210" t="s">
        <v>426</v>
      </c>
      <c r="DG6" s="264">
        <v>63823334</v>
      </c>
      <c r="DH6" s="264">
        <f t="shared" si="30"/>
        <v>66503.914027999999</v>
      </c>
      <c r="DK6" s="210" t="s">
        <v>421</v>
      </c>
      <c r="DL6" s="212" t="s">
        <v>216</v>
      </c>
      <c r="DM6" s="210" t="s">
        <v>422</v>
      </c>
      <c r="DN6" s="212" t="s">
        <v>310</v>
      </c>
      <c r="DO6" s="211">
        <v>0</v>
      </c>
      <c r="DP6" s="211">
        <v>20617907292</v>
      </c>
      <c r="DQ6" s="211">
        <v>20617907292</v>
      </c>
      <c r="DR6" s="211">
        <f t="shared" si="31"/>
        <v>0</v>
      </c>
      <c r="DS6" s="211">
        <f t="shared" si="32"/>
        <v>21483859.398263998</v>
      </c>
      <c r="DT6" s="211">
        <f t="shared" si="33"/>
        <v>21483859.398263998</v>
      </c>
      <c r="DW6" s="265" t="s">
        <v>887</v>
      </c>
      <c r="DX6" s="297" t="s">
        <v>888</v>
      </c>
      <c r="DY6" s="265" t="s">
        <v>426</v>
      </c>
      <c r="DZ6" s="298" t="s">
        <v>426</v>
      </c>
      <c r="EA6" s="264">
        <v>38014000</v>
      </c>
      <c r="EB6" s="264">
        <f t="shared" si="34"/>
        <v>39610.588000000003</v>
      </c>
      <c r="EE6" s="210" t="s">
        <v>421</v>
      </c>
      <c r="EF6" s="212" t="s">
        <v>216</v>
      </c>
      <c r="EG6" s="212" t="s">
        <v>471</v>
      </c>
      <c r="EH6" s="212" t="s">
        <v>288</v>
      </c>
      <c r="EI6" s="211">
        <v>0</v>
      </c>
      <c r="EJ6" s="211">
        <v>54940335000</v>
      </c>
      <c r="EK6" s="211">
        <v>54940335000</v>
      </c>
      <c r="EL6" s="258">
        <f t="shared" si="35"/>
        <v>0</v>
      </c>
      <c r="EM6" s="258">
        <f t="shared" si="36"/>
        <v>57247829.07</v>
      </c>
      <c r="EN6" s="258">
        <f t="shared" si="37"/>
        <v>57247829.07</v>
      </c>
      <c r="EQ6" s="210" t="s">
        <v>781</v>
      </c>
      <c r="ER6" s="212" t="s">
        <v>782</v>
      </c>
      <c r="ES6" s="210" t="s">
        <v>426</v>
      </c>
      <c r="ET6" s="210" t="s">
        <v>426</v>
      </c>
      <c r="EU6" s="211">
        <v>8394117050</v>
      </c>
      <c r="EV6" s="257">
        <f t="shared" si="38"/>
        <v>8394117.0500000007</v>
      </c>
      <c r="EY6" s="210" t="s">
        <v>421</v>
      </c>
      <c r="EZ6" s="212" t="s">
        <v>216</v>
      </c>
      <c r="FA6" s="212" t="s">
        <v>426</v>
      </c>
      <c r="FB6" s="212" t="s">
        <v>426</v>
      </c>
      <c r="FC6" s="211">
        <v>0</v>
      </c>
      <c r="FD6" s="211">
        <v>0</v>
      </c>
      <c r="FE6" s="211">
        <v>0</v>
      </c>
      <c r="FF6" s="257">
        <f t="shared" si="39"/>
        <v>0</v>
      </c>
      <c r="FG6" s="257">
        <f t="shared" si="40"/>
        <v>0</v>
      </c>
      <c r="FH6" s="257">
        <f t="shared" si="41"/>
        <v>0</v>
      </c>
      <c r="FK6" s="204" t="s">
        <v>429</v>
      </c>
      <c r="FL6" s="204" t="s">
        <v>140</v>
      </c>
      <c r="FM6" s="204" t="s">
        <v>426</v>
      </c>
      <c r="FN6" s="204" t="s">
        <v>426</v>
      </c>
      <c r="FO6" s="257">
        <v>366914522</v>
      </c>
      <c r="FP6" s="226">
        <f t="shared" si="42"/>
        <v>366914.522</v>
      </c>
      <c r="FR6" s="262" t="s">
        <v>421</v>
      </c>
      <c r="FS6" s="204" t="s">
        <v>216</v>
      </c>
      <c r="FT6" s="204" t="s">
        <v>471</v>
      </c>
      <c r="FU6" s="204" t="s">
        <v>288</v>
      </c>
      <c r="FV6" s="257">
        <v>0</v>
      </c>
      <c r="FW6" s="257">
        <v>54940335000</v>
      </c>
      <c r="FX6" s="257">
        <v>54940335000</v>
      </c>
      <c r="FY6" s="226">
        <f t="shared" si="43"/>
        <v>0</v>
      </c>
      <c r="FZ6" s="226">
        <f>FW6/$GA$1*$GB$1</f>
        <v>54940335</v>
      </c>
      <c r="GA6" s="226">
        <f t="shared" si="45"/>
        <v>54940335</v>
      </c>
      <c r="GD6" s="204" t="s">
        <v>423</v>
      </c>
      <c r="GE6" s="204" t="s">
        <v>853</v>
      </c>
      <c r="GF6" s="204" t="s">
        <v>447</v>
      </c>
      <c r="GG6" s="204" t="s">
        <v>270</v>
      </c>
      <c r="GH6" s="257">
        <v>1896622</v>
      </c>
      <c r="GI6" s="257">
        <f t="shared" si="46"/>
        <v>1896.6220000000001</v>
      </c>
      <c r="GK6" s="204" t="s">
        <v>421</v>
      </c>
      <c r="GL6" s="204" t="s">
        <v>216</v>
      </c>
      <c r="GM6" s="204" t="s">
        <v>471</v>
      </c>
      <c r="GN6" s="204" t="s">
        <v>288</v>
      </c>
      <c r="GO6" s="257">
        <v>0</v>
      </c>
      <c r="GP6" s="257">
        <v>54940335000</v>
      </c>
      <c r="GQ6" s="257">
        <v>54940335000</v>
      </c>
      <c r="GR6" s="257">
        <f t="shared" si="47"/>
        <v>0</v>
      </c>
      <c r="GS6" s="257">
        <f t="shared" si="48"/>
        <v>54940335</v>
      </c>
      <c r="GT6" s="257">
        <f t="shared" si="49"/>
        <v>54940335</v>
      </c>
      <c r="GV6" s="263" t="s">
        <v>423</v>
      </c>
      <c r="GW6" s="353" t="s">
        <v>853</v>
      </c>
      <c r="GX6" s="353" t="s">
        <v>448</v>
      </c>
      <c r="GY6" s="353" t="s">
        <v>449</v>
      </c>
      <c r="GZ6" s="264">
        <v>110302648</v>
      </c>
      <c r="HA6" s="264">
        <f t="shared" si="50"/>
        <v>110302.648</v>
      </c>
      <c r="HC6" s="204" t="s">
        <v>421</v>
      </c>
      <c r="HD6" s="204" t="s">
        <v>216</v>
      </c>
      <c r="HE6" s="204" t="s">
        <v>422</v>
      </c>
      <c r="HF6" s="204" t="s">
        <v>310</v>
      </c>
      <c r="HG6" s="225">
        <v>0</v>
      </c>
      <c r="HH6" s="225">
        <v>20672572194</v>
      </c>
      <c r="HI6" s="225">
        <v>20672572194</v>
      </c>
      <c r="HJ6" s="225">
        <f t="shared" si="51"/>
        <v>0</v>
      </c>
      <c r="HK6" s="225">
        <f t="shared" si="52"/>
        <v>20672572.193999998</v>
      </c>
      <c r="HL6" s="225">
        <f t="shared" si="53"/>
        <v>20672572.193999998</v>
      </c>
    </row>
    <row r="7" spans="1:220" ht="15" customHeight="1" x14ac:dyDescent="0.2">
      <c r="A7" s="210" t="s">
        <v>423</v>
      </c>
      <c r="B7" s="212" t="s">
        <v>853</v>
      </c>
      <c r="C7" s="210" t="s">
        <v>448</v>
      </c>
      <c r="D7" s="212" t="s">
        <v>449</v>
      </c>
      <c r="E7" s="211">
        <v>300000000</v>
      </c>
      <c r="F7" s="211">
        <v>0</v>
      </c>
      <c r="G7" s="211">
        <v>0</v>
      </c>
      <c r="H7" s="211">
        <f t="shared" si="7"/>
        <v>312600</v>
      </c>
      <c r="I7" s="211">
        <f t="shared" si="8"/>
        <v>0</v>
      </c>
      <c r="J7" s="211">
        <f t="shared" si="9"/>
        <v>0</v>
      </c>
      <c r="M7" s="289" t="s">
        <v>787</v>
      </c>
      <c r="N7" s="290" t="s">
        <v>788</v>
      </c>
      <c r="O7" s="289" t="s">
        <v>426</v>
      </c>
      <c r="P7" s="289" t="s">
        <v>426</v>
      </c>
      <c r="Q7" s="291">
        <v>101430000</v>
      </c>
      <c r="R7" s="291">
        <f t="shared" si="10"/>
        <v>105690.06</v>
      </c>
      <c r="T7" s="292" t="s">
        <v>423</v>
      </c>
      <c r="U7" s="293" t="s">
        <v>853</v>
      </c>
      <c r="V7" s="292" t="s">
        <v>450</v>
      </c>
      <c r="W7" s="293" t="s">
        <v>267</v>
      </c>
      <c r="X7" s="294">
        <v>2642082000</v>
      </c>
      <c r="Y7" s="294">
        <v>0</v>
      </c>
      <c r="Z7" s="294">
        <v>0</v>
      </c>
      <c r="AA7" s="258">
        <f t="shared" si="11"/>
        <v>2753049.4440000001</v>
      </c>
      <c r="AB7" s="258">
        <f t="shared" si="12"/>
        <v>0</v>
      </c>
      <c r="AC7" s="258">
        <f t="shared" si="13"/>
        <v>0</v>
      </c>
      <c r="AE7" s="210" t="s">
        <v>779</v>
      </c>
      <c r="AF7" s="210" t="s">
        <v>780</v>
      </c>
      <c r="AG7" s="210" t="s">
        <v>426</v>
      </c>
      <c r="AH7" s="210" t="s">
        <v>426</v>
      </c>
      <c r="AI7" s="212" t="s">
        <v>513</v>
      </c>
      <c r="AJ7" s="211">
        <v>9999958</v>
      </c>
      <c r="AK7" s="211">
        <f t="shared" si="14"/>
        <v>10419.956236000002</v>
      </c>
      <c r="AM7" s="212" t="s">
        <v>421</v>
      </c>
      <c r="AN7" s="212" t="s">
        <v>216</v>
      </c>
      <c r="AO7" s="212" t="s">
        <v>426</v>
      </c>
      <c r="AP7" s="212" t="s">
        <v>426</v>
      </c>
      <c r="AQ7" s="212" t="s">
        <v>513</v>
      </c>
      <c r="AR7" s="295">
        <v>0</v>
      </c>
      <c r="AS7" s="295">
        <v>0</v>
      </c>
      <c r="AT7" s="295">
        <v>0</v>
      </c>
      <c r="AU7" s="295">
        <f t="shared" si="15"/>
        <v>0</v>
      </c>
      <c r="AV7" s="295">
        <f t="shared" si="16"/>
        <v>0</v>
      </c>
      <c r="AW7" s="295">
        <f t="shared" si="17"/>
        <v>0</v>
      </c>
      <c r="AY7" s="263" t="s">
        <v>781</v>
      </c>
      <c r="AZ7" s="212" t="s">
        <v>782</v>
      </c>
      <c r="BA7" s="263" t="s">
        <v>426</v>
      </c>
      <c r="BB7" s="212" t="s">
        <v>426</v>
      </c>
      <c r="BC7" s="264">
        <v>6815555087</v>
      </c>
      <c r="BD7" s="264">
        <f t="shared" si="18"/>
        <v>7101808.4006540002</v>
      </c>
      <c r="BF7" s="263" t="s">
        <v>421</v>
      </c>
      <c r="BG7" s="296" t="s">
        <v>216</v>
      </c>
      <c r="BH7" s="210" t="s">
        <v>471</v>
      </c>
      <c r="BI7" s="212" t="s">
        <v>288</v>
      </c>
      <c r="BJ7" s="264">
        <v>0</v>
      </c>
      <c r="BK7" s="264">
        <v>54940335000</v>
      </c>
      <c r="BL7" s="264">
        <v>33043723878</v>
      </c>
      <c r="BM7" s="264">
        <f t="shared" si="19"/>
        <v>0</v>
      </c>
      <c r="BN7" s="264">
        <f t="shared" si="20"/>
        <v>57247829.07</v>
      </c>
      <c r="BO7" s="264">
        <f t="shared" si="21"/>
        <v>34431560.280876003</v>
      </c>
      <c r="BR7" s="263" t="s">
        <v>429</v>
      </c>
      <c r="BS7" s="212" t="s">
        <v>140</v>
      </c>
      <c r="BT7" s="263" t="s">
        <v>426</v>
      </c>
      <c r="BU7" s="210" t="s">
        <v>426</v>
      </c>
      <c r="BV7" s="264">
        <v>2771721054</v>
      </c>
      <c r="BW7" s="264">
        <f t="shared" si="22"/>
        <v>2888133.3382680002</v>
      </c>
      <c r="BY7" s="210" t="s">
        <v>421</v>
      </c>
      <c r="BZ7" s="210" t="s">
        <v>216</v>
      </c>
      <c r="CA7" s="210" t="s">
        <v>422</v>
      </c>
      <c r="CB7" s="210" t="s">
        <v>310</v>
      </c>
      <c r="CC7" s="212" t="s">
        <v>513</v>
      </c>
      <c r="CD7" s="211">
        <v>0</v>
      </c>
      <c r="CE7" s="211">
        <v>20617907292</v>
      </c>
      <c r="CF7" s="211">
        <v>20617907292</v>
      </c>
      <c r="CG7" s="211">
        <f t="shared" si="23"/>
        <v>0</v>
      </c>
      <c r="CH7" s="211">
        <f t="shared" si="24"/>
        <v>21483859.398263998</v>
      </c>
      <c r="CI7" s="211">
        <f t="shared" si="25"/>
        <v>21483859.398263998</v>
      </c>
      <c r="CK7" s="212" t="s">
        <v>423</v>
      </c>
      <c r="CL7" s="212" t="s">
        <v>853</v>
      </c>
      <c r="CM7" s="212" t="s">
        <v>447</v>
      </c>
      <c r="CN7" s="212" t="s">
        <v>270</v>
      </c>
      <c r="CO7" s="211">
        <v>490000</v>
      </c>
      <c r="CP7" s="211">
        <f t="shared" si="26"/>
        <v>510.58000000000004</v>
      </c>
      <c r="CR7" s="212" t="s">
        <v>421</v>
      </c>
      <c r="CS7" s="212" t="s">
        <v>216</v>
      </c>
      <c r="CT7" s="212" t="s">
        <v>471</v>
      </c>
      <c r="CU7" s="212" t="s">
        <v>288</v>
      </c>
      <c r="CV7" s="211">
        <v>0</v>
      </c>
      <c r="CW7" s="211">
        <v>54940335000</v>
      </c>
      <c r="CX7" s="211">
        <v>54940335000</v>
      </c>
      <c r="CY7" s="211">
        <f t="shared" si="27"/>
        <v>0</v>
      </c>
      <c r="CZ7" s="211">
        <f t="shared" si="28"/>
        <v>57247829.07</v>
      </c>
      <c r="DA7" s="211">
        <f t="shared" si="29"/>
        <v>57247829.07</v>
      </c>
      <c r="DC7" s="263" t="s">
        <v>429</v>
      </c>
      <c r="DD7" s="212" t="s">
        <v>140</v>
      </c>
      <c r="DE7" s="263" t="s">
        <v>426</v>
      </c>
      <c r="DF7" s="210" t="s">
        <v>426</v>
      </c>
      <c r="DG7" s="264">
        <v>1310978671</v>
      </c>
      <c r="DH7" s="264">
        <f t="shared" si="30"/>
        <v>1366039.7751820001</v>
      </c>
      <c r="DK7" s="210" t="s">
        <v>421</v>
      </c>
      <c r="DL7" s="212" t="s">
        <v>216</v>
      </c>
      <c r="DM7" s="210" t="s">
        <v>426</v>
      </c>
      <c r="DN7" s="212" t="s">
        <v>426</v>
      </c>
      <c r="DO7" s="211">
        <v>0</v>
      </c>
      <c r="DP7" s="211">
        <v>0</v>
      </c>
      <c r="DQ7" s="211">
        <v>0</v>
      </c>
      <c r="DR7" s="211">
        <f t="shared" si="31"/>
        <v>0</v>
      </c>
      <c r="DS7" s="211">
        <f t="shared" si="32"/>
        <v>0</v>
      </c>
      <c r="DT7" s="211">
        <f t="shared" si="33"/>
        <v>0</v>
      </c>
      <c r="DW7" s="265" t="s">
        <v>779</v>
      </c>
      <c r="DX7" s="297" t="s">
        <v>780</v>
      </c>
      <c r="DY7" s="265" t="s">
        <v>426</v>
      </c>
      <c r="DZ7" s="298" t="s">
        <v>426</v>
      </c>
      <c r="EA7" s="264">
        <v>4109017011</v>
      </c>
      <c r="EB7" s="264">
        <f t="shared" si="34"/>
        <v>4281595.7254619999</v>
      </c>
      <c r="EE7" s="210" t="s">
        <v>421</v>
      </c>
      <c r="EF7" s="212" t="s">
        <v>216</v>
      </c>
      <c r="EG7" s="212" t="s">
        <v>426</v>
      </c>
      <c r="EH7" s="212" t="s">
        <v>426</v>
      </c>
      <c r="EI7" s="211">
        <v>0</v>
      </c>
      <c r="EJ7" s="211">
        <v>0</v>
      </c>
      <c r="EK7" s="211">
        <v>0</v>
      </c>
      <c r="EL7" s="258">
        <f t="shared" si="35"/>
        <v>0</v>
      </c>
      <c r="EM7" s="258">
        <f t="shared" si="36"/>
        <v>0</v>
      </c>
      <c r="EN7" s="258">
        <f t="shared" si="37"/>
        <v>0</v>
      </c>
      <c r="EQ7" s="210" t="s">
        <v>785</v>
      </c>
      <c r="ER7" s="212" t="s">
        <v>786</v>
      </c>
      <c r="ES7" s="210" t="s">
        <v>426</v>
      </c>
      <c r="ET7" s="210" t="s">
        <v>426</v>
      </c>
      <c r="EU7" s="211">
        <v>74999999</v>
      </c>
      <c r="EV7" s="257">
        <f t="shared" si="38"/>
        <v>74999.998999999996</v>
      </c>
      <c r="EY7" s="210" t="s">
        <v>421</v>
      </c>
      <c r="EZ7" s="212" t="s">
        <v>216</v>
      </c>
      <c r="FA7" s="212" t="s">
        <v>422</v>
      </c>
      <c r="FB7" s="212" t="s">
        <v>310</v>
      </c>
      <c r="FC7" s="211">
        <v>0</v>
      </c>
      <c r="FD7" s="211">
        <v>20617907292</v>
      </c>
      <c r="FE7" s="211">
        <v>20617907292</v>
      </c>
      <c r="FF7" s="257">
        <f t="shared" si="39"/>
        <v>0</v>
      </c>
      <c r="FG7" s="257">
        <f t="shared" si="40"/>
        <v>20617907.291999999</v>
      </c>
      <c r="FH7" s="257">
        <f t="shared" si="41"/>
        <v>20617907.291999999</v>
      </c>
      <c r="FK7" s="204" t="s">
        <v>779</v>
      </c>
      <c r="FL7" s="204" t="s">
        <v>780</v>
      </c>
      <c r="FM7" s="204" t="s">
        <v>426</v>
      </c>
      <c r="FN7" s="204" t="s">
        <v>426</v>
      </c>
      <c r="FO7" s="257">
        <v>3856496941</v>
      </c>
      <c r="FP7" s="226">
        <f t="shared" si="42"/>
        <v>3856496.9410000001</v>
      </c>
      <c r="FR7" s="262" t="s">
        <v>421</v>
      </c>
      <c r="FS7" s="204" t="s">
        <v>216</v>
      </c>
      <c r="FT7" s="204" t="s">
        <v>422</v>
      </c>
      <c r="FU7" s="204" t="s">
        <v>310</v>
      </c>
      <c r="FV7" s="257">
        <v>0</v>
      </c>
      <c r="FW7" s="257">
        <v>20617907292</v>
      </c>
      <c r="FX7" s="257">
        <v>20617907292</v>
      </c>
      <c r="FY7" s="226">
        <f t="shared" si="43"/>
        <v>0</v>
      </c>
      <c r="FZ7" s="226">
        <f t="shared" si="44"/>
        <v>20617907.291999999</v>
      </c>
      <c r="GA7" s="226">
        <f t="shared" si="45"/>
        <v>20617907.291999999</v>
      </c>
      <c r="GD7" s="204" t="s">
        <v>423</v>
      </c>
      <c r="GE7" s="204" t="s">
        <v>853</v>
      </c>
      <c r="GF7" s="204" t="s">
        <v>450</v>
      </c>
      <c r="GG7" s="204" t="s">
        <v>267</v>
      </c>
      <c r="GH7" s="257">
        <v>43500000</v>
      </c>
      <c r="GI7" s="257">
        <f t="shared" si="46"/>
        <v>43500</v>
      </c>
      <c r="GK7" s="204" t="s">
        <v>421</v>
      </c>
      <c r="GL7" s="204" t="s">
        <v>216</v>
      </c>
      <c r="GM7" s="204" t="s">
        <v>426</v>
      </c>
      <c r="GN7" s="204" t="s">
        <v>426</v>
      </c>
      <c r="GO7" s="257">
        <v>0</v>
      </c>
      <c r="GP7" s="257">
        <v>0</v>
      </c>
      <c r="GQ7" s="257">
        <v>0</v>
      </c>
      <c r="GR7" s="257">
        <f t="shared" si="47"/>
        <v>0</v>
      </c>
      <c r="GS7" s="257">
        <f t="shared" si="48"/>
        <v>0</v>
      </c>
      <c r="GT7" s="257">
        <f t="shared" si="49"/>
        <v>0</v>
      </c>
      <c r="GV7" s="263" t="s">
        <v>423</v>
      </c>
      <c r="GW7" s="353" t="s">
        <v>853</v>
      </c>
      <c r="GX7" s="353" t="s">
        <v>424</v>
      </c>
      <c r="GY7" s="353" t="s">
        <v>268</v>
      </c>
      <c r="GZ7" s="264">
        <v>17086321</v>
      </c>
      <c r="HA7" s="264">
        <f t="shared" si="50"/>
        <v>17086.321</v>
      </c>
      <c r="HC7" s="204" t="s">
        <v>421</v>
      </c>
      <c r="HD7" s="204" t="s">
        <v>216</v>
      </c>
      <c r="HE7" s="204" t="s">
        <v>426</v>
      </c>
      <c r="HF7" s="204" t="s">
        <v>426</v>
      </c>
      <c r="HG7" s="225">
        <v>0</v>
      </c>
      <c r="HH7" s="225">
        <v>0</v>
      </c>
      <c r="HI7" s="225">
        <v>0</v>
      </c>
      <c r="HJ7" s="225">
        <f t="shared" si="51"/>
        <v>0</v>
      </c>
      <c r="HK7" s="225">
        <f t="shared" si="52"/>
        <v>0</v>
      </c>
      <c r="HL7" s="225">
        <f t="shared" si="53"/>
        <v>0</v>
      </c>
    </row>
    <row r="8" spans="1:220" ht="15" customHeight="1" x14ac:dyDescent="0.2">
      <c r="A8" s="210" t="s">
        <v>423</v>
      </c>
      <c r="B8" s="212" t="s">
        <v>853</v>
      </c>
      <c r="C8" s="210" t="s">
        <v>424</v>
      </c>
      <c r="D8" s="212" t="s">
        <v>268</v>
      </c>
      <c r="E8" s="211">
        <v>256612000</v>
      </c>
      <c r="F8" s="211">
        <v>0</v>
      </c>
      <c r="G8" s="211">
        <v>0</v>
      </c>
      <c r="H8" s="211">
        <f t="shared" si="7"/>
        <v>267389.70400000003</v>
      </c>
      <c r="I8" s="211">
        <f t="shared" si="8"/>
        <v>0</v>
      </c>
      <c r="J8" s="211">
        <f t="shared" si="9"/>
        <v>0</v>
      </c>
      <c r="M8" s="289" t="s">
        <v>793</v>
      </c>
      <c r="N8" s="290" t="s">
        <v>794</v>
      </c>
      <c r="O8" s="289" t="s">
        <v>426</v>
      </c>
      <c r="P8" s="289" t="s">
        <v>426</v>
      </c>
      <c r="Q8" s="291">
        <v>36200000</v>
      </c>
      <c r="R8" s="291">
        <f t="shared" si="10"/>
        <v>37720.400000000001</v>
      </c>
      <c r="T8" s="292" t="s">
        <v>423</v>
      </c>
      <c r="U8" s="293" t="s">
        <v>853</v>
      </c>
      <c r="V8" s="292" t="s">
        <v>472</v>
      </c>
      <c r="W8" s="293" t="s">
        <v>330</v>
      </c>
      <c r="X8" s="294">
        <v>587229000</v>
      </c>
      <c r="Y8" s="294">
        <v>0</v>
      </c>
      <c r="Z8" s="294">
        <v>0</v>
      </c>
      <c r="AA8" s="258">
        <f t="shared" si="11"/>
        <v>611892.61800000002</v>
      </c>
      <c r="AB8" s="258">
        <f t="shared" si="12"/>
        <v>0</v>
      </c>
      <c r="AC8" s="258">
        <f t="shared" si="13"/>
        <v>0</v>
      </c>
      <c r="AE8" s="210" t="s">
        <v>781</v>
      </c>
      <c r="AF8" s="210" t="s">
        <v>782</v>
      </c>
      <c r="AG8" s="210" t="s">
        <v>426</v>
      </c>
      <c r="AH8" s="210" t="s">
        <v>426</v>
      </c>
      <c r="AI8" s="212" t="s">
        <v>513</v>
      </c>
      <c r="AJ8" s="211">
        <v>2493326736</v>
      </c>
      <c r="AK8" s="211">
        <f t="shared" si="14"/>
        <v>2598046.4589120001</v>
      </c>
      <c r="AM8" s="212" t="s">
        <v>423</v>
      </c>
      <c r="AN8" s="212" t="s">
        <v>853</v>
      </c>
      <c r="AO8" s="212" t="s">
        <v>450</v>
      </c>
      <c r="AP8" s="212" t="s">
        <v>267</v>
      </c>
      <c r="AQ8" s="212" t="s">
        <v>513</v>
      </c>
      <c r="AR8" s="295">
        <v>2642082000</v>
      </c>
      <c r="AS8" s="295">
        <v>0</v>
      </c>
      <c r="AT8" s="295">
        <v>0</v>
      </c>
      <c r="AU8" s="295">
        <f t="shared" si="15"/>
        <v>2753049.4440000001</v>
      </c>
      <c r="AV8" s="295">
        <f t="shared" si="16"/>
        <v>0</v>
      </c>
      <c r="AW8" s="295">
        <f t="shared" si="17"/>
        <v>0</v>
      </c>
      <c r="AY8" s="263" t="s">
        <v>783</v>
      </c>
      <c r="AZ8" s="212" t="s">
        <v>784</v>
      </c>
      <c r="BA8" s="263" t="s">
        <v>426</v>
      </c>
      <c r="BB8" s="212" t="s">
        <v>426</v>
      </c>
      <c r="BC8" s="264">
        <v>4846954252</v>
      </c>
      <c r="BD8" s="264">
        <f t="shared" si="18"/>
        <v>5050526.3305840008</v>
      </c>
      <c r="BF8" s="263" t="s">
        <v>423</v>
      </c>
      <c r="BG8" s="296" t="s">
        <v>853</v>
      </c>
      <c r="BH8" s="210" t="s">
        <v>450</v>
      </c>
      <c r="BI8" s="212" t="s">
        <v>267</v>
      </c>
      <c r="BJ8" s="264">
        <v>2642082000</v>
      </c>
      <c r="BK8" s="264">
        <v>0</v>
      </c>
      <c r="BL8" s="264">
        <v>0</v>
      </c>
      <c r="BM8" s="264">
        <f t="shared" si="19"/>
        <v>2753049.4440000001</v>
      </c>
      <c r="BN8" s="264">
        <f t="shared" si="20"/>
        <v>0</v>
      </c>
      <c r="BO8" s="264">
        <f t="shared" si="21"/>
        <v>0</v>
      </c>
      <c r="BR8" s="263" t="s">
        <v>779</v>
      </c>
      <c r="BS8" s="212" t="s">
        <v>780</v>
      </c>
      <c r="BT8" s="263" t="s">
        <v>426</v>
      </c>
      <c r="BU8" s="210" t="s">
        <v>426</v>
      </c>
      <c r="BV8" s="264">
        <v>335487721</v>
      </c>
      <c r="BW8" s="264">
        <f t="shared" si="22"/>
        <v>349578.20528200001</v>
      </c>
      <c r="BY8" s="210" t="s">
        <v>423</v>
      </c>
      <c r="BZ8" s="210" t="s">
        <v>853</v>
      </c>
      <c r="CA8" s="210" t="s">
        <v>450</v>
      </c>
      <c r="CB8" s="210" t="s">
        <v>267</v>
      </c>
      <c r="CC8" s="212" t="s">
        <v>513</v>
      </c>
      <c r="CD8" s="211">
        <v>2642082000</v>
      </c>
      <c r="CE8" s="211">
        <v>0</v>
      </c>
      <c r="CF8" s="211">
        <v>0</v>
      </c>
      <c r="CG8" s="211">
        <f t="shared" si="23"/>
        <v>2753049.4440000001</v>
      </c>
      <c r="CH8" s="211">
        <f t="shared" si="24"/>
        <v>0</v>
      </c>
      <c r="CI8" s="211">
        <f t="shared" si="25"/>
        <v>0</v>
      </c>
      <c r="CK8" s="212" t="s">
        <v>887</v>
      </c>
      <c r="CL8" s="212" t="s">
        <v>888</v>
      </c>
      <c r="CM8" s="212" t="s">
        <v>426</v>
      </c>
      <c r="CN8" s="212" t="s">
        <v>426</v>
      </c>
      <c r="CO8" s="211">
        <v>17290000</v>
      </c>
      <c r="CP8" s="211">
        <f t="shared" si="26"/>
        <v>18016.18</v>
      </c>
      <c r="CR8" s="212" t="s">
        <v>423</v>
      </c>
      <c r="CS8" s="212" t="s">
        <v>853</v>
      </c>
      <c r="CT8" s="212" t="s">
        <v>450</v>
      </c>
      <c r="CU8" s="212" t="s">
        <v>267</v>
      </c>
      <c r="CV8" s="211">
        <v>2642082000</v>
      </c>
      <c r="CW8" s="211">
        <v>0</v>
      </c>
      <c r="CX8" s="211">
        <v>0</v>
      </c>
      <c r="CY8" s="211">
        <f t="shared" si="27"/>
        <v>2753049.4440000001</v>
      </c>
      <c r="CZ8" s="211">
        <f t="shared" si="28"/>
        <v>0</v>
      </c>
      <c r="DA8" s="211">
        <f t="shared" si="29"/>
        <v>0</v>
      </c>
      <c r="DC8" s="263" t="s">
        <v>779</v>
      </c>
      <c r="DD8" s="212" t="s">
        <v>780</v>
      </c>
      <c r="DE8" s="263" t="s">
        <v>426</v>
      </c>
      <c r="DF8" s="210" t="s">
        <v>426</v>
      </c>
      <c r="DG8" s="264">
        <v>3432868507</v>
      </c>
      <c r="DH8" s="264">
        <f t="shared" si="30"/>
        <v>3577048.9842940005</v>
      </c>
      <c r="DK8" s="210" t="s">
        <v>423</v>
      </c>
      <c r="DL8" s="212" t="s">
        <v>853</v>
      </c>
      <c r="DM8" s="210" t="s">
        <v>450</v>
      </c>
      <c r="DN8" s="212" t="s">
        <v>267</v>
      </c>
      <c r="DO8" s="211">
        <v>2711532000</v>
      </c>
      <c r="DP8" s="211">
        <v>0</v>
      </c>
      <c r="DQ8" s="211">
        <v>0</v>
      </c>
      <c r="DR8" s="211">
        <f t="shared" si="31"/>
        <v>2825416.344</v>
      </c>
      <c r="DS8" s="211">
        <f t="shared" si="32"/>
        <v>0</v>
      </c>
      <c r="DT8" s="211">
        <f t="shared" si="33"/>
        <v>0</v>
      </c>
      <c r="DW8" s="265" t="s">
        <v>781</v>
      </c>
      <c r="DX8" s="297" t="s">
        <v>782</v>
      </c>
      <c r="DY8" s="265" t="s">
        <v>426</v>
      </c>
      <c r="DZ8" s="298" t="s">
        <v>426</v>
      </c>
      <c r="EA8" s="264">
        <v>4489045005</v>
      </c>
      <c r="EB8" s="264">
        <f t="shared" si="34"/>
        <v>4677584.8952099998</v>
      </c>
      <c r="EE8" s="210" t="s">
        <v>423</v>
      </c>
      <c r="EF8" s="212" t="s">
        <v>853</v>
      </c>
      <c r="EG8" s="212" t="s">
        <v>450</v>
      </c>
      <c r="EH8" s="212" t="s">
        <v>267</v>
      </c>
      <c r="EI8" s="211">
        <v>2896232000</v>
      </c>
      <c r="EJ8" s="211">
        <v>0</v>
      </c>
      <c r="EK8" s="211">
        <v>0</v>
      </c>
      <c r="EL8" s="258">
        <f t="shared" si="35"/>
        <v>3017873.7439999999</v>
      </c>
      <c r="EM8" s="258">
        <f t="shared" si="36"/>
        <v>0</v>
      </c>
      <c r="EN8" s="258">
        <f t="shared" si="37"/>
        <v>0</v>
      </c>
      <c r="EQ8" s="210" t="s">
        <v>787</v>
      </c>
      <c r="ER8" s="212" t="s">
        <v>788</v>
      </c>
      <c r="ES8" s="210" t="s">
        <v>426</v>
      </c>
      <c r="ET8" s="210" t="s">
        <v>426</v>
      </c>
      <c r="EU8" s="211">
        <v>188566000</v>
      </c>
      <c r="EV8" s="257">
        <f t="shared" si="38"/>
        <v>188566</v>
      </c>
      <c r="EY8" s="210" t="s">
        <v>423</v>
      </c>
      <c r="EZ8" s="212" t="s">
        <v>853</v>
      </c>
      <c r="FA8" s="212" t="s">
        <v>450</v>
      </c>
      <c r="FB8" s="212" t="s">
        <v>267</v>
      </c>
      <c r="FC8" s="211">
        <v>2896232000</v>
      </c>
      <c r="FD8" s="211">
        <v>0</v>
      </c>
      <c r="FE8" s="211">
        <v>0</v>
      </c>
      <c r="FF8" s="257">
        <f t="shared" si="39"/>
        <v>2896232</v>
      </c>
      <c r="FG8" s="257">
        <f t="shared" si="40"/>
        <v>0</v>
      </c>
      <c r="FH8" s="257">
        <f t="shared" si="41"/>
        <v>0</v>
      </c>
      <c r="FK8" s="204" t="s">
        <v>781</v>
      </c>
      <c r="FL8" s="204" t="s">
        <v>782</v>
      </c>
      <c r="FM8" s="204" t="s">
        <v>426</v>
      </c>
      <c r="FN8" s="204" t="s">
        <v>426</v>
      </c>
      <c r="FO8" s="257">
        <v>10621237711</v>
      </c>
      <c r="FP8" s="226">
        <f t="shared" si="42"/>
        <v>10621237.710999999</v>
      </c>
      <c r="FR8" s="262" t="s">
        <v>423</v>
      </c>
      <c r="FS8" s="204" t="s">
        <v>853</v>
      </c>
      <c r="FT8" s="204" t="s">
        <v>450</v>
      </c>
      <c r="FU8" s="204" t="s">
        <v>267</v>
      </c>
      <c r="FV8" s="257">
        <v>2896232000</v>
      </c>
      <c r="FW8" s="257">
        <v>0</v>
      </c>
      <c r="FX8" s="257">
        <v>0</v>
      </c>
      <c r="FY8" s="226">
        <f t="shared" si="43"/>
        <v>2896232</v>
      </c>
      <c r="FZ8" s="226">
        <f t="shared" si="44"/>
        <v>0</v>
      </c>
      <c r="GA8" s="226">
        <f t="shared" si="45"/>
        <v>0</v>
      </c>
      <c r="GD8" s="204" t="s">
        <v>887</v>
      </c>
      <c r="GE8" s="204" t="s">
        <v>888</v>
      </c>
      <c r="GF8" s="204" t="s">
        <v>426</v>
      </c>
      <c r="GG8" s="204" t="s">
        <v>426</v>
      </c>
      <c r="GH8" s="257">
        <v>41778751</v>
      </c>
      <c r="GI8" s="257">
        <f t="shared" si="46"/>
        <v>41778.750999999997</v>
      </c>
      <c r="GK8" s="204" t="s">
        <v>423</v>
      </c>
      <c r="GL8" s="204" t="s">
        <v>853</v>
      </c>
      <c r="GM8" s="204" t="s">
        <v>450</v>
      </c>
      <c r="GN8" s="204" t="s">
        <v>267</v>
      </c>
      <c r="GO8" s="257">
        <v>2861560000</v>
      </c>
      <c r="GP8" s="257">
        <v>0</v>
      </c>
      <c r="GQ8" s="257">
        <v>0</v>
      </c>
      <c r="GR8" s="257">
        <f t="shared" si="47"/>
        <v>2861560</v>
      </c>
      <c r="GS8" s="257">
        <f t="shared" si="48"/>
        <v>0</v>
      </c>
      <c r="GT8" s="257">
        <f t="shared" si="49"/>
        <v>0</v>
      </c>
      <c r="GV8" s="263" t="s">
        <v>887</v>
      </c>
      <c r="GW8" s="353" t="s">
        <v>888</v>
      </c>
      <c r="GX8" s="353" t="s">
        <v>426</v>
      </c>
      <c r="GY8" s="353" t="s">
        <v>426</v>
      </c>
      <c r="GZ8" s="264">
        <v>38000000</v>
      </c>
      <c r="HA8" s="264">
        <f t="shared" si="50"/>
        <v>38000</v>
      </c>
      <c r="HC8" s="204" t="s">
        <v>423</v>
      </c>
      <c r="HD8" s="204" t="s">
        <v>853</v>
      </c>
      <c r="HE8" s="204" t="s">
        <v>450</v>
      </c>
      <c r="HF8" s="204" t="s">
        <v>267</v>
      </c>
      <c r="HG8" s="225">
        <v>3031134245</v>
      </c>
      <c r="HH8" s="225">
        <v>0</v>
      </c>
      <c r="HI8" s="225">
        <v>0</v>
      </c>
      <c r="HJ8" s="225">
        <f t="shared" si="51"/>
        <v>3031134.2450000001</v>
      </c>
      <c r="HK8" s="225">
        <f t="shared" si="52"/>
        <v>0</v>
      </c>
      <c r="HL8" s="225">
        <f t="shared" si="53"/>
        <v>0</v>
      </c>
    </row>
    <row r="9" spans="1:220" ht="15" customHeight="1" x14ac:dyDescent="0.2">
      <c r="A9" s="210" t="s">
        <v>423</v>
      </c>
      <c r="B9" s="212" t="s">
        <v>853</v>
      </c>
      <c r="C9" s="210" t="s">
        <v>425</v>
      </c>
      <c r="D9" s="212" t="s">
        <v>311</v>
      </c>
      <c r="E9" s="211">
        <v>5000000</v>
      </c>
      <c r="F9" s="211">
        <v>0</v>
      </c>
      <c r="G9" s="211">
        <v>0</v>
      </c>
      <c r="H9" s="211">
        <f t="shared" si="7"/>
        <v>5210</v>
      </c>
      <c r="I9" s="211">
        <f t="shared" si="8"/>
        <v>0</v>
      </c>
      <c r="J9" s="211">
        <f t="shared" si="9"/>
        <v>0</v>
      </c>
      <c r="M9" s="289" t="s">
        <v>797</v>
      </c>
      <c r="N9" s="290" t="s">
        <v>798</v>
      </c>
      <c r="O9" s="289" t="s">
        <v>426</v>
      </c>
      <c r="P9" s="289" t="s">
        <v>426</v>
      </c>
      <c r="Q9" s="291">
        <v>947121500</v>
      </c>
      <c r="R9" s="291">
        <f t="shared" si="10"/>
        <v>986900.603</v>
      </c>
      <c r="T9" s="292" t="s">
        <v>423</v>
      </c>
      <c r="U9" s="293" t="s">
        <v>853</v>
      </c>
      <c r="V9" s="292" t="s">
        <v>448</v>
      </c>
      <c r="W9" s="293" t="s">
        <v>449</v>
      </c>
      <c r="X9" s="294">
        <v>300000000</v>
      </c>
      <c r="Y9" s="294">
        <v>0</v>
      </c>
      <c r="Z9" s="294">
        <v>0</v>
      </c>
      <c r="AA9" s="258">
        <f t="shared" si="11"/>
        <v>312600</v>
      </c>
      <c r="AB9" s="258">
        <f t="shared" si="12"/>
        <v>0</v>
      </c>
      <c r="AC9" s="258">
        <f t="shared" si="13"/>
        <v>0</v>
      </c>
      <c r="AE9" s="210" t="s">
        <v>785</v>
      </c>
      <c r="AF9" s="210" t="s">
        <v>786</v>
      </c>
      <c r="AG9" s="210" t="s">
        <v>426</v>
      </c>
      <c r="AH9" s="210" t="s">
        <v>426</v>
      </c>
      <c r="AI9" s="212" t="s">
        <v>513</v>
      </c>
      <c r="AJ9" s="211">
        <v>74436520</v>
      </c>
      <c r="AK9" s="211">
        <f t="shared" si="14"/>
        <v>77562.853840000011</v>
      </c>
      <c r="AM9" s="212" t="s">
        <v>423</v>
      </c>
      <c r="AN9" s="212" t="s">
        <v>853</v>
      </c>
      <c r="AO9" s="212" t="s">
        <v>472</v>
      </c>
      <c r="AP9" s="212" t="s">
        <v>330</v>
      </c>
      <c r="AQ9" s="212" t="s">
        <v>513</v>
      </c>
      <c r="AR9" s="295">
        <v>587229000</v>
      </c>
      <c r="AS9" s="295">
        <v>0</v>
      </c>
      <c r="AT9" s="295">
        <v>0</v>
      </c>
      <c r="AU9" s="295">
        <f t="shared" si="15"/>
        <v>611892.61800000002</v>
      </c>
      <c r="AV9" s="295">
        <f t="shared" si="16"/>
        <v>0</v>
      </c>
      <c r="AW9" s="295">
        <f t="shared" si="17"/>
        <v>0</v>
      </c>
      <c r="AY9" s="263" t="s">
        <v>785</v>
      </c>
      <c r="AZ9" s="212" t="s">
        <v>786</v>
      </c>
      <c r="BA9" s="263" t="s">
        <v>426</v>
      </c>
      <c r="BB9" s="212" t="s">
        <v>426</v>
      </c>
      <c r="BC9" s="264">
        <v>149569511</v>
      </c>
      <c r="BD9" s="264">
        <f t="shared" si="18"/>
        <v>155851.43046200002</v>
      </c>
      <c r="BF9" s="263" t="s">
        <v>423</v>
      </c>
      <c r="BG9" s="296" t="s">
        <v>853</v>
      </c>
      <c r="BH9" s="210" t="s">
        <v>472</v>
      </c>
      <c r="BI9" s="212" t="s">
        <v>330</v>
      </c>
      <c r="BJ9" s="264">
        <v>587229000</v>
      </c>
      <c r="BK9" s="264">
        <v>0</v>
      </c>
      <c r="BL9" s="264">
        <v>0</v>
      </c>
      <c r="BM9" s="264">
        <f t="shared" si="19"/>
        <v>611892.61800000002</v>
      </c>
      <c r="BN9" s="264">
        <f t="shared" si="20"/>
        <v>0</v>
      </c>
      <c r="BO9" s="264">
        <f t="shared" si="21"/>
        <v>0</v>
      </c>
      <c r="BR9" s="263" t="s">
        <v>781</v>
      </c>
      <c r="BS9" s="212" t="s">
        <v>782</v>
      </c>
      <c r="BT9" s="263" t="s">
        <v>426</v>
      </c>
      <c r="BU9" s="210" t="s">
        <v>426</v>
      </c>
      <c r="BV9" s="264">
        <v>5407289910</v>
      </c>
      <c r="BW9" s="264">
        <f t="shared" si="22"/>
        <v>5634396.0862199999</v>
      </c>
      <c r="BY9" s="210" t="s">
        <v>423</v>
      </c>
      <c r="BZ9" s="210" t="s">
        <v>853</v>
      </c>
      <c r="CA9" s="210" t="s">
        <v>472</v>
      </c>
      <c r="CB9" s="210" t="s">
        <v>330</v>
      </c>
      <c r="CC9" s="212" t="s">
        <v>513</v>
      </c>
      <c r="CD9" s="211">
        <v>587229000</v>
      </c>
      <c r="CE9" s="211">
        <v>0</v>
      </c>
      <c r="CF9" s="211">
        <v>0</v>
      </c>
      <c r="CG9" s="211">
        <f t="shared" si="23"/>
        <v>611892.61800000002</v>
      </c>
      <c r="CH9" s="211">
        <f t="shared" si="24"/>
        <v>0</v>
      </c>
      <c r="CI9" s="211">
        <f t="shared" si="25"/>
        <v>0</v>
      </c>
      <c r="CK9" s="212" t="s">
        <v>779</v>
      </c>
      <c r="CL9" s="212" t="s">
        <v>780</v>
      </c>
      <c r="CM9" s="212" t="s">
        <v>426</v>
      </c>
      <c r="CN9" s="212" t="s">
        <v>426</v>
      </c>
      <c r="CO9" s="211">
        <v>265650335</v>
      </c>
      <c r="CP9" s="211">
        <f t="shared" si="26"/>
        <v>276807.64907000004</v>
      </c>
      <c r="CR9" s="212" t="s">
        <v>423</v>
      </c>
      <c r="CS9" s="212" t="s">
        <v>853</v>
      </c>
      <c r="CT9" s="212" t="s">
        <v>472</v>
      </c>
      <c r="CU9" s="212" t="s">
        <v>330</v>
      </c>
      <c r="CV9" s="211">
        <v>587229000</v>
      </c>
      <c r="CW9" s="211">
        <v>0</v>
      </c>
      <c r="CX9" s="211">
        <v>0</v>
      </c>
      <c r="CY9" s="211">
        <f t="shared" si="27"/>
        <v>611892.61800000002</v>
      </c>
      <c r="CZ9" s="211">
        <f t="shared" si="28"/>
        <v>0</v>
      </c>
      <c r="DA9" s="211">
        <f t="shared" si="29"/>
        <v>0</v>
      </c>
      <c r="DC9" s="263" t="s">
        <v>781</v>
      </c>
      <c r="DD9" s="212" t="s">
        <v>782</v>
      </c>
      <c r="DE9" s="263" t="s">
        <v>426</v>
      </c>
      <c r="DF9" s="210" t="s">
        <v>426</v>
      </c>
      <c r="DG9" s="264">
        <v>3617424840</v>
      </c>
      <c r="DH9" s="264">
        <f t="shared" si="30"/>
        <v>3769356.68328</v>
      </c>
      <c r="DK9" s="210" t="s">
        <v>423</v>
      </c>
      <c r="DL9" s="212" t="s">
        <v>853</v>
      </c>
      <c r="DM9" s="210" t="s">
        <v>472</v>
      </c>
      <c r="DN9" s="212" t="s">
        <v>330</v>
      </c>
      <c r="DO9" s="211">
        <v>587229000</v>
      </c>
      <c r="DP9" s="211">
        <v>0</v>
      </c>
      <c r="DQ9" s="211">
        <v>0</v>
      </c>
      <c r="DR9" s="211">
        <f t="shared" si="31"/>
        <v>611892.61800000002</v>
      </c>
      <c r="DS9" s="211">
        <f t="shared" si="32"/>
        <v>0</v>
      </c>
      <c r="DT9" s="211">
        <f t="shared" si="33"/>
        <v>0</v>
      </c>
      <c r="DW9" s="265" t="s">
        <v>783</v>
      </c>
      <c r="DX9" s="297" t="s">
        <v>784</v>
      </c>
      <c r="DY9" s="265" t="s">
        <v>426</v>
      </c>
      <c r="DZ9" s="298" t="s">
        <v>426</v>
      </c>
      <c r="EA9" s="264">
        <v>2132268910</v>
      </c>
      <c r="EB9" s="264">
        <f t="shared" si="34"/>
        <v>2221824.2042200002</v>
      </c>
      <c r="EE9" s="210" t="s">
        <v>423</v>
      </c>
      <c r="EF9" s="212" t="s">
        <v>853</v>
      </c>
      <c r="EG9" s="212" t="s">
        <v>472</v>
      </c>
      <c r="EH9" s="212" t="s">
        <v>330</v>
      </c>
      <c r="EI9" s="211">
        <v>587229000</v>
      </c>
      <c r="EJ9" s="211">
        <v>0</v>
      </c>
      <c r="EK9" s="211">
        <v>0</v>
      </c>
      <c r="EL9" s="258">
        <f t="shared" si="35"/>
        <v>611892.61800000002</v>
      </c>
      <c r="EM9" s="258">
        <f t="shared" si="36"/>
        <v>0</v>
      </c>
      <c r="EN9" s="258">
        <f t="shared" si="37"/>
        <v>0</v>
      </c>
      <c r="EQ9" s="210" t="s">
        <v>789</v>
      </c>
      <c r="ER9" s="212" t="s">
        <v>790</v>
      </c>
      <c r="ES9" s="210" t="s">
        <v>426</v>
      </c>
      <c r="ET9" s="210" t="s">
        <v>426</v>
      </c>
      <c r="EU9" s="211">
        <v>70686000</v>
      </c>
      <c r="EV9" s="257">
        <f t="shared" si="38"/>
        <v>70686</v>
      </c>
      <c r="EY9" s="210" t="s">
        <v>423</v>
      </c>
      <c r="EZ9" s="212" t="s">
        <v>853</v>
      </c>
      <c r="FA9" s="212" t="s">
        <v>472</v>
      </c>
      <c r="FB9" s="212" t="s">
        <v>330</v>
      </c>
      <c r="FC9" s="211">
        <v>587229000</v>
      </c>
      <c r="FD9" s="211">
        <v>0</v>
      </c>
      <c r="FE9" s="211">
        <v>0</v>
      </c>
      <c r="FF9" s="257">
        <f t="shared" si="39"/>
        <v>587229</v>
      </c>
      <c r="FG9" s="257">
        <f t="shared" si="40"/>
        <v>0</v>
      </c>
      <c r="FH9" s="257">
        <f t="shared" si="41"/>
        <v>0</v>
      </c>
      <c r="FK9" s="204" t="s">
        <v>783</v>
      </c>
      <c r="FL9" s="204" t="s">
        <v>784</v>
      </c>
      <c r="FM9" s="204" t="s">
        <v>426</v>
      </c>
      <c r="FN9" s="204" t="s">
        <v>426</v>
      </c>
      <c r="FO9" s="257">
        <v>3807290862</v>
      </c>
      <c r="FP9" s="226">
        <f t="shared" si="42"/>
        <v>3807290.8620000002</v>
      </c>
      <c r="FR9" s="262" t="s">
        <v>423</v>
      </c>
      <c r="FS9" s="204" t="s">
        <v>853</v>
      </c>
      <c r="FT9" s="204" t="s">
        <v>472</v>
      </c>
      <c r="FU9" s="204" t="s">
        <v>330</v>
      </c>
      <c r="FV9" s="257">
        <v>587229000</v>
      </c>
      <c r="FW9" s="257">
        <v>0</v>
      </c>
      <c r="FX9" s="257">
        <v>0</v>
      </c>
      <c r="FY9" s="226">
        <f t="shared" si="43"/>
        <v>587229</v>
      </c>
      <c r="FZ9" s="226">
        <f t="shared" si="44"/>
        <v>0</v>
      </c>
      <c r="GA9" s="226">
        <f t="shared" si="45"/>
        <v>0</v>
      </c>
      <c r="GD9" s="204" t="s">
        <v>852</v>
      </c>
      <c r="GE9" s="204" t="s">
        <v>51</v>
      </c>
      <c r="GF9" s="204" t="s">
        <v>426</v>
      </c>
      <c r="GG9" s="204" t="s">
        <v>426</v>
      </c>
      <c r="GH9" s="257">
        <v>5814755989</v>
      </c>
      <c r="GI9" s="257">
        <f t="shared" si="46"/>
        <v>5814755.9890000001</v>
      </c>
      <c r="GK9" s="204" t="s">
        <v>423</v>
      </c>
      <c r="GL9" s="204" t="s">
        <v>853</v>
      </c>
      <c r="GM9" s="204" t="s">
        <v>472</v>
      </c>
      <c r="GN9" s="204" t="s">
        <v>330</v>
      </c>
      <c r="GO9" s="257">
        <v>587229000</v>
      </c>
      <c r="GP9" s="257">
        <v>0</v>
      </c>
      <c r="GQ9" s="257">
        <v>0</v>
      </c>
      <c r="GR9" s="257">
        <f t="shared" si="47"/>
        <v>587229</v>
      </c>
      <c r="GS9" s="257">
        <f t="shared" si="48"/>
        <v>0</v>
      </c>
      <c r="GT9" s="257">
        <f t="shared" si="49"/>
        <v>0</v>
      </c>
      <c r="GV9" s="263" t="s">
        <v>852</v>
      </c>
      <c r="GW9" s="353" t="s">
        <v>51</v>
      </c>
      <c r="GX9" s="353" t="s">
        <v>426</v>
      </c>
      <c r="GY9" s="353" t="s">
        <v>426</v>
      </c>
      <c r="GZ9" s="264">
        <v>565224285</v>
      </c>
      <c r="HA9" s="264">
        <f t="shared" si="50"/>
        <v>565224.28500000003</v>
      </c>
      <c r="HC9" s="204" t="s">
        <v>423</v>
      </c>
      <c r="HD9" s="204" t="s">
        <v>853</v>
      </c>
      <c r="HE9" s="204" t="s">
        <v>472</v>
      </c>
      <c r="HF9" s="204" t="s">
        <v>330</v>
      </c>
      <c r="HG9" s="225">
        <v>587229000</v>
      </c>
      <c r="HH9" s="225">
        <v>0</v>
      </c>
      <c r="HI9" s="225">
        <v>0</v>
      </c>
      <c r="HJ9" s="225">
        <f t="shared" si="51"/>
        <v>587229</v>
      </c>
      <c r="HK9" s="225">
        <f t="shared" si="52"/>
        <v>0</v>
      </c>
      <c r="HL9" s="225">
        <f t="shared" si="53"/>
        <v>0</v>
      </c>
    </row>
    <row r="10" spans="1:220" ht="15" customHeight="1" x14ac:dyDescent="0.2">
      <c r="A10" s="210" t="s">
        <v>423</v>
      </c>
      <c r="B10" s="212" t="s">
        <v>853</v>
      </c>
      <c r="C10" s="210" t="s">
        <v>447</v>
      </c>
      <c r="D10" s="212" t="s">
        <v>270</v>
      </c>
      <c r="E10" s="211">
        <v>3000000</v>
      </c>
      <c r="F10" s="211">
        <v>0</v>
      </c>
      <c r="G10" s="211">
        <v>0</v>
      </c>
      <c r="H10" s="211">
        <f t="shared" si="7"/>
        <v>3126</v>
      </c>
      <c r="I10" s="211">
        <f t="shared" si="8"/>
        <v>0</v>
      </c>
      <c r="J10" s="211">
        <f t="shared" si="9"/>
        <v>0</v>
      </c>
      <c r="M10" s="289" t="s">
        <v>430</v>
      </c>
      <c r="N10" s="290" t="s">
        <v>446</v>
      </c>
      <c r="O10" s="289" t="s">
        <v>426</v>
      </c>
      <c r="P10" s="289" t="s">
        <v>426</v>
      </c>
      <c r="Q10" s="291">
        <v>149403452</v>
      </c>
      <c r="R10" s="291">
        <f t="shared" si="10"/>
        <v>155678.39698399999</v>
      </c>
      <c r="T10" s="292" t="s">
        <v>423</v>
      </c>
      <c r="U10" s="293" t="s">
        <v>853</v>
      </c>
      <c r="V10" s="292" t="s">
        <v>424</v>
      </c>
      <c r="W10" s="293" t="s">
        <v>268</v>
      </c>
      <c r="X10" s="294">
        <v>256612000</v>
      </c>
      <c r="Y10" s="294">
        <v>0</v>
      </c>
      <c r="Z10" s="294">
        <v>0</v>
      </c>
      <c r="AA10" s="258">
        <f t="shared" si="11"/>
        <v>267389.70400000003</v>
      </c>
      <c r="AB10" s="258">
        <f t="shared" si="12"/>
        <v>0</v>
      </c>
      <c r="AC10" s="258">
        <f t="shared" si="13"/>
        <v>0</v>
      </c>
      <c r="AE10" s="210" t="s">
        <v>787</v>
      </c>
      <c r="AF10" s="210" t="s">
        <v>788</v>
      </c>
      <c r="AG10" s="210" t="s">
        <v>426</v>
      </c>
      <c r="AH10" s="210" t="s">
        <v>426</v>
      </c>
      <c r="AI10" s="212" t="s">
        <v>513</v>
      </c>
      <c r="AJ10" s="211">
        <v>577091613</v>
      </c>
      <c r="AK10" s="211">
        <f t="shared" si="14"/>
        <v>601329.46074600006</v>
      </c>
      <c r="AM10" s="212" t="s">
        <v>423</v>
      </c>
      <c r="AN10" s="212" t="s">
        <v>853</v>
      </c>
      <c r="AO10" s="212" t="s">
        <v>448</v>
      </c>
      <c r="AP10" s="212" t="s">
        <v>449</v>
      </c>
      <c r="AQ10" s="212" t="s">
        <v>513</v>
      </c>
      <c r="AR10" s="295">
        <v>300000000</v>
      </c>
      <c r="AS10" s="295">
        <v>0</v>
      </c>
      <c r="AT10" s="295">
        <v>0</v>
      </c>
      <c r="AU10" s="295">
        <f t="shared" si="15"/>
        <v>312600</v>
      </c>
      <c r="AV10" s="295">
        <f t="shared" si="16"/>
        <v>0</v>
      </c>
      <c r="AW10" s="295">
        <f t="shared" si="17"/>
        <v>0</v>
      </c>
      <c r="AY10" s="263" t="s">
        <v>787</v>
      </c>
      <c r="AZ10" s="212" t="s">
        <v>788</v>
      </c>
      <c r="BA10" s="263" t="s">
        <v>426</v>
      </c>
      <c r="BB10" s="212" t="s">
        <v>426</v>
      </c>
      <c r="BC10" s="264">
        <v>1064351197</v>
      </c>
      <c r="BD10" s="264">
        <f t="shared" si="18"/>
        <v>1109053.9472739999</v>
      </c>
      <c r="BF10" s="263" t="s">
        <v>423</v>
      </c>
      <c r="BG10" s="296" t="s">
        <v>853</v>
      </c>
      <c r="BH10" s="210" t="s">
        <v>448</v>
      </c>
      <c r="BI10" s="212" t="s">
        <v>449</v>
      </c>
      <c r="BJ10" s="264">
        <v>300000000</v>
      </c>
      <c r="BK10" s="264">
        <v>0</v>
      </c>
      <c r="BL10" s="264">
        <v>0</v>
      </c>
      <c r="BM10" s="264">
        <f t="shared" si="19"/>
        <v>312600</v>
      </c>
      <c r="BN10" s="264">
        <f t="shared" si="20"/>
        <v>0</v>
      </c>
      <c r="BO10" s="264">
        <f t="shared" si="21"/>
        <v>0</v>
      </c>
      <c r="BR10" s="263" t="s">
        <v>783</v>
      </c>
      <c r="BS10" s="212" t="s">
        <v>784</v>
      </c>
      <c r="BT10" s="263" t="s">
        <v>426</v>
      </c>
      <c r="BU10" s="210" t="s">
        <v>426</v>
      </c>
      <c r="BV10" s="264">
        <v>208919281</v>
      </c>
      <c r="BW10" s="264">
        <f t="shared" si="22"/>
        <v>217693.89080200001</v>
      </c>
      <c r="BY10" s="210" t="s">
        <v>423</v>
      </c>
      <c r="BZ10" s="210" t="s">
        <v>853</v>
      </c>
      <c r="CA10" s="210" t="s">
        <v>448</v>
      </c>
      <c r="CB10" s="210" t="s">
        <v>449</v>
      </c>
      <c r="CC10" s="212" t="s">
        <v>513</v>
      </c>
      <c r="CD10" s="211">
        <v>300000000</v>
      </c>
      <c r="CE10" s="211">
        <v>0</v>
      </c>
      <c r="CF10" s="211">
        <v>0</v>
      </c>
      <c r="CG10" s="211">
        <f t="shared" si="23"/>
        <v>312600</v>
      </c>
      <c r="CH10" s="211">
        <f t="shared" si="24"/>
        <v>0</v>
      </c>
      <c r="CI10" s="211">
        <f t="shared" si="25"/>
        <v>0</v>
      </c>
      <c r="CK10" s="212" t="s">
        <v>781</v>
      </c>
      <c r="CL10" s="212" t="s">
        <v>782</v>
      </c>
      <c r="CM10" s="212" t="s">
        <v>426</v>
      </c>
      <c r="CN10" s="212" t="s">
        <v>426</v>
      </c>
      <c r="CO10" s="211">
        <v>3573297502</v>
      </c>
      <c r="CP10" s="211">
        <f t="shared" si="26"/>
        <v>3723375.9970840001</v>
      </c>
      <c r="CR10" s="212" t="s">
        <v>423</v>
      </c>
      <c r="CS10" s="212" t="s">
        <v>853</v>
      </c>
      <c r="CT10" s="212" t="s">
        <v>448</v>
      </c>
      <c r="CU10" s="212" t="s">
        <v>449</v>
      </c>
      <c r="CV10" s="211">
        <v>300000000</v>
      </c>
      <c r="CW10" s="211">
        <v>0</v>
      </c>
      <c r="CX10" s="211">
        <v>0</v>
      </c>
      <c r="CY10" s="211">
        <f t="shared" si="27"/>
        <v>312600</v>
      </c>
      <c r="CZ10" s="211">
        <f t="shared" si="28"/>
        <v>0</v>
      </c>
      <c r="DA10" s="211">
        <f t="shared" si="29"/>
        <v>0</v>
      </c>
      <c r="DC10" s="263" t="s">
        <v>783</v>
      </c>
      <c r="DD10" s="212" t="s">
        <v>784</v>
      </c>
      <c r="DE10" s="263" t="s">
        <v>426</v>
      </c>
      <c r="DF10" s="210" t="s">
        <v>426</v>
      </c>
      <c r="DG10" s="264">
        <v>1774828653</v>
      </c>
      <c r="DH10" s="264">
        <f t="shared" si="30"/>
        <v>1849371.456426</v>
      </c>
      <c r="DK10" s="210" t="s">
        <v>423</v>
      </c>
      <c r="DL10" s="212" t="s">
        <v>853</v>
      </c>
      <c r="DM10" s="210" t="s">
        <v>448</v>
      </c>
      <c r="DN10" s="212" t="s">
        <v>449</v>
      </c>
      <c r="DO10" s="211">
        <v>300000000</v>
      </c>
      <c r="DP10" s="211">
        <v>0</v>
      </c>
      <c r="DQ10" s="211">
        <v>0</v>
      </c>
      <c r="DR10" s="211">
        <f t="shared" si="31"/>
        <v>312600</v>
      </c>
      <c r="DS10" s="211">
        <f t="shared" si="32"/>
        <v>0</v>
      </c>
      <c r="DT10" s="211">
        <f t="shared" si="33"/>
        <v>0</v>
      </c>
      <c r="DW10" s="265" t="s">
        <v>787</v>
      </c>
      <c r="DX10" s="297" t="s">
        <v>788</v>
      </c>
      <c r="DY10" s="265" t="s">
        <v>426</v>
      </c>
      <c r="DZ10" s="298" t="s">
        <v>426</v>
      </c>
      <c r="EA10" s="264">
        <v>80472652</v>
      </c>
      <c r="EB10" s="264">
        <f t="shared" si="34"/>
        <v>83852.503384000011</v>
      </c>
      <c r="EE10" s="210" t="s">
        <v>423</v>
      </c>
      <c r="EF10" s="212" t="s">
        <v>853</v>
      </c>
      <c r="EG10" s="212" t="s">
        <v>448</v>
      </c>
      <c r="EH10" s="212" t="s">
        <v>449</v>
      </c>
      <c r="EI10" s="211">
        <v>300000000</v>
      </c>
      <c r="EJ10" s="211">
        <v>0</v>
      </c>
      <c r="EK10" s="211">
        <v>0</v>
      </c>
      <c r="EL10" s="258">
        <f t="shared" si="35"/>
        <v>312600</v>
      </c>
      <c r="EM10" s="258">
        <f t="shared" si="36"/>
        <v>0</v>
      </c>
      <c r="EN10" s="258">
        <f t="shared" si="37"/>
        <v>0</v>
      </c>
      <c r="EQ10" s="210" t="s">
        <v>791</v>
      </c>
      <c r="ER10" s="212" t="s">
        <v>792</v>
      </c>
      <c r="ES10" s="210" t="s">
        <v>426</v>
      </c>
      <c r="ET10" s="210" t="s">
        <v>426</v>
      </c>
      <c r="EU10" s="211">
        <v>115920000</v>
      </c>
      <c r="EV10" s="257">
        <f t="shared" si="38"/>
        <v>115920</v>
      </c>
      <c r="EY10" s="210" t="s">
        <v>423</v>
      </c>
      <c r="EZ10" s="212" t="s">
        <v>853</v>
      </c>
      <c r="FA10" s="212" t="s">
        <v>448</v>
      </c>
      <c r="FB10" s="212" t="s">
        <v>449</v>
      </c>
      <c r="FC10" s="211">
        <v>300000000</v>
      </c>
      <c r="FD10" s="211">
        <v>0</v>
      </c>
      <c r="FE10" s="211">
        <v>0</v>
      </c>
      <c r="FF10" s="257">
        <f t="shared" si="39"/>
        <v>300000</v>
      </c>
      <c r="FG10" s="257">
        <f t="shared" si="40"/>
        <v>0</v>
      </c>
      <c r="FH10" s="257">
        <f t="shared" si="41"/>
        <v>0</v>
      </c>
      <c r="FK10" s="204" t="s">
        <v>785</v>
      </c>
      <c r="FL10" s="204" t="s">
        <v>786</v>
      </c>
      <c r="FM10" s="204" t="s">
        <v>426</v>
      </c>
      <c r="FN10" s="204" t="s">
        <v>426</v>
      </c>
      <c r="FO10" s="257">
        <v>149600074</v>
      </c>
      <c r="FP10" s="226">
        <f t="shared" si="42"/>
        <v>149600.07399999999</v>
      </c>
      <c r="FR10" s="262" t="s">
        <v>423</v>
      </c>
      <c r="FS10" s="204" t="s">
        <v>853</v>
      </c>
      <c r="FT10" s="204" t="s">
        <v>448</v>
      </c>
      <c r="FU10" s="204" t="s">
        <v>449</v>
      </c>
      <c r="FV10" s="257">
        <v>300000000</v>
      </c>
      <c r="FW10" s="257">
        <v>0</v>
      </c>
      <c r="FX10" s="257">
        <v>0</v>
      </c>
      <c r="FY10" s="226">
        <f t="shared" si="43"/>
        <v>300000</v>
      </c>
      <c r="FZ10" s="226">
        <f t="shared" si="44"/>
        <v>0</v>
      </c>
      <c r="GA10" s="226">
        <f t="shared" si="45"/>
        <v>0</v>
      </c>
      <c r="GD10" s="204" t="s">
        <v>779</v>
      </c>
      <c r="GE10" s="204" t="s">
        <v>780</v>
      </c>
      <c r="GF10" s="204" t="s">
        <v>426</v>
      </c>
      <c r="GG10" s="204" t="s">
        <v>426</v>
      </c>
      <c r="GH10" s="257">
        <v>8242748509</v>
      </c>
      <c r="GI10" s="257">
        <f t="shared" si="46"/>
        <v>8242748.5089999996</v>
      </c>
      <c r="GK10" s="204" t="s">
        <v>423</v>
      </c>
      <c r="GL10" s="204" t="s">
        <v>853</v>
      </c>
      <c r="GM10" s="204" t="s">
        <v>448</v>
      </c>
      <c r="GN10" s="204" t="s">
        <v>449</v>
      </c>
      <c r="GO10" s="257">
        <v>300000000</v>
      </c>
      <c r="GP10" s="257">
        <v>0</v>
      </c>
      <c r="GQ10" s="257">
        <v>0</v>
      </c>
      <c r="GR10" s="257">
        <f t="shared" si="47"/>
        <v>300000</v>
      </c>
      <c r="GS10" s="257">
        <f t="shared" si="48"/>
        <v>0</v>
      </c>
      <c r="GT10" s="257">
        <f t="shared" si="49"/>
        <v>0</v>
      </c>
      <c r="GV10" s="263" t="s">
        <v>429</v>
      </c>
      <c r="GW10" s="353" t="s">
        <v>140</v>
      </c>
      <c r="GX10" s="353" t="s">
        <v>426</v>
      </c>
      <c r="GY10" s="353" t="s">
        <v>426</v>
      </c>
      <c r="GZ10" s="264">
        <v>1986270510</v>
      </c>
      <c r="HA10" s="264">
        <f t="shared" si="50"/>
        <v>1986270.51</v>
      </c>
      <c r="HC10" s="204" t="s">
        <v>423</v>
      </c>
      <c r="HD10" s="204" t="s">
        <v>853</v>
      </c>
      <c r="HE10" s="204" t="s">
        <v>448</v>
      </c>
      <c r="HF10" s="204" t="s">
        <v>449</v>
      </c>
      <c r="HG10" s="225">
        <v>204314614</v>
      </c>
      <c r="HH10" s="225">
        <v>0</v>
      </c>
      <c r="HI10" s="225">
        <v>0</v>
      </c>
      <c r="HJ10" s="225">
        <f t="shared" si="51"/>
        <v>204314.614</v>
      </c>
      <c r="HK10" s="225">
        <f t="shared" si="52"/>
        <v>0</v>
      </c>
      <c r="HL10" s="225">
        <f t="shared" si="53"/>
        <v>0</v>
      </c>
    </row>
    <row r="11" spans="1:220" ht="15" customHeight="1" x14ac:dyDescent="0.2">
      <c r="A11" s="210" t="s">
        <v>423</v>
      </c>
      <c r="B11" s="212" t="s">
        <v>853</v>
      </c>
      <c r="C11" s="210" t="s">
        <v>448</v>
      </c>
      <c r="D11" s="212" t="s">
        <v>449</v>
      </c>
      <c r="E11" s="211">
        <v>0</v>
      </c>
      <c r="F11" s="211">
        <v>103736157</v>
      </c>
      <c r="G11" s="211">
        <v>56316000</v>
      </c>
      <c r="H11" s="211">
        <f t="shared" si="7"/>
        <v>0</v>
      </c>
      <c r="I11" s="211">
        <f t="shared" si="8"/>
        <v>108093.07559400001</v>
      </c>
      <c r="J11" s="211">
        <f t="shared" si="9"/>
        <v>58681.272000000004</v>
      </c>
      <c r="R11" s="266">
        <f>SUM(R3:R10)</f>
        <v>26600532.602617998</v>
      </c>
      <c r="T11" s="292" t="s">
        <v>423</v>
      </c>
      <c r="U11" s="293" t="s">
        <v>853</v>
      </c>
      <c r="V11" s="292" t="s">
        <v>425</v>
      </c>
      <c r="W11" s="293" t="s">
        <v>311</v>
      </c>
      <c r="X11" s="294">
        <v>5000000</v>
      </c>
      <c r="Y11" s="294">
        <v>0</v>
      </c>
      <c r="Z11" s="294">
        <v>0</v>
      </c>
      <c r="AA11" s="258">
        <f t="shared" si="11"/>
        <v>5210</v>
      </c>
      <c r="AB11" s="258">
        <f t="shared" si="12"/>
        <v>0</v>
      </c>
      <c r="AC11" s="258">
        <f t="shared" si="13"/>
        <v>0</v>
      </c>
      <c r="AE11" s="210" t="s">
        <v>791</v>
      </c>
      <c r="AF11" s="210" t="s">
        <v>792</v>
      </c>
      <c r="AG11" s="210" t="s">
        <v>426</v>
      </c>
      <c r="AH11" s="210" t="s">
        <v>426</v>
      </c>
      <c r="AI11" s="212" t="s">
        <v>513</v>
      </c>
      <c r="AJ11" s="211">
        <v>88260000</v>
      </c>
      <c r="AK11" s="211">
        <f t="shared" si="14"/>
        <v>91966.92</v>
      </c>
      <c r="AM11" s="212" t="s">
        <v>423</v>
      </c>
      <c r="AN11" s="212" t="s">
        <v>853</v>
      </c>
      <c r="AO11" s="212" t="s">
        <v>424</v>
      </c>
      <c r="AP11" s="212" t="s">
        <v>268</v>
      </c>
      <c r="AQ11" s="212" t="s">
        <v>513</v>
      </c>
      <c r="AR11" s="295">
        <v>256612000</v>
      </c>
      <c r="AS11" s="295">
        <v>0</v>
      </c>
      <c r="AT11" s="295">
        <v>0</v>
      </c>
      <c r="AU11" s="295">
        <f t="shared" si="15"/>
        <v>267389.70400000003</v>
      </c>
      <c r="AV11" s="295">
        <f t="shared" si="16"/>
        <v>0</v>
      </c>
      <c r="AW11" s="295">
        <f t="shared" si="17"/>
        <v>0</v>
      </c>
      <c r="AY11" s="263" t="s">
        <v>789</v>
      </c>
      <c r="AZ11" s="212" t="s">
        <v>790</v>
      </c>
      <c r="BA11" s="263" t="s">
        <v>426</v>
      </c>
      <c r="BB11" s="212" t="s">
        <v>426</v>
      </c>
      <c r="BC11" s="264">
        <v>406146000</v>
      </c>
      <c r="BD11" s="264">
        <f t="shared" si="18"/>
        <v>423204.13200000004</v>
      </c>
      <c r="BF11" s="263" t="s">
        <v>423</v>
      </c>
      <c r="BG11" s="296" t="s">
        <v>853</v>
      </c>
      <c r="BH11" s="210" t="s">
        <v>424</v>
      </c>
      <c r="BI11" s="212" t="s">
        <v>268</v>
      </c>
      <c r="BJ11" s="264">
        <v>256612000</v>
      </c>
      <c r="BK11" s="264">
        <v>0</v>
      </c>
      <c r="BL11" s="264">
        <v>0</v>
      </c>
      <c r="BM11" s="264">
        <f t="shared" si="19"/>
        <v>267389.70400000003</v>
      </c>
      <c r="BN11" s="264">
        <f t="shared" si="20"/>
        <v>0</v>
      </c>
      <c r="BO11" s="264">
        <f t="shared" si="21"/>
        <v>0</v>
      </c>
      <c r="BR11" s="263" t="s">
        <v>785</v>
      </c>
      <c r="BS11" s="212" t="s">
        <v>786</v>
      </c>
      <c r="BT11" s="263" t="s">
        <v>426</v>
      </c>
      <c r="BU11" s="210" t="s">
        <v>426</v>
      </c>
      <c r="BV11" s="264">
        <v>224888896</v>
      </c>
      <c r="BW11" s="264">
        <f t="shared" si="22"/>
        <v>234334.229632</v>
      </c>
      <c r="BY11" s="210" t="s">
        <v>423</v>
      </c>
      <c r="BZ11" s="210" t="s">
        <v>853</v>
      </c>
      <c r="CA11" s="210" t="s">
        <v>424</v>
      </c>
      <c r="CB11" s="210" t="s">
        <v>268</v>
      </c>
      <c r="CC11" s="212" t="s">
        <v>513</v>
      </c>
      <c r="CD11" s="211">
        <v>256612000</v>
      </c>
      <c r="CE11" s="211">
        <v>0</v>
      </c>
      <c r="CF11" s="211">
        <v>0</v>
      </c>
      <c r="CG11" s="211">
        <f t="shared" si="23"/>
        <v>267389.70400000003</v>
      </c>
      <c r="CH11" s="211">
        <f t="shared" si="24"/>
        <v>0</v>
      </c>
      <c r="CI11" s="211">
        <f t="shared" si="25"/>
        <v>0</v>
      </c>
      <c r="CK11" s="212" t="s">
        <v>787</v>
      </c>
      <c r="CL11" s="212" t="s">
        <v>788</v>
      </c>
      <c r="CM11" s="212" t="s">
        <v>426</v>
      </c>
      <c r="CN11" s="212" t="s">
        <v>426</v>
      </c>
      <c r="CO11" s="211">
        <v>1200795821</v>
      </c>
      <c r="CP11" s="211">
        <f t="shared" si="26"/>
        <v>1251229.2454820001</v>
      </c>
      <c r="CR11" s="212" t="s">
        <v>423</v>
      </c>
      <c r="CS11" s="212" t="s">
        <v>853</v>
      </c>
      <c r="CT11" s="212" t="s">
        <v>424</v>
      </c>
      <c r="CU11" s="212" t="s">
        <v>268</v>
      </c>
      <c r="CV11" s="211">
        <v>256612000</v>
      </c>
      <c r="CW11" s="211">
        <v>0</v>
      </c>
      <c r="CX11" s="211">
        <v>0</v>
      </c>
      <c r="CY11" s="211">
        <f t="shared" si="27"/>
        <v>267389.70400000003</v>
      </c>
      <c r="CZ11" s="211">
        <f t="shared" si="28"/>
        <v>0</v>
      </c>
      <c r="DA11" s="211">
        <f t="shared" si="29"/>
        <v>0</v>
      </c>
      <c r="DC11" s="263" t="s">
        <v>785</v>
      </c>
      <c r="DD11" s="212" t="s">
        <v>786</v>
      </c>
      <c r="DE11" s="263" t="s">
        <v>426</v>
      </c>
      <c r="DF11" s="210" t="s">
        <v>426</v>
      </c>
      <c r="DG11" s="264">
        <v>9621299</v>
      </c>
      <c r="DH11" s="264">
        <f t="shared" si="30"/>
        <v>10025.393558000002</v>
      </c>
      <c r="DK11" s="210" t="s">
        <v>423</v>
      </c>
      <c r="DL11" s="212" t="s">
        <v>853</v>
      </c>
      <c r="DM11" s="210" t="s">
        <v>424</v>
      </c>
      <c r="DN11" s="212" t="s">
        <v>268</v>
      </c>
      <c r="DO11" s="211">
        <v>256612000</v>
      </c>
      <c r="DP11" s="211">
        <v>0</v>
      </c>
      <c r="DQ11" s="211">
        <v>0</v>
      </c>
      <c r="DR11" s="211">
        <f t="shared" si="31"/>
        <v>267389.70400000003</v>
      </c>
      <c r="DS11" s="211">
        <f t="shared" si="32"/>
        <v>0</v>
      </c>
      <c r="DT11" s="211">
        <f t="shared" si="33"/>
        <v>0</v>
      </c>
      <c r="DW11" s="265" t="s">
        <v>791</v>
      </c>
      <c r="DX11" s="297" t="s">
        <v>792</v>
      </c>
      <c r="DY11" s="265" t="s">
        <v>426</v>
      </c>
      <c r="DZ11" s="298" t="s">
        <v>426</v>
      </c>
      <c r="EA11" s="264">
        <v>588837000</v>
      </c>
      <c r="EB11" s="264">
        <f t="shared" si="34"/>
        <v>613568.15399999998</v>
      </c>
      <c r="EE11" s="210" t="s">
        <v>423</v>
      </c>
      <c r="EF11" s="212" t="s">
        <v>853</v>
      </c>
      <c r="EG11" s="212" t="s">
        <v>424</v>
      </c>
      <c r="EH11" s="212" t="s">
        <v>268</v>
      </c>
      <c r="EI11" s="211">
        <v>256612000</v>
      </c>
      <c r="EJ11" s="211">
        <v>0</v>
      </c>
      <c r="EK11" s="211">
        <v>0</v>
      </c>
      <c r="EL11" s="258">
        <f t="shared" si="35"/>
        <v>267389.70400000003</v>
      </c>
      <c r="EM11" s="258">
        <f t="shared" si="36"/>
        <v>0</v>
      </c>
      <c r="EN11" s="258">
        <f t="shared" si="37"/>
        <v>0</v>
      </c>
      <c r="EQ11" s="210" t="s">
        <v>795</v>
      </c>
      <c r="ER11" s="212" t="s">
        <v>796</v>
      </c>
      <c r="ES11" s="210" t="s">
        <v>426</v>
      </c>
      <c r="ET11" s="210" t="s">
        <v>426</v>
      </c>
      <c r="EU11" s="211">
        <v>1052982463</v>
      </c>
      <c r="EV11" s="257">
        <f t="shared" si="38"/>
        <v>1052982.463</v>
      </c>
      <c r="EY11" s="210" t="s">
        <v>423</v>
      </c>
      <c r="EZ11" s="212" t="s">
        <v>853</v>
      </c>
      <c r="FA11" s="212" t="s">
        <v>424</v>
      </c>
      <c r="FB11" s="212" t="s">
        <v>268</v>
      </c>
      <c r="FC11" s="211">
        <v>256612000</v>
      </c>
      <c r="FD11" s="211">
        <v>0</v>
      </c>
      <c r="FE11" s="211">
        <v>0</v>
      </c>
      <c r="FF11" s="257">
        <f t="shared" si="39"/>
        <v>256612</v>
      </c>
      <c r="FG11" s="257">
        <f t="shared" si="40"/>
        <v>0</v>
      </c>
      <c r="FH11" s="257">
        <f t="shared" si="41"/>
        <v>0</v>
      </c>
      <c r="FK11" s="204" t="s">
        <v>787</v>
      </c>
      <c r="FL11" s="204" t="s">
        <v>788</v>
      </c>
      <c r="FM11" s="204" t="s">
        <v>426</v>
      </c>
      <c r="FN11" s="204" t="s">
        <v>426</v>
      </c>
      <c r="FO11" s="257">
        <v>709783401</v>
      </c>
      <c r="FP11" s="226">
        <f t="shared" si="42"/>
        <v>709783.40099999995</v>
      </c>
      <c r="FR11" s="262" t="s">
        <v>423</v>
      </c>
      <c r="FS11" s="204" t="s">
        <v>853</v>
      </c>
      <c r="FT11" s="204" t="s">
        <v>424</v>
      </c>
      <c r="FU11" s="204" t="s">
        <v>268</v>
      </c>
      <c r="FV11" s="257">
        <v>256612000</v>
      </c>
      <c r="FW11" s="257">
        <v>0</v>
      </c>
      <c r="FX11" s="257">
        <v>0</v>
      </c>
      <c r="FY11" s="226">
        <f t="shared" si="43"/>
        <v>256612</v>
      </c>
      <c r="FZ11" s="226">
        <f t="shared" si="44"/>
        <v>0</v>
      </c>
      <c r="GA11" s="226">
        <f t="shared" si="45"/>
        <v>0</v>
      </c>
      <c r="GD11" s="204" t="s">
        <v>781</v>
      </c>
      <c r="GE11" s="204" t="s">
        <v>782</v>
      </c>
      <c r="GF11" s="204" t="s">
        <v>426</v>
      </c>
      <c r="GG11" s="204" t="s">
        <v>426</v>
      </c>
      <c r="GH11" s="257">
        <v>1036561973</v>
      </c>
      <c r="GI11" s="257">
        <f t="shared" si="46"/>
        <v>1036561.973</v>
      </c>
      <c r="GK11" s="204" t="s">
        <v>423</v>
      </c>
      <c r="GL11" s="204" t="s">
        <v>853</v>
      </c>
      <c r="GM11" s="204" t="s">
        <v>424</v>
      </c>
      <c r="GN11" s="204" t="s">
        <v>268</v>
      </c>
      <c r="GO11" s="257">
        <v>256612000</v>
      </c>
      <c r="GP11" s="257">
        <v>0</v>
      </c>
      <c r="GQ11" s="257">
        <v>0</v>
      </c>
      <c r="GR11" s="257">
        <f t="shared" si="47"/>
        <v>256612</v>
      </c>
      <c r="GS11" s="257">
        <f t="shared" si="48"/>
        <v>0</v>
      </c>
      <c r="GT11" s="257">
        <f t="shared" si="49"/>
        <v>0</v>
      </c>
      <c r="GV11" s="263" t="s">
        <v>779</v>
      </c>
      <c r="GW11" s="353" t="s">
        <v>780</v>
      </c>
      <c r="GX11" s="353" t="s">
        <v>426</v>
      </c>
      <c r="GY11" s="353" t="s">
        <v>426</v>
      </c>
      <c r="GZ11" s="264">
        <v>9757328931</v>
      </c>
      <c r="HA11" s="264">
        <f t="shared" si="50"/>
        <v>9757328.9309999999</v>
      </c>
      <c r="HC11" s="204" t="s">
        <v>423</v>
      </c>
      <c r="HD11" s="204" t="s">
        <v>853</v>
      </c>
      <c r="HE11" s="204" t="s">
        <v>424</v>
      </c>
      <c r="HF11" s="204" t="s">
        <v>268</v>
      </c>
      <c r="HG11" s="225">
        <v>185328483</v>
      </c>
      <c r="HH11" s="225">
        <v>0</v>
      </c>
      <c r="HI11" s="225">
        <v>0</v>
      </c>
      <c r="HJ11" s="225">
        <f t="shared" si="51"/>
        <v>185328.48300000001</v>
      </c>
      <c r="HK11" s="225">
        <f t="shared" si="52"/>
        <v>0</v>
      </c>
      <c r="HL11" s="225">
        <f t="shared" si="53"/>
        <v>0</v>
      </c>
    </row>
    <row r="12" spans="1:220" ht="15" customHeight="1" x14ac:dyDescent="0.2">
      <c r="A12" s="210" t="s">
        <v>423</v>
      </c>
      <c r="B12" s="212" t="s">
        <v>853</v>
      </c>
      <c r="C12" s="210" t="s">
        <v>472</v>
      </c>
      <c r="D12" s="212" t="s">
        <v>330</v>
      </c>
      <c r="E12" s="211">
        <v>0</v>
      </c>
      <c r="F12" s="211">
        <v>49027429</v>
      </c>
      <c r="G12" s="211">
        <v>49027429</v>
      </c>
      <c r="H12" s="211">
        <f t="shared" si="7"/>
        <v>0</v>
      </c>
      <c r="I12" s="211">
        <f t="shared" si="8"/>
        <v>51086.581017999997</v>
      </c>
      <c r="J12" s="211">
        <f t="shared" si="9"/>
        <v>51086.581017999997</v>
      </c>
      <c r="R12" s="267"/>
      <c r="T12" s="292" t="s">
        <v>423</v>
      </c>
      <c r="U12" s="293" t="s">
        <v>853</v>
      </c>
      <c r="V12" s="292" t="s">
        <v>447</v>
      </c>
      <c r="W12" s="293" t="s">
        <v>270</v>
      </c>
      <c r="X12" s="294">
        <v>3000000</v>
      </c>
      <c r="Y12" s="294">
        <v>0</v>
      </c>
      <c r="Z12" s="294">
        <v>0</v>
      </c>
      <c r="AA12" s="258">
        <f t="shared" si="11"/>
        <v>3126</v>
      </c>
      <c r="AB12" s="258">
        <f t="shared" si="12"/>
        <v>0</v>
      </c>
      <c r="AC12" s="258">
        <f t="shared" si="13"/>
        <v>0</v>
      </c>
      <c r="AE12" s="210" t="s">
        <v>793</v>
      </c>
      <c r="AF12" s="210" t="s">
        <v>794</v>
      </c>
      <c r="AG12" s="210" t="s">
        <v>426</v>
      </c>
      <c r="AH12" s="210" t="s">
        <v>426</v>
      </c>
      <c r="AI12" s="212" t="s">
        <v>513</v>
      </c>
      <c r="AJ12" s="211">
        <v>69020000</v>
      </c>
      <c r="AK12" s="211">
        <f t="shared" si="14"/>
        <v>71918.84</v>
      </c>
      <c r="AM12" s="212" t="s">
        <v>423</v>
      </c>
      <c r="AN12" s="212" t="s">
        <v>853</v>
      </c>
      <c r="AO12" s="212" t="s">
        <v>425</v>
      </c>
      <c r="AP12" s="212" t="s">
        <v>311</v>
      </c>
      <c r="AQ12" s="212" t="s">
        <v>513</v>
      </c>
      <c r="AR12" s="295">
        <v>5000000</v>
      </c>
      <c r="AS12" s="295">
        <v>0</v>
      </c>
      <c r="AT12" s="295">
        <v>0</v>
      </c>
      <c r="AU12" s="295">
        <f t="shared" si="15"/>
        <v>5210</v>
      </c>
      <c r="AV12" s="295">
        <f t="shared" si="16"/>
        <v>0</v>
      </c>
      <c r="AW12" s="295">
        <f t="shared" si="17"/>
        <v>0</v>
      </c>
      <c r="AY12" s="263" t="s">
        <v>791</v>
      </c>
      <c r="AZ12" s="212" t="s">
        <v>792</v>
      </c>
      <c r="BA12" s="263" t="s">
        <v>426</v>
      </c>
      <c r="BB12" s="212" t="s">
        <v>426</v>
      </c>
      <c r="BC12" s="264">
        <v>237956770</v>
      </c>
      <c r="BD12" s="264">
        <f t="shared" si="18"/>
        <v>247950.95434</v>
      </c>
      <c r="BF12" s="263" t="s">
        <v>423</v>
      </c>
      <c r="BG12" s="296" t="s">
        <v>853</v>
      </c>
      <c r="BH12" s="210" t="s">
        <v>425</v>
      </c>
      <c r="BI12" s="212" t="s">
        <v>311</v>
      </c>
      <c r="BJ12" s="264">
        <v>5000000</v>
      </c>
      <c r="BK12" s="264">
        <v>0</v>
      </c>
      <c r="BL12" s="264">
        <v>0</v>
      </c>
      <c r="BM12" s="264">
        <f t="shared" si="19"/>
        <v>5210</v>
      </c>
      <c r="BN12" s="264">
        <f t="shared" si="20"/>
        <v>0</v>
      </c>
      <c r="BO12" s="264">
        <f t="shared" si="21"/>
        <v>0</v>
      </c>
      <c r="BR12" s="263" t="s">
        <v>787</v>
      </c>
      <c r="BS12" s="212" t="s">
        <v>788</v>
      </c>
      <c r="BT12" s="263" t="s">
        <v>426</v>
      </c>
      <c r="BU12" s="210" t="s">
        <v>426</v>
      </c>
      <c r="BV12" s="264">
        <v>1129588764</v>
      </c>
      <c r="BW12" s="264">
        <f t="shared" si="22"/>
        <v>1177031.4920880001</v>
      </c>
      <c r="BY12" s="210" t="s">
        <v>423</v>
      </c>
      <c r="BZ12" s="210" t="s">
        <v>853</v>
      </c>
      <c r="CA12" s="210" t="s">
        <v>425</v>
      </c>
      <c r="CB12" s="210" t="s">
        <v>311</v>
      </c>
      <c r="CC12" s="212" t="s">
        <v>513</v>
      </c>
      <c r="CD12" s="211">
        <v>5000000</v>
      </c>
      <c r="CE12" s="211">
        <v>0</v>
      </c>
      <c r="CF12" s="211">
        <v>0</v>
      </c>
      <c r="CG12" s="211">
        <f t="shared" si="23"/>
        <v>5210</v>
      </c>
      <c r="CH12" s="211">
        <f t="shared" si="24"/>
        <v>0</v>
      </c>
      <c r="CI12" s="211">
        <f t="shared" si="25"/>
        <v>0</v>
      </c>
      <c r="CK12" s="212" t="s">
        <v>789</v>
      </c>
      <c r="CL12" s="212" t="s">
        <v>790</v>
      </c>
      <c r="CM12" s="212" t="s">
        <v>426</v>
      </c>
      <c r="CN12" s="212" t="s">
        <v>426</v>
      </c>
      <c r="CO12" s="211">
        <v>659886340</v>
      </c>
      <c r="CP12" s="211">
        <f t="shared" si="26"/>
        <v>687601.56628000003</v>
      </c>
      <c r="CR12" s="212" t="s">
        <v>423</v>
      </c>
      <c r="CS12" s="212" t="s">
        <v>853</v>
      </c>
      <c r="CT12" s="212" t="s">
        <v>425</v>
      </c>
      <c r="CU12" s="212" t="s">
        <v>311</v>
      </c>
      <c r="CV12" s="211">
        <v>5000000</v>
      </c>
      <c r="CW12" s="211">
        <v>0</v>
      </c>
      <c r="CX12" s="211">
        <v>0</v>
      </c>
      <c r="CY12" s="211">
        <f t="shared" si="27"/>
        <v>5210</v>
      </c>
      <c r="CZ12" s="211">
        <f t="shared" si="28"/>
        <v>0</v>
      </c>
      <c r="DA12" s="211">
        <f t="shared" si="29"/>
        <v>0</v>
      </c>
      <c r="DC12" s="263" t="s">
        <v>787</v>
      </c>
      <c r="DD12" s="212" t="s">
        <v>788</v>
      </c>
      <c r="DE12" s="263" t="s">
        <v>426</v>
      </c>
      <c r="DF12" s="210" t="s">
        <v>426</v>
      </c>
      <c r="DG12" s="264">
        <v>271128861</v>
      </c>
      <c r="DH12" s="264">
        <f t="shared" si="30"/>
        <v>282516.273162</v>
      </c>
      <c r="DK12" s="210" t="s">
        <v>423</v>
      </c>
      <c r="DL12" s="212" t="s">
        <v>853</v>
      </c>
      <c r="DM12" s="210" t="s">
        <v>425</v>
      </c>
      <c r="DN12" s="212" t="s">
        <v>311</v>
      </c>
      <c r="DO12" s="211">
        <v>5000000</v>
      </c>
      <c r="DP12" s="211">
        <v>0</v>
      </c>
      <c r="DQ12" s="211">
        <v>0</v>
      </c>
      <c r="DR12" s="211">
        <f t="shared" si="31"/>
        <v>5210</v>
      </c>
      <c r="DS12" s="211">
        <f t="shared" si="32"/>
        <v>0</v>
      </c>
      <c r="DT12" s="211">
        <f t="shared" si="33"/>
        <v>0</v>
      </c>
      <c r="DW12" s="265" t="s">
        <v>793</v>
      </c>
      <c r="DX12" s="297" t="s">
        <v>794</v>
      </c>
      <c r="DY12" s="265" t="s">
        <v>426</v>
      </c>
      <c r="DZ12" s="298" t="s">
        <v>426</v>
      </c>
      <c r="EA12" s="264">
        <v>434634125</v>
      </c>
      <c r="EB12" s="264">
        <f t="shared" si="34"/>
        <v>452888.75825000001</v>
      </c>
      <c r="EE12" s="210" t="s">
        <v>423</v>
      </c>
      <c r="EF12" s="212" t="s">
        <v>853</v>
      </c>
      <c r="EG12" s="212" t="s">
        <v>425</v>
      </c>
      <c r="EH12" s="212" t="s">
        <v>311</v>
      </c>
      <c r="EI12" s="211">
        <v>5000000</v>
      </c>
      <c r="EJ12" s="211">
        <v>0</v>
      </c>
      <c r="EK12" s="211">
        <v>0</v>
      </c>
      <c r="EL12" s="258">
        <f t="shared" si="35"/>
        <v>5210</v>
      </c>
      <c r="EM12" s="258">
        <f t="shared" si="36"/>
        <v>0</v>
      </c>
      <c r="EN12" s="258">
        <f t="shared" si="37"/>
        <v>0</v>
      </c>
      <c r="EQ12" s="210" t="s">
        <v>797</v>
      </c>
      <c r="ER12" s="212" t="s">
        <v>798</v>
      </c>
      <c r="ES12" s="210" t="s">
        <v>426</v>
      </c>
      <c r="ET12" s="210" t="s">
        <v>426</v>
      </c>
      <c r="EU12" s="211">
        <v>2799000773</v>
      </c>
      <c r="EV12" s="257">
        <f t="shared" si="38"/>
        <v>2799000.773</v>
      </c>
      <c r="EY12" s="210" t="s">
        <v>423</v>
      </c>
      <c r="EZ12" s="212" t="s">
        <v>853</v>
      </c>
      <c r="FA12" s="212" t="s">
        <v>425</v>
      </c>
      <c r="FB12" s="212" t="s">
        <v>311</v>
      </c>
      <c r="FC12" s="211">
        <v>5000000</v>
      </c>
      <c r="FD12" s="211">
        <v>0</v>
      </c>
      <c r="FE12" s="211">
        <v>0</v>
      </c>
      <c r="FF12" s="257">
        <f t="shared" si="39"/>
        <v>5000</v>
      </c>
      <c r="FG12" s="257">
        <f t="shared" si="40"/>
        <v>0</v>
      </c>
      <c r="FH12" s="257">
        <f t="shared" si="41"/>
        <v>0</v>
      </c>
      <c r="FK12" s="204" t="s">
        <v>789</v>
      </c>
      <c r="FL12" s="204" t="s">
        <v>790</v>
      </c>
      <c r="FM12" s="204" t="s">
        <v>426</v>
      </c>
      <c r="FN12" s="204" t="s">
        <v>426</v>
      </c>
      <c r="FO12" s="257">
        <v>4436946137</v>
      </c>
      <c r="FP12" s="226">
        <f t="shared" si="42"/>
        <v>4436946.1370000001</v>
      </c>
      <c r="FR12" s="262" t="s">
        <v>423</v>
      </c>
      <c r="FS12" s="204" t="s">
        <v>853</v>
      </c>
      <c r="FT12" s="204" t="s">
        <v>425</v>
      </c>
      <c r="FU12" s="204" t="s">
        <v>311</v>
      </c>
      <c r="FV12" s="257">
        <v>5000000</v>
      </c>
      <c r="FW12" s="257">
        <v>0</v>
      </c>
      <c r="FX12" s="257">
        <v>0</v>
      </c>
      <c r="FY12" s="226">
        <f t="shared" si="43"/>
        <v>5000</v>
      </c>
      <c r="FZ12" s="226">
        <f t="shared" si="44"/>
        <v>0</v>
      </c>
      <c r="GA12" s="226">
        <f t="shared" si="45"/>
        <v>0</v>
      </c>
      <c r="GD12" s="204" t="s">
        <v>783</v>
      </c>
      <c r="GE12" s="204" t="s">
        <v>784</v>
      </c>
      <c r="GF12" s="204" t="s">
        <v>426</v>
      </c>
      <c r="GG12" s="204" t="s">
        <v>426</v>
      </c>
      <c r="GH12" s="257">
        <v>47812760</v>
      </c>
      <c r="GI12" s="257">
        <f t="shared" si="46"/>
        <v>47812.76</v>
      </c>
      <c r="GK12" s="204" t="s">
        <v>423</v>
      </c>
      <c r="GL12" s="204" t="s">
        <v>853</v>
      </c>
      <c r="GM12" s="204" t="s">
        <v>425</v>
      </c>
      <c r="GN12" s="204" t="s">
        <v>311</v>
      </c>
      <c r="GO12" s="257">
        <v>5000000</v>
      </c>
      <c r="GP12" s="257">
        <v>0</v>
      </c>
      <c r="GQ12" s="257">
        <v>0</v>
      </c>
      <c r="GR12" s="257">
        <f t="shared" si="47"/>
        <v>5000</v>
      </c>
      <c r="GS12" s="257">
        <f t="shared" si="48"/>
        <v>0</v>
      </c>
      <c r="GT12" s="257">
        <f t="shared" si="49"/>
        <v>0</v>
      </c>
      <c r="GV12" s="263" t="s">
        <v>781</v>
      </c>
      <c r="GW12" s="353" t="s">
        <v>782</v>
      </c>
      <c r="GX12" s="353" t="s">
        <v>426</v>
      </c>
      <c r="GY12" s="353" t="s">
        <v>426</v>
      </c>
      <c r="GZ12" s="264">
        <v>2345140713</v>
      </c>
      <c r="HA12" s="264">
        <f t="shared" si="50"/>
        <v>2345140.713</v>
      </c>
      <c r="HC12" s="204" t="s">
        <v>423</v>
      </c>
      <c r="HD12" s="204" t="s">
        <v>853</v>
      </c>
      <c r="HE12" s="204" t="s">
        <v>447</v>
      </c>
      <c r="HF12" s="204" t="s">
        <v>270</v>
      </c>
      <c r="HG12" s="225">
        <v>4998422</v>
      </c>
      <c r="HH12" s="225">
        <v>0</v>
      </c>
      <c r="HI12" s="225">
        <v>0</v>
      </c>
      <c r="HJ12" s="225">
        <f t="shared" si="51"/>
        <v>4998.4219999999996</v>
      </c>
      <c r="HK12" s="225">
        <f t="shared" si="52"/>
        <v>0</v>
      </c>
      <c r="HL12" s="225">
        <f t="shared" si="53"/>
        <v>0</v>
      </c>
    </row>
    <row r="13" spans="1:220" ht="15" customHeight="1" x14ac:dyDescent="0.2">
      <c r="A13" s="210" t="s">
        <v>423</v>
      </c>
      <c r="B13" s="212" t="s">
        <v>853</v>
      </c>
      <c r="C13" s="210" t="s">
        <v>424</v>
      </c>
      <c r="D13" s="212" t="s">
        <v>268</v>
      </c>
      <c r="E13" s="211">
        <v>0</v>
      </c>
      <c r="F13" s="211">
        <v>152815236</v>
      </c>
      <c r="G13" s="211">
        <v>12734603</v>
      </c>
      <c r="H13" s="211">
        <f t="shared" si="7"/>
        <v>0</v>
      </c>
      <c r="I13" s="211">
        <f t="shared" si="8"/>
        <v>159233.47591200002</v>
      </c>
      <c r="J13" s="211">
        <f t="shared" si="9"/>
        <v>13269.456326</v>
      </c>
      <c r="T13" s="292" t="s">
        <v>423</v>
      </c>
      <c r="U13" s="293" t="s">
        <v>853</v>
      </c>
      <c r="V13" s="292" t="s">
        <v>424</v>
      </c>
      <c r="W13" s="293" t="s">
        <v>268</v>
      </c>
      <c r="X13" s="294">
        <v>0</v>
      </c>
      <c r="Y13" s="294">
        <v>174095236</v>
      </c>
      <c r="Z13" s="294">
        <v>25469206</v>
      </c>
      <c r="AA13" s="258">
        <f t="shared" si="11"/>
        <v>0</v>
      </c>
      <c r="AB13" s="258">
        <f t="shared" si="12"/>
        <v>181407.235912</v>
      </c>
      <c r="AC13" s="258">
        <f t="shared" si="13"/>
        <v>26538.912651999999</v>
      </c>
      <c r="AE13" s="210" t="s">
        <v>797</v>
      </c>
      <c r="AF13" s="210" t="s">
        <v>798</v>
      </c>
      <c r="AG13" s="210" t="s">
        <v>426</v>
      </c>
      <c r="AH13" s="210" t="s">
        <v>426</v>
      </c>
      <c r="AI13" s="212" t="s">
        <v>513</v>
      </c>
      <c r="AJ13" s="211">
        <v>2057958652</v>
      </c>
      <c r="AK13" s="211">
        <f t="shared" si="14"/>
        <v>2144392.9153840002</v>
      </c>
      <c r="AM13" s="212" t="s">
        <v>423</v>
      </c>
      <c r="AN13" s="212" t="s">
        <v>853</v>
      </c>
      <c r="AO13" s="212" t="s">
        <v>447</v>
      </c>
      <c r="AP13" s="212" t="s">
        <v>270</v>
      </c>
      <c r="AQ13" s="212" t="s">
        <v>513</v>
      </c>
      <c r="AR13" s="295">
        <v>3000000</v>
      </c>
      <c r="AS13" s="295">
        <v>0</v>
      </c>
      <c r="AT13" s="295">
        <v>0</v>
      </c>
      <c r="AU13" s="295">
        <f t="shared" si="15"/>
        <v>3126</v>
      </c>
      <c r="AV13" s="295">
        <f t="shared" si="16"/>
        <v>0</v>
      </c>
      <c r="AW13" s="295">
        <f t="shared" si="17"/>
        <v>0</v>
      </c>
      <c r="AY13" s="263" t="s">
        <v>793</v>
      </c>
      <c r="AZ13" s="212" t="s">
        <v>794</v>
      </c>
      <c r="BA13" s="263" t="s">
        <v>426</v>
      </c>
      <c r="BB13" s="212" t="s">
        <v>426</v>
      </c>
      <c r="BC13" s="264">
        <v>18345625</v>
      </c>
      <c r="BD13" s="264">
        <f t="shared" si="18"/>
        <v>19116.141250000001</v>
      </c>
      <c r="BF13" s="263" t="s">
        <v>423</v>
      </c>
      <c r="BG13" s="296" t="s">
        <v>853</v>
      </c>
      <c r="BH13" s="210" t="s">
        <v>447</v>
      </c>
      <c r="BI13" s="212" t="s">
        <v>270</v>
      </c>
      <c r="BJ13" s="264">
        <v>3000000</v>
      </c>
      <c r="BK13" s="264">
        <v>0</v>
      </c>
      <c r="BL13" s="264">
        <v>0</v>
      </c>
      <c r="BM13" s="264">
        <f t="shared" si="19"/>
        <v>3126</v>
      </c>
      <c r="BN13" s="264">
        <f t="shared" si="20"/>
        <v>0</v>
      </c>
      <c r="BO13" s="264">
        <f t="shared" si="21"/>
        <v>0</v>
      </c>
      <c r="BR13" s="263" t="s">
        <v>791</v>
      </c>
      <c r="BS13" s="212" t="s">
        <v>792</v>
      </c>
      <c r="BT13" s="263" t="s">
        <v>426</v>
      </c>
      <c r="BU13" s="210" t="s">
        <v>426</v>
      </c>
      <c r="BV13" s="264">
        <v>435985000</v>
      </c>
      <c r="BW13" s="264">
        <f t="shared" si="22"/>
        <v>454296.37</v>
      </c>
      <c r="BY13" s="210" t="s">
        <v>423</v>
      </c>
      <c r="BZ13" s="210" t="s">
        <v>853</v>
      </c>
      <c r="CA13" s="210" t="s">
        <v>447</v>
      </c>
      <c r="CB13" s="210" t="s">
        <v>270</v>
      </c>
      <c r="CC13" s="212" t="s">
        <v>513</v>
      </c>
      <c r="CD13" s="211">
        <v>3000000</v>
      </c>
      <c r="CE13" s="211">
        <v>0</v>
      </c>
      <c r="CF13" s="211">
        <v>0</v>
      </c>
      <c r="CG13" s="211">
        <f t="shared" si="23"/>
        <v>3126</v>
      </c>
      <c r="CH13" s="211">
        <f t="shared" si="24"/>
        <v>0</v>
      </c>
      <c r="CI13" s="211">
        <f t="shared" si="25"/>
        <v>0</v>
      </c>
      <c r="CK13" s="212" t="s">
        <v>791</v>
      </c>
      <c r="CL13" s="212" t="s">
        <v>792</v>
      </c>
      <c r="CM13" s="212" t="s">
        <v>426</v>
      </c>
      <c r="CN13" s="212" t="s">
        <v>426</v>
      </c>
      <c r="CO13" s="211">
        <v>111600000</v>
      </c>
      <c r="CP13" s="211">
        <f t="shared" si="26"/>
        <v>116287.2</v>
      </c>
      <c r="CR13" s="212" t="s">
        <v>423</v>
      </c>
      <c r="CS13" s="212" t="s">
        <v>853</v>
      </c>
      <c r="CT13" s="212" t="s">
        <v>447</v>
      </c>
      <c r="CU13" s="212" t="s">
        <v>270</v>
      </c>
      <c r="CV13" s="211">
        <v>3000000</v>
      </c>
      <c r="CW13" s="211">
        <v>0</v>
      </c>
      <c r="CX13" s="211">
        <v>0</v>
      </c>
      <c r="CY13" s="211">
        <f t="shared" si="27"/>
        <v>3126</v>
      </c>
      <c r="CZ13" s="211">
        <f t="shared" si="28"/>
        <v>0</v>
      </c>
      <c r="DA13" s="211">
        <f t="shared" si="29"/>
        <v>0</v>
      </c>
      <c r="DC13" s="263" t="s">
        <v>791</v>
      </c>
      <c r="DD13" s="212" t="s">
        <v>792</v>
      </c>
      <c r="DE13" s="263" t="s">
        <v>426</v>
      </c>
      <c r="DF13" s="210" t="s">
        <v>426</v>
      </c>
      <c r="DG13" s="264">
        <v>369703125</v>
      </c>
      <c r="DH13" s="264">
        <f t="shared" si="30"/>
        <v>385230.65625</v>
      </c>
      <c r="DK13" s="210" t="s">
        <v>423</v>
      </c>
      <c r="DL13" s="212" t="s">
        <v>853</v>
      </c>
      <c r="DM13" s="210" t="s">
        <v>447</v>
      </c>
      <c r="DN13" s="212" t="s">
        <v>270</v>
      </c>
      <c r="DO13" s="211">
        <v>3000000</v>
      </c>
      <c r="DP13" s="211">
        <v>0</v>
      </c>
      <c r="DQ13" s="211">
        <v>0</v>
      </c>
      <c r="DR13" s="211">
        <f t="shared" si="31"/>
        <v>3126</v>
      </c>
      <c r="DS13" s="211">
        <f t="shared" si="32"/>
        <v>0</v>
      </c>
      <c r="DT13" s="211">
        <f t="shared" si="33"/>
        <v>0</v>
      </c>
      <c r="DW13" s="265" t="s">
        <v>795</v>
      </c>
      <c r="DX13" s="297" t="s">
        <v>796</v>
      </c>
      <c r="DY13" s="265" t="s">
        <v>426</v>
      </c>
      <c r="DZ13" s="298" t="s">
        <v>426</v>
      </c>
      <c r="EA13" s="264">
        <v>1188671378</v>
      </c>
      <c r="EB13" s="264">
        <f t="shared" si="34"/>
        <v>1238595.5758760001</v>
      </c>
      <c r="EE13" s="210" t="s">
        <v>423</v>
      </c>
      <c r="EF13" s="212" t="s">
        <v>853</v>
      </c>
      <c r="EG13" s="212" t="s">
        <v>447</v>
      </c>
      <c r="EH13" s="212" t="s">
        <v>270</v>
      </c>
      <c r="EI13" s="211">
        <v>3000000</v>
      </c>
      <c r="EJ13" s="211">
        <v>0</v>
      </c>
      <c r="EK13" s="211">
        <v>0</v>
      </c>
      <c r="EL13" s="258">
        <f t="shared" si="35"/>
        <v>3126</v>
      </c>
      <c r="EM13" s="258">
        <f t="shared" si="36"/>
        <v>0</v>
      </c>
      <c r="EN13" s="258">
        <f t="shared" si="37"/>
        <v>0</v>
      </c>
      <c r="EQ13" s="210" t="s">
        <v>430</v>
      </c>
      <c r="ER13" s="212" t="s">
        <v>446</v>
      </c>
      <c r="ES13" s="210" t="s">
        <v>426</v>
      </c>
      <c r="ET13" s="210" t="s">
        <v>426</v>
      </c>
      <c r="EU13" s="211">
        <v>20291050</v>
      </c>
      <c r="EV13" s="257">
        <f t="shared" si="38"/>
        <v>20291.05</v>
      </c>
      <c r="EY13" s="210" t="s">
        <v>423</v>
      </c>
      <c r="EZ13" s="212" t="s">
        <v>853</v>
      </c>
      <c r="FA13" s="212" t="s">
        <v>447</v>
      </c>
      <c r="FB13" s="212" t="s">
        <v>270</v>
      </c>
      <c r="FC13" s="211">
        <v>3000000</v>
      </c>
      <c r="FD13" s="211">
        <v>0</v>
      </c>
      <c r="FE13" s="211">
        <v>0</v>
      </c>
      <c r="FF13" s="257">
        <f t="shared" si="39"/>
        <v>3000</v>
      </c>
      <c r="FG13" s="257">
        <f t="shared" si="40"/>
        <v>0</v>
      </c>
      <c r="FH13" s="257">
        <f t="shared" si="41"/>
        <v>0</v>
      </c>
      <c r="FK13" s="204" t="s">
        <v>791</v>
      </c>
      <c r="FL13" s="204" t="s">
        <v>792</v>
      </c>
      <c r="FM13" s="204" t="s">
        <v>426</v>
      </c>
      <c r="FN13" s="204" t="s">
        <v>426</v>
      </c>
      <c r="FO13" s="257">
        <v>399995392</v>
      </c>
      <c r="FP13" s="226">
        <f t="shared" si="42"/>
        <v>399995.39199999999</v>
      </c>
      <c r="FR13" s="262" t="s">
        <v>423</v>
      </c>
      <c r="FS13" s="204" t="s">
        <v>853</v>
      </c>
      <c r="FT13" s="204" t="s">
        <v>447</v>
      </c>
      <c r="FU13" s="204" t="s">
        <v>270</v>
      </c>
      <c r="FV13" s="257">
        <v>3000000</v>
      </c>
      <c r="FW13" s="257">
        <v>0</v>
      </c>
      <c r="FX13" s="257">
        <v>0</v>
      </c>
      <c r="FY13" s="226">
        <f t="shared" si="43"/>
        <v>3000</v>
      </c>
      <c r="FZ13" s="226">
        <f t="shared" si="44"/>
        <v>0</v>
      </c>
      <c r="GA13" s="226">
        <f t="shared" si="45"/>
        <v>0</v>
      </c>
      <c r="GD13" s="204" t="s">
        <v>785</v>
      </c>
      <c r="GE13" s="204" t="s">
        <v>786</v>
      </c>
      <c r="GF13" s="204" t="s">
        <v>426</v>
      </c>
      <c r="GG13" s="204" t="s">
        <v>426</v>
      </c>
      <c r="GH13" s="257">
        <v>64723862</v>
      </c>
      <c r="GI13" s="257">
        <f t="shared" si="46"/>
        <v>64723.862000000001</v>
      </c>
      <c r="GK13" s="204" t="s">
        <v>423</v>
      </c>
      <c r="GL13" s="204" t="s">
        <v>853</v>
      </c>
      <c r="GM13" s="204" t="s">
        <v>447</v>
      </c>
      <c r="GN13" s="204" t="s">
        <v>270</v>
      </c>
      <c r="GO13" s="257">
        <v>3000000</v>
      </c>
      <c r="GP13" s="257">
        <v>0</v>
      </c>
      <c r="GQ13" s="257">
        <v>0</v>
      </c>
      <c r="GR13" s="257">
        <f t="shared" si="47"/>
        <v>3000</v>
      </c>
      <c r="GS13" s="257">
        <f t="shared" si="48"/>
        <v>0</v>
      </c>
      <c r="GT13" s="257">
        <f t="shared" si="49"/>
        <v>0</v>
      </c>
      <c r="GV13" s="263" t="s">
        <v>787</v>
      </c>
      <c r="GW13" s="353" t="s">
        <v>788</v>
      </c>
      <c r="GX13" s="353" t="s">
        <v>426</v>
      </c>
      <c r="GY13" s="353" t="s">
        <v>426</v>
      </c>
      <c r="GZ13" s="264">
        <v>2048812546</v>
      </c>
      <c r="HA13" s="264">
        <f t="shared" si="50"/>
        <v>2048812.5460000001</v>
      </c>
      <c r="HC13" s="204" t="s">
        <v>423</v>
      </c>
      <c r="HD13" s="204" t="s">
        <v>853</v>
      </c>
      <c r="HE13" s="204" t="s">
        <v>425</v>
      </c>
      <c r="HF13" s="204" t="s">
        <v>311</v>
      </c>
      <c r="HG13" s="225">
        <v>396236</v>
      </c>
      <c r="HH13" s="225">
        <v>0</v>
      </c>
      <c r="HI13" s="225">
        <v>0</v>
      </c>
      <c r="HJ13" s="225">
        <f t="shared" si="51"/>
        <v>396.23599999999999</v>
      </c>
      <c r="HK13" s="225">
        <f t="shared" si="52"/>
        <v>0</v>
      </c>
      <c r="HL13" s="225">
        <f t="shared" si="53"/>
        <v>0</v>
      </c>
    </row>
    <row r="14" spans="1:220" ht="15" customHeight="1" x14ac:dyDescent="0.2">
      <c r="A14" s="210" t="s">
        <v>423</v>
      </c>
      <c r="B14" s="212" t="s">
        <v>853</v>
      </c>
      <c r="C14" s="210" t="s">
        <v>426</v>
      </c>
      <c r="D14" s="212" t="s">
        <v>426</v>
      </c>
      <c r="E14" s="211">
        <v>0</v>
      </c>
      <c r="F14" s="211">
        <v>0</v>
      </c>
      <c r="G14" s="211">
        <v>0</v>
      </c>
      <c r="H14" s="211">
        <f t="shared" si="7"/>
        <v>0</v>
      </c>
      <c r="I14" s="211">
        <f t="shared" si="8"/>
        <v>0</v>
      </c>
      <c r="J14" s="211">
        <f t="shared" si="9"/>
        <v>0</v>
      </c>
      <c r="T14" s="292" t="s">
        <v>423</v>
      </c>
      <c r="U14" s="293" t="s">
        <v>853</v>
      </c>
      <c r="V14" s="292" t="s">
        <v>426</v>
      </c>
      <c r="W14" s="293" t="s">
        <v>426</v>
      </c>
      <c r="X14" s="294">
        <v>0</v>
      </c>
      <c r="Y14" s="294">
        <v>0</v>
      </c>
      <c r="Z14" s="294">
        <v>0</v>
      </c>
      <c r="AA14" s="258">
        <f t="shared" si="11"/>
        <v>0</v>
      </c>
      <c r="AB14" s="258">
        <f t="shared" si="12"/>
        <v>0</v>
      </c>
      <c r="AC14" s="258">
        <f t="shared" si="13"/>
        <v>0</v>
      </c>
      <c r="AE14" s="210" t="s">
        <v>430</v>
      </c>
      <c r="AF14" s="210" t="s">
        <v>446</v>
      </c>
      <c r="AG14" s="210" t="s">
        <v>426</v>
      </c>
      <c r="AH14" s="210" t="s">
        <v>426</v>
      </c>
      <c r="AI14" s="212" t="s">
        <v>513</v>
      </c>
      <c r="AJ14" s="211">
        <v>373715655</v>
      </c>
      <c r="AK14" s="211">
        <f t="shared" si="14"/>
        <v>389411.71251000004</v>
      </c>
      <c r="AM14" s="212" t="s">
        <v>423</v>
      </c>
      <c r="AN14" s="212" t="s">
        <v>853</v>
      </c>
      <c r="AO14" s="212" t="s">
        <v>424</v>
      </c>
      <c r="AP14" s="212" t="s">
        <v>268</v>
      </c>
      <c r="AQ14" s="212" t="s">
        <v>513</v>
      </c>
      <c r="AR14" s="295">
        <v>0</v>
      </c>
      <c r="AS14" s="295">
        <v>174095236</v>
      </c>
      <c r="AT14" s="295">
        <v>38203809</v>
      </c>
      <c r="AU14" s="295">
        <f t="shared" si="15"/>
        <v>0</v>
      </c>
      <c r="AV14" s="295">
        <f t="shared" si="16"/>
        <v>181407.235912</v>
      </c>
      <c r="AW14" s="295">
        <f t="shared" si="17"/>
        <v>39808.368978000006</v>
      </c>
      <c r="AY14" s="263" t="s">
        <v>797</v>
      </c>
      <c r="AZ14" s="212" t="s">
        <v>798</v>
      </c>
      <c r="BA14" s="263" t="s">
        <v>426</v>
      </c>
      <c r="BB14" s="212" t="s">
        <v>426</v>
      </c>
      <c r="BC14" s="264">
        <v>738983319</v>
      </c>
      <c r="BD14" s="264">
        <f t="shared" si="18"/>
        <v>770020.61839800002</v>
      </c>
      <c r="BF14" s="263" t="s">
        <v>423</v>
      </c>
      <c r="BG14" s="296" t="s">
        <v>853</v>
      </c>
      <c r="BH14" s="210" t="s">
        <v>424</v>
      </c>
      <c r="BI14" s="212" t="s">
        <v>268</v>
      </c>
      <c r="BJ14" s="264">
        <v>0</v>
      </c>
      <c r="BK14" s="264">
        <v>174095236</v>
      </c>
      <c r="BL14" s="264">
        <v>55418412</v>
      </c>
      <c r="BM14" s="264">
        <f t="shared" si="19"/>
        <v>0</v>
      </c>
      <c r="BN14" s="264">
        <f t="shared" si="20"/>
        <v>181407.235912</v>
      </c>
      <c r="BO14" s="264">
        <f t="shared" si="21"/>
        <v>57745.985304000002</v>
      </c>
      <c r="BR14" s="263" t="s">
        <v>793</v>
      </c>
      <c r="BS14" s="212" t="s">
        <v>794</v>
      </c>
      <c r="BT14" s="263" t="s">
        <v>426</v>
      </c>
      <c r="BU14" s="210" t="s">
        <v>426</v>
      </c>
      <c r="BV14" s="264">
        <v>15232595</v>
      </c>
      <c r="BW14" s="264">
        <f t="shared" si="22"/>
        <v>15872.36399</v>
      </c>
      <c r="BY14" s="210" t="s">
        <v>423</v>
      </c>
      <c r="BZ14" s="210" t="s">
        <v>853</v>
      </c>
      <c r="CA14" s="210" t="s">
        <v>426</v>
      </c>
      <c r="CB14" s="210" t="s">
        <v>426</v>
      </c>
      <c r="CC14" s="212" t="s">
        <v>513</v>
      </c>
      <c r="CD14" s="211">
        <v>0</v>
      </c>
      <c r="CE14" s="211">
        <v>0</v>
      </c>
      <c r="CF14" s="211">
        <v>0</v>
      </c>
      <c r="CG14" s="211">
        <f t="shared" si="23"/>
        <v>0</v>
      </c>
      <c r="CH14" s="211">
        <f t="shared" si="24"/>
        <v>0</v>
      </c>
      <c r="CI14" s="211">
        <f t="shared" si="25"/>
        <v>0</v>
      </c>
      <c r="CK14" s="212" t="s">
        <v>793</v>
      </c>
      <c r="CL14" s="212" t="s">
        <v>794</v>
      </c>
      <c r="CM14" s="212" t="s">
        <v>426</v>
      </c>
      <c r="CN14" s="212" t="s">
        <v>426</v>
      </c>
      <c r="CO14" s="211">
        <v>301550070</v>
      </c>
      <c r="CP14" s="211">
        <f t="shared" si="26"/>
        <v>314215.17294000002</v>
      </c>
      <c r="CR14" s="212" t="s">
        <v>423</v>
      </c>
      <c r="CS14" s="212" t="s">
        <v>853</v>
      </c>
      <c r="CT14" s="212" t="s">
        <v>472</v>
      </c>
      <c r="CU14" s="212" t="s">
        <v>330</v>
      </c>
      <c r="CV14" s="211">
        <v>0</v>
      </c>
      <c r="CW14" s="211">
        <v>49027429</v>
      </c>
      <c r="CX14" s="211">
        <v>49027429</v>
      </c>
      <c r="CY14" s="211">
        <f t="shared" si="27"/>
        <v>0</v>
      </c>
      <c r="CZ14" s="211">
        <f t="shared" si="28"/>
        <v>51086.581017999997</v>
      </c>
      <c r="DA14" s="211">
        <f t="shared" si="29"/>
        <v>51086.581017999997</v>
      </c>
      <c r="DC14" s="263" t="s">
        <v>795</v>
      </c>
      <c r="DD14" s="212" t="s">
        <v>796</v>
      </c>
      <c r="DE14" s="263" t="s">
        <v>426</v>
      </c>
      <c r="DF14" s="210" t="s">
        <v>426</v>
      </c>
      <c r="DG14" s="264">
        <v>295393109</v>
      </c>
      <c r="DH14" s="264">
        <f t="shared" si="30"/>
        <v>307799.61957799998</v>
      </c>
      <c r="DK14" s="210" t="s">
        <v>423</v>
      </c>
      <c r="DL14" s="212" t="s">
        <v>853</v>
      </c>
      <c r="DM14" s="210" t="s">
        <v>448</v>
      </c>
      <c r="DN14" s="212" t="s">
        <v>449</v>
      </c>
      <c r="DO14" s="211">
        <v>0</v>
      </c>
      <c r="DP14" s="211">
        <v>117256745</v>
      </c>
      <c r="DQ14" s="211">
        <v>83994034</v>
      </c>
      <c r="DR14" s="211">
        <f t="shared" si="31"/>
        <v>0</v>
      </c>
      <c r="DS14" s="211">
        <f t="shared" si="32"/>
        <v>122181.52829</v>
      </c>
      <c r="DT14" s="211">
        <f t="shared" si="33"/>
        <v>87521.78342800001</v>
      </c>
      <c r="DW14" s="265" t="s">
        <v>797</v>
      </c>
      <c r="DX14" s="297" t="s">
        <v>798</v>
      </c>
      <c r="DY14" s="265" t="s">
        <v>426</v>
      </c>
      <c r="DZ14" s="298" t="s">
        <v>426</v>
      </c>
      <c r="EA14" s="264">
        <v>3675204111</v>
      </c>
      <c r="EB14" s="264">
        <f t="shared" si="34"/>
        <v>3829562.6836620001</v>
      </c>
      <c r="EE14" s="210" t="s">
        <v>423</v>
      </c>
      <c r="EF14" s="212" t="s">
        <v>853</v>
      </c>
      <c r="EG14" s="212" t="s">
        <v>426</v>
      </c>
      <c r="EH14" s="212" t="s">
        <v>426</v>
      </c>
      <c r="EI14" s="211">
        <v>0</v>
      </c>
      <c r="EJ14" s="211">
        <v>0</v>
      </c>
      <c r="EK14" s="211">
        <v>0</v>
      </c>
      <c r="EL14" s="258">
        <f t="shared" si="35"/>
        <v>0</v>
      </c>
      <c r="EM14" s="258">
        <f t="shared" si="36"/>
        <v>0</v>
      </c>
      <c r="EN14" s="258">
        <f t="shared" si="37"/>
        <v>0</v>
      </c>
      <c r="EV14" s="257">
        <f>SUM(EV3:EV13)</f>
        <v>16962563.367000002</v>
      </c>
      <c r="EY14" s="210" t="s">
        <v>423</v>
      </c>
      <c r="EZ14" s="212" t="s">
        <v>853</v>
      </c>
      <c r="FA14" s="212" t="s">
        <v>424</v>
      </c>
      <c r="FB14" s="212" t="s">
        <v>268</v>
      </c>
      <c r="FC14" s="211">
        <v>0</v>
      </c>
      <c r="FD14" s="211">
        <v>134496621</v>
      </c>
      <c r="FE14" s="211">
        <v>175268483</v>
      </c>
      <c r="FF14" s="257">
        <f t="shared" si="39"/>
        <v>0</v>
      </c>
      <c r="FG14" s="257">
        <f t="shared" si="40"/>
        <v>134496.62100000001</v>
      </c>
      <c r="FH14" s="257">
        <f t="shared" si="41"/>
        <v>175268.48300000001</v>
      </c>
      <c r="FK14" s="204" t="s">
        <v>793</v>
      </c>
      <c r="FL14" s="204" t="s">
        <v>794</v>
      </c>
      <c r="FM14" s="204" t="s">
        <v>426</v>
      </c>
      <c r="FN14" s="204" t="s">
        <v>426</v>
      </c>
      <c r="FO14" s="257">
        <v>177916500</v>
      </c>
      <c r="FP14" s="226">
        <f t="shared" si="42"/>
        <v>177916.5</v>
      </c>
      <c r="FR14" s="262" t="s">
        <v>423</v>
      </c>
      <c r="FS14" s="204" t="s">
        <v>853</v>
      </c>
      <c r="FT14" s="204" t="s">
        <v>424</v>
      </c>
      <c r="FU14" s="204" t="s">
        <v>268</v>
      </c>
      <c r="FV14" s="257">
        <v>0</v>
      </c>
      <c r="FW14" s="257">
        <v>184928483</v>
      </c>
      <c r="FX14" s="257">
        <v>151326932</v>
      </c>
      <c r="FY14" s="226">
        <f t="shared" si="43"/>
        <v>0</v>
      </c>
      <c r="FZ14" s="226">
        <f t="shared" si="44"/>
        <v>184928.48300000001</v>
      </c>
      <c r="GA14" s="226">
        <f t="shared" si="45"/>
        <v>151326.932</v>
      </c>
      <c r="GD14" s="204" t="s">
        <v>787</v>
      </c>
      <c r="GE14" s="204" t="s">
        <v>788</v>
      </c>
      <c r="GF14" s="204" t="s">
        <v>426</v>
      </c>
      <c r="GG14" s="204" t="s">
        <v>426</v>
      </c>
      <c r="GH14" s="257">
        <v>188559037</v>
      </c>
      <c r="GI14" s="257">
        <f t="shared" si="46"/>
        <v>188559.03700000001</v>
      </c>
      <c r="GK14" s="204" t="s">
        <v>423</v>
      </c>
      <c r="GL14" s="204" t="s">
        <v>853</v>
      </c>
      <c r="GM14" s="204" t="s">
        <v>425</v>
      </c>
      <c r="GN14" s="204" t="s">
        <v>311</v>
      </c>
      <c r="GO14" s="257">
        <v>0</v>
      </c>
      <c r="GP14" s="257">
        <v>450000</v>
      </c>
      <c r="GQ14" s="257">
        <v>337775</v>
      </c>
      <c r="GR14" s="257">
        <f t="shared" si="47"/>
        <v>0</v>
      </c>
      <c r="GS14" s="257">
        <f t="shared" si="48"/>
        <v>450</v>
      </c>
      <c r="GT14" s="257">
        <f t="shared" si="49"/>
        <v>337.77499999999998</v>
      </c>
      <c r="GV14" s="263" t="s">
        <v>791</v>
      </c>
      <c r="GW14" s="353" t="s">
        <v>792</v>
      </c>
      <c r="GX14" s="353" t="s">
        <v>426</v>
      </c>
      <c r="GY14" s="353" t="s">
        <v>426</v>
      </c>
      <c r="GZ14" s="264">
        <v>468584006</v>
      </c>
      <c r="HA14" s="264">
        <f t="shared" si="50"/>
        <v>468584.00599999999</v>
      </c>
      <c r="HC14" s="204" t="s">
        <v>423</v>
      </c>
      <c r="HD14" s="204" t="s">
        <v>853</v>
      </c>
      <c r="HE14" s="204" t="s">
        <v>425</v>
      </c>
      <c r="HF14" s="204" t="s">
        <v>311</v>
      </c>
      <c r="HG14" s="225">
        <v>0</v>
      </c>
      <c r="HH14" s="225">
        <v>337775</v>
      </c>
      <c r="HI14" s="225">
        <v>337775</v>
      </c>
      <c r="HJ14" s="225">
        <f t="shared" si="51"/>
        <v>0</v>
      </c>
      <c r="HK14" s="225">
        <f t="shared" si="52"/>
        <v>337.77499999999998</v>
      </c>
      <c r="HL14" s="225">
        <f t="shared" si="53"/>
        <v>337.77499999999998</v>
      </c>
    </row>
    <row r="15" spans="1:220" ht="15" customHeight="1" x14ac:dyDescent="0.2">
      <c r="A15" s="210" t="s">
        <v>887</v>
      </c>
      <c r="B15" s="212" t="s">
        <v>888</v>
      </c>
      <c r="C15" s="210" t="s">
        <v>426</v>
      </c>
      <c r="D15" s="212" t="s">
        <v>426</v>
      </c>
      <c r="E15" s="211">
        <v>464198000</v>
      </c>
      <c r="F15" s="211">
        <v>0</v>
      </c>
      <c r="G15" s="211">
        <v>0</v>
      </c>
      <c r="H15" s="211">
        <f t="shared" si="7"/>
        <v>483694.31599999999</v>
      </c>
      <c r="I15" s="211">
        <f t="shared" si="8"/>
        <v>0</v>
      </c>
      <c r="J15" s="211">
        <f t="shared" si="9"/>
        <v>0</v>
      </c>
      <c r="T15" s="292" t="s">
        <v>423</v>
      </c>
      <c r="U15" s="293" t="s">
        <v>853</v>
      </c>
      <c r="V15" s="292" t="s">
        <v>472</v>
      </c>
      <c r="W15" s="293" t="s">
        <v>330</v>
      </c>
      <c r="X15" s="294">
        <v>0</v>
      </c>
      <c r="Y15" s="294">
        <v>49027429</v>
      </c>
      <c r="Z15" s="294">
        <v>49027429</v>
      </c>
      <c r="AA15" s="258">
        <f t="shared" si="11"/>
        <v>0</v>
      </c>
      <c r="AB15" s="258">
        <f t="shared" si="12"/>
        <v>51086.581017999997</v>
      </c>
      <c r="AC15" s="258">
        <f t="shared" si="13"/>
        <v>51086.581017999997</v>
      </c>
      <c r="AK15" s="266">
        <f>SUM(AK3:AK14)</f>
        <v>42353886.379866004</v>
      </c>
      <c r="AM15" s="212" t="s">
        <v>423</v>
      </c>
      <c r="AN15" s="212" t="s">
        <v>853</v>
      </c>
      <c r="AO15" s="212" t="s">
        <v>426</v>
      </c>
      <c r="AP15" s="212" t="s">
        <v>426</v>
      </c>
      <c r="AQ15" s="212" t="s">
        <v>513</v>
      </c>
      <c r="AR15" s="295">
        <v>0</v>
      </c>
      <c r="AS15" s="295">
        <v>0</v>
      </c>
      <c r="AT15" s="295">
        <v>0</v>
      </c>
      <c r="AU15" s="295">
        <f t="shared" si="15"/>
        <v>0</v>
      </c>
      <c r="AV15" s="295">
        <f t="shared" si="16"/>
        <v>0</v>
      </c>
      <c r="AW15" s="295">
        <f t="shared" si="17"/>
        <v>0</v>
      </c>
      <c r="AY15" s="263" t="s">
        <v>430</v>
      </c>
      <c r="AZ15" s="212" t="s">
        <v>446</v>
      </c>
      <c r="BA15" s="263" t="s">
        <v>426</v>
      </c>
      <c r="BB15" s="212" t="s">
        <v>426</v>
      </c>
      <c r="BC15" s="264">
        <v>1111984031</v>
      </c>
      <c r="BD15" s="264">
        <f t="shared" si="18"/>
        <v>1158687.3603020001</v>
      </c>
      <c r="BF15" s="263" t="s">
        <v>423</v>
      </c>
      <c r="BG15" s="296" t="s">
        <v>853</v>
      </c>
      <c r="BH15" s="210" t="s">
        <v>426</v>
      </c>
      <c r="BI15" s="212" t="s">
        <v>426</v>
      </c>
      <c r="BJ15" s="264">
        <v>0</v>
      </c>
      <c r="BK15" s="264">
        <v>0</v>
      </c>
      <c r="BL15" s="264">
        <v>0</v>
      </c>
      <c r="BM15" s="264">
        <f t="shared" si="19"/>
        <v>0</v>
      </c>
      <c r="BN15" s="264">
        <f t="shared" si="20"/>
        <v>0</v>
      </c>
      <c r="BO15" s="264">
        <f t="shared" si="21"/>
        <v>0</v>
      </c>
      <c r="BR15" s="263" t="s">
        <v>795</v>
      </c>
      <c r="BS15" s="212" t="s">
        <v>796</v>
      </c>
      <c r="BT15" s="263" t="s">
        <v>426</v>
      </c>
      <c r="BU15" s="210" t="s">
        <v>426</v>
      </c>
      <c r="BV15" s="264">
        <v>292620000</v>
      </c>
      <c r="BW15" s="264">
        <f t="shared" si="22"/>
        <v>304910.04000000004</v>
      </c>
      <c r="BY15" s="210" t="s">
        <v>423</v>
      </c>
      <c r="BZ15" s="210" t="s">
        <v>853</v>
      </c>
      <c r="CA15" s="210" t="s">
        <v>472</v>
      </c>
      <c r="CB15" s="210" t="s">
        <v>330</v>
      </c>
      <c r="CC15" s="212" t="s">
        <v>513</v>
      </c>
      <c r="CD15" s="211">
        <v>0</v>
      </c>
      <c r="CE15" s="211">
        <v>49027429</v>
      </c>
      <c r="CF15" s="211">
        <v>49027429</v>
      </c>
      <c r="CG15" s="211">
        <f t="shared" si="23"/>
        <v>0</v>
      </c>
      <c r="CH15" s="211">
        <f t="shared" si="24"/>
        <v>51086.581017999997</v>
      </c>
      <c r="CI15" s="211">
        <f t="shared" si="25"/>
        <v>51086.581017999997</v>
      </c>
      <c r="CK15" s="212" t="s">
        <v>795</v>
      </c>
      <c r="CL15" s="212" t="s">
        <v>796</v>
      </c>
      <c r="CM15" s="212" t="s">
        <v>426</v>
      </c>
      <c r="CN15" s="212" t="s">
        <v>426</v>
      </c>
      <c r="CO15" s="211">
        <v>90000000</v>
      </c>
      <c r="CP15" s="211">
        <f t="shared" si="26"/>
        <v>93780</v>
      </c>
      <c r="CR15" s="212" t="s">
        <v>423</v>
      </c>
      <c r="CS15" s="212" t="s">
        <v>853</v>
      </c>
      <c r="CT15" s="212" t="s">
        <v>447</v>
      </c>
      <c r="CU15" s="212" t="s">
        <v>270</v>
      </c>
      <c r="CV15" s="211">
        <v>0</v>
      </c>
      <c r="CW15" s="211">
        <v>490000</v>
      </c>
      <c r="CX15" s="211">
        <v>490000</v>
      </c>
      <c r="CY15" s="211">
        <f t="shared" si="27"/>
        <v>0</v>
      </c>
      <c r="CZ15" s="211">
        <f t="shared" si="28"/>
        <v>510.58000000000004</v>
      </c>
      <c r="DA15" s="211">
        <f t="shared" si="29"/>
        <v>510.58000000000004</v>
      </c>
      <c r="DC15" s="263" t="s">
        <v>797</v>
      </c>
      <c r="DD15" s="212" t="s">
        <v>798</v>
      </c>
      <c r="DE15" s="263" t="s">
        <v>426</v>
      </c>
      <c r="DF15" s="210" t="s">
        <v>426</v>
      </c>
      <c r="DG15" s="264">
        <v>1926823288</v>
      </c>
      <c r="DH15" s="264">
        <f t="shared" si="30"/>
        <v>2007749.866096</v>
      </c>
      <c r="DK15" s="210" t="s">
        <v>423</v>
      </c>
      <c r="DL15" s="212" t="s">
        <v>853</v>
      </c>
      <c r="DM15" s="210" t="s">
        <v>425</v>
      </c>
      <c r="DN15" s="212" t="s">
        <v>311</v>
      </c>
      <c r="DO15" s="211">
        <v>0</v>
      </c>
      <c r="DP15" s="211">
        <v>300000</v>
      </c>
      <c r="DQ15" s="211">
        <v>139289</v>
      </c>
      <c r="DR15" s="211">
        <f t="shared" si="31"/>
        <v>0</v>
      </c>
      <c r="DS15" s="211">
        <f t="shared" si="32"/>
        <v>312.60000000000002</v>
      </c>
      <c r="DT15" s="211">
        <f t="shared" si="33"/>
        <v>145.139138</v>
      </c>
      <c r="DW15" s="265" t="s">
        <v>430</v>
      </c>
      <c r="DX15" s="297" t="s">
        <v>446</v>
      </c>
      <c r="DY15" s="265" t="s">
        <v>426</v>
      </c>
      <c r="DZ15" s="298" t="s">
        <v>426</v>
      </c>
      <c r="EA15" s="264">
        <v>1277566948</v>
      </c>
      <c r="EB15" s="264">
        <f t="shared" si="34"/>
        <v>1331224.7598160002</v>
      </c>
      <c r="EE15" s="210" t="s">
        <v>423</v>
      </c>
      <c r="EF15" s="212" t="s">
        <v>853</v>
      </c>
      <c r="EG15" s="212" t="s">
        <v>450</v>
      </c>
      <c r="EH15" s="212" t="s">
        <v>267</v>
      </c>
      <c r="EI15" s="211">
        <v>0</v>
      </c>
      <c r="EJ15" s="211">
        <v>2299513695</v>
      </c>
      <c r="EK15" s="211">
        <v>2110177755</v>
      </c>
      <c r="EL15" s="258">
        <f t="shared" si="35"/>
        <v>0</v>
      </c>
      <c r="EM15" s="258">
        <f t="shared" si="36"/>
        <v>2396093.2701900001</v>
      </c>
      <c r="EN15" s="258">
        <f t="shared" si="37"/>
        <v>2198805.22071</v>
      </c>
      <c r="EV15" s="257"/>
      <c r="EY15" s="210" t="s">
        <v>423</v>
      </c>
      <c r="EZ15" s="212" t="s">
        <v>853</v>
      </c>
      <c r="FA15" s="212" t="s">
        <v>448</v>
      </c>
      <c r="FB15" s="212" t="s">
        <v>449</v>
      </c>
      <c r="FC15" s="211">
        <v>0</v>
      </c>
      <c r="FD15" s="211">
        <v>87042926</v>
      </c>
      <c r="FE15" s="211">
        <v>117256745</v>
      </c>
      <c r="FF15" s="257">
        <f t="shared" si="39"/>
        <v>0</v>
      </c>
      <c r="FG15" s="257">
        <f t="shared" si="40"/>
        <v>87042.926000000007</v>
      </c>
      <c r="FH15" s="257">
        <f t="shared" si="41"/>
        <v>117256.745</v>
      </c>
      <c r="FK15" s="204" t="s">
        <v>795</v>
      </c>
      <c r="FL15" s="204" t="s">
        <v>796</v>
      </c>
      <c r="FM15" s="204" t="s">
        <v>426</v>
      </c>
      <c r="FN15" s="204" t="s">
        <v>426</v>
      </c>
      <c r="FO15" s="257">
        <v>2615284115</v>
      </c>
      <c r="FP15" s="226">
        <f t="shared" si="42"/>
        <v>2615284.1150000002</v>
      </c>
      <c r="FR15" s="262" t="s">
        <v>423</v>
      </c>
      <c r="FS15" s="204" t="s">
        <v>853</v>
      </c>
      <c r="FT15" s="204" t="s">
        <v>447</v>
      </c>
      <c r="FU15" s="204" t="s">
        <v>270</v>
      </c>
      <c r="FV15" s="257">
        <v>0</v>
      </c>
      <c r="FW15" s="257">
        <v>1796501</v>
      </c>
      <c r="FX15" s="257">
        <v>490000</v>
      </c>
      <c r="FY15" s="226">
        <f t="shared" si="43"/>
        <v>0</v>
      </c>
      <c r="FZ15" s="226">
        <f t="shared" si="44"/>
        <v>1796.501</v>
      </c>
      <c r="GA15" s="226">
        <f t="shared" si="45"/>
        <v>490</v>
      </c>
      <c r="GD15" s="204" t="s">
        <v>789</v>
      </c>
      <c r="GE15" s="204" t="s">
        <v>790</v>
      </c>
      <c r="GF15" s="204" t="s">
        <v>426</v>
      </c>
      <c r="GG15" s="204" t="s">
        <v>426</v>
      </c>
      <c r="GH15" s="257">
        <v>523219800</v>
      </c>
      <c r="GI15" s="257">
        <f t="shared" si="46"/>
        <v>523219.8</v>
      </c>
      <c r="GK15" s="204" t="s">
        <v>423</v>
      </c>
      <c r="GL15" s="204" t="s">
        <v>853</v>
      </c>
      <c r="GM15" s="204" t="s">
        <v>472</v>
      </c>
      <c r="GN15" s="204" t="s">
        <v>330</v>
      </c>
      <c r="GO15" s="257">
        <v>0</v>
      </c>
      <c r="GP15" s="257">
        <v>49027429</v>
      </c>
      <c r="GQ15" s="257">
        <v>49027429</v>
      </c>
      <c r="GR15" s="257">
        <f t="shared" si="47"/>
        <v>0</v>
      </c>
      <c r="GS15" s="257">
        <f t="shared" si="48"/>
        <v>49027.428999999996</v>
      </c>
      <c r="GT15" s="257">
        <f t="shared" si="49"/>
        <v>49027.428999999996</v>
      </c>
      <c r="GV15" s="263" t="s">
        <v>793</v>
      </c>
      <c r="GW15" s="353" t="s">
        <v>794</v>
      </c>
      <c r="GX15" s="353" t="s">
        <v>426</v>
      </c>
      <c r="GY15" s="353" t="s">
        <v>426</v>
      </c>
      <c r="GZ15" s="264">
        <v>1694736750</v>
      </c>
      <c r="HA15" s="264">
        <f t="shared" si="50"/>
        <v>1694736.75</v>
      </c>
      <c r="HC15" s="204" t="s">
        <v>423</v>
      </c>
      <c r="HD15" s="204" t="s">
        <v>853</v>
      </c>
      <c r="HE15" s="204" t="s">
        <v>447</v>
      </c>
      <c r="HF15" s="204" t="s">
        <v>270</v>
      </c>
      <c r="HG15" s="225">
        <v>0</v>
      </c>
      <c r="HH15" s="225">
        <v>4947502</v>
      </c>
      <c r="HI15" s="225">
        <v>4947502</v>
      </c>
      <c r="HJ15" s="225">
        <f t="shared" si="51"/>
        <v>0</v>
      </c>
      <c r="HK15" s="225">
        <f t="shared" si="52"/>
        <v>4947.5020000000004</v>
      </c>
      <c r="HL15" s="225">
        <f t="shared" si="53"/>
        <v>4947.5020000000004</v>
      </c>
    </row>
    <row r="16" spans="1:220" ht="15" customHeight="1" x14ac:dyDescent="0.2">
      <c r="A16" s="210" t="s">
        <v>852</v>
      </c>
      <c r="B16" s="212" t="s">
        <v>51</v>
      </c>
      <c r="C16" s="210" t="s">
        <v>426</v>
      </c>
      <c r="D16" s="212" t="s">
        <v>426</v>
      </c>
      <c r="E16" s="211">
        <v>10000</v>
      </c>
      <c r="F16" s="211">
        <v>0</v>
      </c>
      <c r="G16" s="211">
        <v>0</v>
      </c>
      <c r="H16" s="211">
        <f t="shared" si="7"/>
        <v>10.42</v>
      </c>
      <c r="I16" s="211">
        <f t="shared" si="8"/>
        <v>0</v>
      </c>
      <c r="J16" s="211">
        <f t="shared" si="9"/>
        <v>0</v>
      </c>
      <c r="T16" s="292" t="s">
        <v>423</v>
      </c>
      <c r="U16" s="293" t="s">
        <v>853</v>
      </c>
      <c r="V16" s="292" t="s">
        <v>450</v>
      </c>
      <c r="W16" s="293" t="s">
        <v>267</v>
      </c>
      <c r="X16" s="294">
        <v>0</v>
      </c>
      <c r="Y16" s="294">
        <v>28900000</v>
      </c>
      <c r="Z16" s="294">
        <v>8900000</v>
      </c>
      <c r="AA16" s="258">
        <f t="shared" si="11"/>
        <v>0</v>
      </c>
      <c r="AB16" s="258">
        <f t="shared" si="12"/>
        <v>30113.8</v>
      </c>
      <c r="AC16" s="258">
        <f t="shared" si="13"/>
        <v>9273.8000000000011</v>
      </c>
      <c r="AM16" s="212" t="s">
        <v>423</v>
      </c>
      <c r="AN16" s="212" t="s">
        <v>853</v>
      </c>
      <c r="AO16" s="212" t="s">
        <v>450</v>
      </c>
      <c r="AP16" s="212" t="s">
        <v>267</v>
      </c>
      <c r="AQ16" s="212" t="s">
        <v>513</v>
      </c>
      <c r="AR16" s="295">
        <v>0</v>
      </c>
      <c r="AS16" s="295">
        <v>123757000</v>
      </c>
      <c r="AT16" s="295">
        <v>39757000</v>
      </c>
      <c r="AU16" s="295">
        <f t="shared" si="15"/>
        <v>0</v>
      </c>
      <c r="AV16" s="295">
        <f t="shared" si="16"/>
        <v>128954.79400000001</v>
      </c>
      <c r="AW16" s="295">
        <f t="shared" si="17"/>
        <v>41426.794000000002</v>
      </c>
      <c r="BF16" s="263" t="s">
        <v>423</v>
      </c>
      <c r="BG16" s="296" t="s">
        <v>853</v>
      </c>
      <c r="BH16" s="210" t="s">
        <v>450</v>
      </c>
      <c r="BI16" s="212" t="s">
        <v>267</v>
      </c>
      <c r="BJ16" s="264">
        <v>0</v>
      </c>
      <c r="BK16" s="264">
        <v>123757000</v>
      </c>
      <c r="BL16" s="264">
        <v>123757000</v>
      </c>
      <c r="BM16" s="264">
        <f t="shared" si="19"/>
        <v>0</v>
      </c>
      <c r="BN16" s="264">
        <f t="shared" si="20"/>
        <v>128954.79400000001</v>
      </c>
      <c r="BO16" s="264">
        <f t="shared" si="21"/>
        <v>128954.79400000001</v>
      </c>
      <c r="BR16" s="263" t="s">
        <v>797</v>
      </c>
      <c r="BS16" s="212" t="s">
        <v>798</v>
      </c>
      <c r="BT16" s="263" t="s">
        <v>426</v>
      </c>
      <c r="BU16" s="210" t="s">
        <v>426</v>
      </c>
      <c r="BV16" s="264">
        <v>1862357613</v>
      </c>
      <c r="BW16" s="264">
        <f t="shared" si="22"/>
        <v>1940576.6327460001</v>
      </c>
      <c r="BY16" s="210" t="s">
        <v>423</v>
      </c>
      <c r="BZ16" s="210" t="s">
        <v>853</v>
      </c>
      <c r="CA16" s="210" t="s">
        <v>424</v>
      </c>
      <c r="CB16" s="210" t="s">
        <v>268</v>
      </c>
      <c r="CC16" s="212" t="s">
        <v>513</v>
      </c>
      <c r="CD16" s="211">
        <v>0</v>
      </c>
      <c r="CE16" s="211">
        <v>174095236</v>
      </c>
      <c r="CF16" s="211">
        <v>70253015</v>
      </c>
      <c r="CG16" s="211">
        <f t="shared" si="23"/>
        <v>0</v>
      </c>
      <c r="CH16" s="211">
        <f t="shared" si="24"/>
        <v>181407.235912</v>
      </c>
      <c r="CI16" s="211">
        <f t="shared" si="25"/>
        <v>73203.641629999998</v>
      </c>
      <c r="CK16" s="212" t="s">
        <v>797</v>
      </c>
      <c r="CL16" s="212" t="s">
        <v>798</v>
      </c>
      <c r="CM16" s="212" t="s">
        <v>426</v>
      </c>
      <c r="CN16" s="212" t="s">
        <v>426</v>
      </c>
      <c r="CO16" s="211">
        <v>1024407730</v>
      </c>
      <c r="CP16" s="211">
        <f t="shared" si="26"/>
        <v>1067432.85466</v>
      </c>
      <c r="CR16" s="212" t="s">
        <v>423</v>
      </c>
      <c r="CS16" s="212" t="s">
        <v>853</v>
      </c>
      <c r="CT16" s="212" t="s">
        <v>425</v>
      </c>
      <c r="CU16" s="212" t="s">
        <v>311</v>
      </c>
      <c r="CV16" s="211">
        <v>0</v>
      </c>
      <c r="CW16" s="211">
        <v>300000</v>
      </c>
      <c r="CX16" s="211">
        <v>139289</v>
      </c>
      <c r="CY16" s="211">
        <f t="shared" si="27"/>
        <v>0</v>
      </c>
      <c r="CZ16" s="211">
        <f t="shared" si="28"/>
        <v>312.60000000000002</v>
      </c>
      <c r="DA16" s="211">
        <f t="shared" si="29"/>
        <v>145.139138</v>
      </c>
      <c r="DC16" s="263" t="s">
        <v>799</v>
      </c>
      <c r="DD16" s="212" t="s">
        <v>800</v>
      </c>
      <c r="DE16" s="263" t="s">
        <v>426</v>
      </c>
      <c r="DF16" s="210" t="s">
        <v>426</v>
      </c>
      <c r="DG16" s="264">
        <v>42488206</v>
      </c>
      <c r="DH16" s="264">
        <f t="shared" si="30"/>
        <v>44272.710652000002</v>
      </c>
      <c r="DK16" s="210" t="s">
        <v>423</v>
      </c>
      <c r="DL16" s="212" t="s">
        <v>853</v>
      </c>
      <c r="DM16" s="210" t="s">
        <v>472</v>
      </c>
      <c r="DN16" s="212" t="s">
        <v>330</v>
      </c>
      <c r="DO16" s="211">
        <v>0</v>
      </c>
      <c r="DP16" s="211">
        <v>49027429</v>
      </c>
      <c r="DQ16" s="211">
        <v>49027429</v>
      </c>
      <c r="DR16" s="211">
        <f t="shared" si="31"/>
        <v>0</v>
      </c>
      <c r="DS16" s="211">
        <f t="shared" si="32"/>
        <v>51086.581017999997</v>
      </c>
      <c r="DT16" s="211">
        <f t="shared" si="33"/>
        <v>51086.581017999997</v>
      </c>
      <c r="DW16" s="265" t="s">
        <v>839</v>
      </c>
      <c r="DX16" s="297" t="s">
        <v>840</v>
      </c>
      <c r="DY16" s="265" t="s">
        <v>426</v>
      </c>
      <c r="DZ16" s="298" t="s">
        <v>426</v>
      </c>
      <c r="EA16" s="264">
        <v>1241984000</v>
      </c>
      <c r="EB16" s="264">
        <f t="shared" si="34"/>
        <v>1294147.328</v>
      </c>
      <c r="EE16" s="210" t="s">
        <v>423</v>
      </c>
      <c r="EF16" s="212" t="s">
        <v>853</v>
      </c>
      <c r="EG16" s="212" t="s">
        <v>447</v>
      </c>
      <c r="EH16" s="212" t="s">
        <v>270</v>
      </c>
      <c r="EI16" s="211">
        <v>0</v>
      </c>
      <c r="EJ16" s="211">
        <v>490000</v>
      </c>
      <c r="EK16" s="211">
        <v>490000</v>
      </c>
      <c r="EL16" s="258">
        <f t="shared" si="35"/>
        <v>0</v>
      </c>
      <c r="EM16" s="258">
        <f t="shared" si="36"/>
        <v>510.58000000000004</v>
      </c>
      <c r="EN16" s="258">
        <f t="shared" si="37"/>
        <v>510.58000000000004</v>
      </c>
      <c r="EV16" s="257"/>
      <c r="EY16" s="210" t="s">
        <v>423</v>
      </c>
      <c r="EZ16" s="212" t="s">
        <v>853</v>
      </c>
      <c r="FA16" s="212" t="s">
        <v>425</v>
      </c>
      <c r="FB16" s="212" t="s">
        <v>311</v>
      </c>
      <c r="FC16" s="211">
        <v>0</v>
      </c>
      <c r="FD16" s="211">
        <v>139289</v>
      </c>
      <c r="FE16" s="211">
        <v>300000</v>
      </c>
      <c r="FF16" s="257">
        <f t="shared" si="39"/>
        <v>0</v>
      </c>
      <c r="FG16" s="257">
        <f t="shared" si="40"/>
        <v>139.28899999999999</v>
      </c>
      <c r="FH16" s="257">
        <f t="shared" si="41"/>
        <v>300</v>
      </c>
      <c r="FK16" s="204" t="s">
        <v>797</v>
      </c>
      <c r="FL16" s="204" t="s">
        <v>798</v>
      </c>
      <c r="FM16" s="204" t="s">
        <v>426</v>
      </c>
      <c r="FN16" s="204" t="s">
        <v>426</v>
      </c>
      <c r="FO16" s="257">
        <v>2712070843</v>
      </c>
      <c r="FP16" s="226">
        <f t="shared" si="42"/>
        <v>2712070.8429999999</v>
      </c>
      <c r="FR16" s="262" t="s">
        <v>423</v>
      </c>
      <c r="FS16" s="204" t="s">
        <v>853</v>
      </c>
      <c r="FT16" s="204" t="s">
        <v>450</v>
      </c>
      <c r="FU16" s="204" t="s">
        <v>267</v>
      </c>
      <c r="FV16" s="257">
        <v>0</v>
      </c>
      <c r="FW16" s="257">
        <v>2343013695</v>
      </c>
      <c r="FX16" s="257">
        <v>2299513695</v>
      </c>
      <c r="FY16" s="226">
        <f t="shared" si="43"/>
        <v>0</v>
      </c>
      <c r="FZ16" s="226">
        <f t="shared" si="44"/>
        <v>2343013.6949999998</v>
      </c>
      <c r="GA16" s="226">
        <f t="shared" si="45"/>
        <v>2299513.6949999998</v>
      </c>
      <c r="GD16" s="204" t="s">
        <v>791</v>
      </c>
      <c r="GE16" s="204" t="s">
        <v>792</v>
      </c>
      <c r="GF16" s="204" t="s">
        <v>426</v>
      </c>
      <c r="GG16" s="204" t="s">
        <v>426</v>
      </c>
      <c r="GH16" s="257">
        <v>9500000</v>
      </c>
      <c r="GI16" s="257">
        <f t="shared" si="46"/>
        <v>9500</v>
      </c>
      <c r="GK16" s="204" t="s">
        <v>423</v>
      </c>
      <c r="GL16" s="204" t="s">
        <v>853</v>
      </c>
      <c r="GM16" s="204" t="s">
        <v>426</v>
      </c>
      <c r="GN16" s="204" t="s">
        <v>426</v>
      </c>
      <c r="GO16" s="257">
        <v>0</v>
      </c>
      <c r="GP16" s="257">
        <v>0</v>
      </c>
      <c r="GQ16" s="257">
        <v>0</v>
      </c>
      <c r="GR16" s="257">
        <f t="shared" si="47"/>
        <v>0</v>
      </c>
      <c r="GS16" s="257">
        <f t="shared" si="48"/>
        <v>0</v>
      </c>
      <c r="GT16" s="257">
        <f t="shared" si="49"/>
        <v>0</v>
      </c>
      <c r="GV16" s="263" t="s">
        <v>795</v>
      </c>
      <c r="GW16" s="353" t="s">
        <v>796</v>
      </c>
      <c r="GX16" s="353" t="s">
        <v>426</v>
      </c>
      <c r="GY16" s="353" t="s">
        <v>426</v>
      </c>
      <c r="GZ16" s="264">
        <v>3323994441</v>
      </c>
      <c r="HA16" s="264">
        <f t="shared" si="50"/>
        <v>3323994.4410000001</v>
      </c>
      <c r="HC16" s="204" t="s">
        <v>423</v>
      </c>
      <c r="HD16" s="204" t="s">
        <v>853</v>
      </c>
      <c r="HE16" s="204" t="s">
        <v>448</v>
      </c>
      <c r="HF16" s="204" t="s">
        <v>449</v>
      </c>
      <c r="HG16" s="225">
        <v>0</v>
      </c>
      <c r="HH16" s="225">
        <v>197345574</v>
      </c>
      <c r="HI16" s="225">
        <v>197345574</v>
      </c>
      <c r="HJ16" s="225">
        <f t="shared" si="51"/>
        <v>0</v>
      </c>
      <c r="HK16" s="225">
        <f t="shared" si="52"/>
        <v>197345.57399999999</v>
      </c>
      <c r="HL16" s="225">
        <f t="shared" si="53"/>
        <v>197345.57399999999</v>
      </c>
    </row>
    <row r="17" spans="1:220" ht="15" customHeight="1" x14ac:dyDescent="0.2">
      <c r="A17" s="210" t="s">
        <v>429</v>
      </c>
      <c r="B17" s="212" t="s">
        <v>140</v>
      </c>
      <c r="C17" s="210" t="s">
        <v>426</v>
      </c>
      <c r="D17" s="212" t="s">
        <v>426</v>
      </c>
      <c r="E17" s="211">
        <v>7570484000</v>
      </c>
      <c r="F17" s="211">
        <v>0</v>
      </c>
      <c r="G17" s="211">
        <v>0</v>
      </c>
      <c r="H17" s="211">
        <f t="shared" si="7"/>
        <v>7888444.3280000007</v>
      </c>
      <c r="I17" s="211">
        <f t="shared" si="8"/>
        <v>0</v>
      </c>
      <c r="J17" s="211">
        <f t="shared" si="9"/>
        <v>0</v>
      </c>
      <c r="T17" s="292" t="s">
        <v>423</v>
      </c>
      <c r="U17" s="293" t="s">
        <v>853</v>
      </c>
      <c r="V17" s="292" t="s">
        <v>448</v>
      </c>
      <c r="W17" s="293" t="s">
        <v>449</v>
      </c>
      <c r="X17" s="294">
        <v>0</v>
      </c>
      <c r="Y17" s="294">
        <v>103736157</v>
      </c>
      <c r="Z17" s="294">
        <v>56316000</v>
      </c>
      <c r="AA17" s="258">
        <f t="shared" si="11"/>
        <v>0</v>
      </c>
      <c r="AB17" s="258">
        <f t="shared" si="12"/>
        <v>108093.07559400001</v>
      </c>
      <c r="AC17" s="258">
        <f t="shared" si="13"/>
        <v>58681.272000000004</v>
      </c>
      <c r="AM17" s="212" t="s">
        <v>423</v>
      </c>
      <c r="AN17" s="212" t="s">
        <v>853</v>
      </c>
      <c r="AO17" s="212" t="s">
        <v>448</v>
      </c>
      <c r="AP17" s="212" t="s">
        <v>449</v>
      </c>
      <c r="AQ17" s="212" t="s">
        <v>513</v>
      </c>
      <c r="AR17" s="295">
        <v>0</v>
      </c>
      <c r="AS17" s="295">
        <v>104152657</v>
      </c>
      <c r="AT17" s="295">
        <v>56316000</v>
      </c>
      <c r="AU17" s="295">
        <f t="shared" si="15"/>
        <v>0</v>
      </c>
      <c r="AV17" s="295">
        <f t="shared" si="16"/>
        <v>108527.06859400001</v>
      </c>
      <c r="AW17" s="295">
        <f t="shared" si="17"/>
        <v>58681.272000000004</v>
      </c>
      <c r="BF17" s="263" t="s">
        <v>423</v>
      </c>
      <c r="BG17" s="296" t="s">
        <v>853</v>
      </c>
      <c r="BH17" s="210" t="s">
        <v>472</v>
      </c>
      <c r="BI17" s="212" t="s">
        <v>330</v>
      </c>
      <c r="BJ17" s="264">
        <v>0</v>
      </c>
      <c r="BK17" s="264">
        <v>49027429</v>
      </c>
      <c r="BL17" s="264">
        <v>49027429</v>
      </c>
      <c r="BM17" s="264">
        <f t="shared" si="19"/>
        <v>0</v>
      </c>
      <c r="BN17" s="264">
        <f t="shared" si="20"/>
        <v>51086.581017999997</v>
      </c>
      <c r="BO17" s="264">
        <f t="shared" si="21"/>
        <v>51086.581017999997</v>
      </c>
      <c r="BR17" s="263" t="s">
        <v>430</v>
      </c>
      <c r="BS17" s="212" t="s">
        <v>446</v>
      </c>
      <c r="BT17" s="263" t="s">
        <v>426</v>
      </c>
      <c r="BU17" s="210" t="s">
        <v>426</v>
      </c>
      <c r="BV17" s="264">
        <v>1315989963</v>
      </c>
      <c r="BW17" s="264">
        <f t="shared" si="22"/>
        <v>1371261.5414460001</v>
      </c>
      <c r="BY17" s="210" t="s">
        <v>423</v>
      </c>
      <c r="BZ17" s="210" t="s">
        <v>853</v>
      </c>
      <c r="CA17" s="210" t="s">
        <v>450</v>
      </c>
      <c r="CB17" s="210" t="s">
        <v>267</v>
      </c>
      <c r="CC17" s="212" t="s">
        <v>513</v>
      </c>
      <c r="CD17" s="211">
        <v>0</v>
      </c>
      <c r="CE17" s="211">
        <v>1157789000</v>
      </c>
      <c r="CF17" s="211">
        <v>1060789000</v>
      </c>
      <c r="CG17" s="211">
        <f t="shared" si="23"/>
        <v>0</v>
      </c>
      <c r="CH17" s="211">
        <f t="shared" si="24"/>
        <v>1206416.138</v>
      </c>
      <c r="CI17" s="211">
        <f t="shared" si="25"/>
        <v>1105342.138</v>
      </c>
      <c r="CK17" s="212" t="s">
        <v>430</v>
      </c>
      <c r="CL17" s="212" t="s">
        <v>446</v>
      </c>
      <c r="CM17" s="212" t="s">
        <v>426</v>
      </c>
      <c r="CN17" s="212" t="s">
        <v>426</v>
      </c>
      <c r="CO17" s="211">
        <v>1693761220</v>
      </c>
      <c r="CP17" s="211">
        <f t="shared" si="26"/>
        <v>1764899.1912400001</v>
      </c>
      <c r="CR17" s="212" t="s">
        <v>423</v>
      </c>
      <c r="CS17" s="212" t="s">
        <v>853</v>
      </c>
      <c r="CT17" s="212" t="s">
        <v>424</v>
      </c>
      <c r="CU17" s="212" t="s">
        <v>268</v>
      </c>
      <c r="CV17" s="211">
        <v>0</v>
      </c>
      <c r="CW17" s="211">
        <v>174095236</v>
      </c>
      <c r="CX17" s="211">
        <v>80324566</v>
      </c>
      <c r="CY17" s="211">
        <f t="shared" si="27"/>
        <v>0</v>
      </c>
      <c r="CZ17" s="211">
        <f t="shared" si="28"/>
        <v>181407.235912</v>
      </c>
      <c r="DA17" s="211">
        <f t="shared" si="29"/>
        <v>83698.197772000014</v>
      </c>
      <c r="DC17" s="263" t="s">
        <v>427</v>
      </c>
      <c r="DD17" s="212" t="s">
        <v>445</v>
      </c>
      <c r="DE17" s="263" t="s">
        <v>426</v>
      </c>
      <c r="DF17" s="210" t="s">
        <v>426</v>
      </c>
      <c r="DG17" s="264">
        <v>17089021000</v>
      </c>
      <c r="DH17" s="264">
        <f t="shared" si="30"/>
        <v>17806759.881999999</v>
      </c>
      <c r="DK17" s="210" t="s">
        <v>423</v>
      </c>
      <c r="DL17" s="212" t="s">
        <v>853</v>
      </c>
      <c r="DM17" s="210" t="s">
        <v>450</v>
      </c>
      <c r="DN17" s="212" t="s">
        <v>267</v>
      </c>
      <c r="DO17" s="211">
        <v>0</v>
      </c>
      <c r="DP17" s="211">
        <v>2175605935</v>
      </c>
      <c r="DQ17" s="211">
        <v>1955361455</v>
      </c>
      <c r="DR17" s="211">
        <f t="shared" si="31"/>
        <v>0</v>
      </c>
      <c r="DS17" s="211">
        <f t="shared" si="32"/>
        <v>2266981.3842700003</v>
      </c>
      <c r="DT17" s="211">
        <f t="shared" si="33"/>
        <v>2037486.6361100001</v>
      </c>
      <c r="EB17" s="266">
        <f>SUM(EB3:EB16)</f>
        <v>20246399.014700003</v>
      </c>
      <c r="EE17" s="210" t="s">
        <v>423</v>
      </c>
      <c r="EF17" s="212" t="s">
        <v>853</v>
      </c>
      <c r="EG17" s="212" t="s">
        <v>424</v>
      </c>
      <c r="EH17" s="212" t="s">
        <v>268</v>
      </c>
      <c r="EI17" s="211">
        <v>0</v>
      </c>
      <c r="EJ17" s="211">
        <v>175268483</v>
      </c>
      <c r="EK17" s="211">
        <v>114147239</v>
      </c>
      <c r="EL17" s="258">
        <f t="shared" si="35"/>
        <v>0</v>
      </c>
      <c r="EM17" s="258">
        <f t="shared" si="36"/>
        <v>182629.75928600001</v>
      </c>
      <c r="EN17" s="258">
        <f t="shared" si="37"/>
        <v>118941.42303800001</v>
      </c>
      <c r="EV17" s="257"/>
      <c r="EY17" s="210" t="s">
        <v>423</v>
      </c>
      <c r="EZ17" s="212" t="s">
        <v>853</v>
      </c>
      <c r="FA17" s="212" t="s">
        <v>472</v>
      </c>
      <c r="FB17" s="212" t="s">
        <v>330</v>
      </c>
      <c r="FC17" s="211">
        <v>0</v>
      </c>
      <c r="FD17" s="211">
        <v>49027429</v>
      </c>
      <c r="FE17" s="211">
        <v>49027429</v>
      </c>
      <c r="FF17" s="257">
        <f t="shared" si="39"/>
        <v>0</v>
      </c>
      <c r="FG17" s="257">
        <f t="shared" si="40"/>
        <v>49027.428999999996</v>
      </c>
      <c r="FH17" s="257">
        <f t="shared" si="41"/>
        <v>49027.428999999996</v>
      </c>
      <c r="FK17" s="204" t="s">
        <v>799</v>
      </c>
      <c r="FL17" s="204" t="s">
        <v>800</v>
      </c>
      <c r="FM17" s="204" t="s">
        <v>426</v>
      </c>
      <c r="FN17" s="204" t="s">
        <v>426</v>
      </c>
      <c r="FO17" s="257">
        <v>448453951</v>
      </c>
      <c r="FP17" s="226">
        <f t="shared" si="42"/>
        <v>448453.951</v>
      </c>
      <c r="FR17" s="262" t="s">
        <v>423</v>
      </c>
      <c r="FS17" s="204" t="s">
        <v>853</v>
      </c>
      <c r="FT17" s="204" t="s">
        <v>472</v>
      </c>
      <c r="FU17" s="204" t="s">
        <v>330</v>
      </c>
      <c r="FV17" s="257">
        <v>0</v>
      </c>
      <c r="FW17" s="257">
        <v>49027429</v>
      </c>
      <c r="FX17" s="257">
        <v>49027429</v>
      </c>
      <c r="FY17" s="226">
        <f t="shared" si="43"/>
        <v>0</v>
      </c>
      <c r="FZ17" s="226">
        <f t="shared" si="44"/>
        <v>49027.428999999996</v>
      </c>
      <c r="GA17" s="226">
        <f t="shared" si="45"/>
        <v>49027.428999999996</v>
      </c>
      <c r="GD17" s="204" t="s">
        <v>793</v>
      </c>
      <c r="GE17" s="204" t="s">
        <v>794</v>
      </c>
      <c r="GF17" s="204" t="s">
        <v>426</v>
      </c>
      <c r="GG17" s="204" t="s">
        <v>426</v>
      </c>
      <c r="GH17" s="257">
        <v>72530855</v>
      </c>
      <c r="GI17" s="257">
        <f t="shared" si="46"/>
        <v>72530.854999999996</v>
      </c>
      <c r="GK17" s="204" t="s">
        <v>423</v>
      </c>
      <c r="GL17" s="204" t="s">
        <v>853</v>
      </c>
      <c r="GM17" s="204" t="s">
        <v>424</v>
      </c>
      <c r="GN17" s="204" t="s">
        <v>268</v>
      </c>
      <c r="GO17" s="257">
        <v>0</v>
      </c>
      <c r="GP17" s="257">
        <v>184928483</v>
      </c>
      <c r="GQ17" s="257">
        <v>168157243</v>
      </c>
      <c r="GR17" s="257">
        <f t="shared" si="47"/>
        <v>0</v>
      </c>
      <c r="GS17" s="257">
        <f t="shared" si="48"/>
        <v>184928.48300000001</v>
      </c>
      <c r="GT17" s="257">
        <f t="shared" si="49"/>
        <v>168157.24299999999</v>
      </c>
      <c r="GV17" s="263" t="s">
        <v>797</v>
      </c>
      <c r="GW17" s="353" t="s">
        <v>798</v>
      </c>
      <c r="GX17" s="353" t="s">
        <v>426</v>
      </c>
      <c r="GY17" s="353" t="s">
        <v>426</v>
      </c>
      <c r="GZ17" s="264">
        <v>20748846824</v>
      </c>
      <c r="HA17" s="264">
        <f t="shared" si="50"/>
        <v>20748846.824000001</v>
      </c>
      <c r="HC17" s="204" t="s">
        <v>423</v>
      </c>
      <c r="HD17" s="204" t="s">
        <v>853</v>
      </c>
      <c r="HE17" s="204" t="s">
        <v>424</v>
      </c>
      <c r="HF17" s="204" t="s">
        <v>268</v>
      </c>
      <c r="HG17" s="225">
        <v>0</v>
      </c>
      <c r="HH17" s="225">
        <v>185243564</v>
      </c>
      <c r="HI17" s="225">
        <v>185243564</v>
      </c>
      <c r="HJ17" s="225">
        <f t="shared" si="51"/>
        <v>0</v>
      </c>
      <c r="HK17" s="225">
        <f t="shared" si="52"/>
        <v>185243.56400000001</v>
      </c>
      <c r="HL17" s="225">
        <f t="shared" si="53"/>
        <v>185243.56400000001</v>
      </c>
    </row>
    <row r="18" spans="1:220" ht="15" customHeight="1" x14ac:dyDescent="0.2">
      <c r="A18" s="210" t="s">
        <v>779</v>
      </c>
      <c r="B18" s="212" t="s">
        <v>780</v>
      </c>
      <c r="C18" s="210" t="s">
        <v>426</v>
      </c>
      <c r="D18" s="212" t="s">
        <v>426</v>
      </c>
      <c r="E18" s="211">
        <v>43586656500</v>
      </c>
      <c r="F18" s="211">
        <v>0</v>
      </c>
      <c r="G18" s="211">
        <v>0</v>
      </c>
      <c r="H18" s="211">
        <f t="shared" si="7"/>
        <v>45417296.072999999</v>
      </c>
      <c r="I18" s="211">
        <f t="shared" si="8"/>
        <v>0</v>
      </c>
      <c r="J18" s="211">
        <f t="shared" si="9"/>
        <v>0</v>
      </c>
      <c r="T18" s="292" t="s">
        <v>887</v>
      </c>
      <c r="U18" s="293" t="s">
        <v>888</v>
      </c>
      <c r="V18" s="292" t="s">
        <v>426</v>
      </c>
      <c r="W18" s="293" t="s">
        <v>426</v>
      </c>
      <c r="X18" s="294">
        <v>464198000</v>
      </c>
      <c r="Y18" s="294">
        <v>0</v>
      </c>
      <c r="Z18" s="294">
        <v>0</v>
      </c>
      <c r="AA18" s="258">
        <f t="shared" si="11"/>
        <v>483694.31599999999</v>
      </c>
      <c r="AB18" s="258">
        <f t="shared" si="12"/>
        <v>0</v>
      </c>
      <c r="AC18" s="258">
        <f t="shared" si="13"/>
        <v>0</v>
      </c>
      <c r="AM18" s="212" t="s">
        <v>423</v>
      </c>
      <c r="AN18" s="212" t="s">
        <v>853</v>
      </c>
      <c r="AO18" s="212" t="s">
        <v>472</v>
      </c>
      <c r="AP18" s="212" t="s">
        <v>330</v>
      </c>
      <c r="AQ18" s="212" t="s">
        <v>513</v>
      </c>
      <c r="AR18" s="295">
        <v>0</v>
      </c>
      <c r="AS18" s="295">
        <v>49027429</v>
      </c>
      <c r="AT18" s="295">
        <v>49027429</v>
      </c>
      <c r="AU18" s="295">
        <f t="shared" si="15"/>
        <v>0</v>
      </c>
      <c r="AV18" s="295">
        <f t="shared" si="16"/>
        <v>51086.581017999997</v>
      </c>
      <c r="AW18" s="295">
        <f t="shared" si="17"/>
        <v>51086.581017999997</v>
      </c>
      <c r="BF18" s="263" t="s">
        <v>423</v>
      </c>
      <c r="BG18" s="296" t="s">
        <v>853</v>
      </c>
      <c r="BH18" s="210" t="s">
        <v>448</v>
      </c>
      <c r="BI18" s="212" t="s">
        <v>449</v>
      </c>
      <c r="BJ18" s="264">
        <v>0</v>
      </c>
      <c r="BK18" s="264">
        <v>104152657</v>
      </c>
      <c r="BL18" s="264">
        <v>56316000</v>
      </c>
      <c r="BM18" s="264">
        <f t="shared" si="19"/>
        <v>0</v>
      </c>
      <c r="BN18" s="264">
        <f t="shared" si="20"/>
        <v>108527.06859400001</v>
      </c>
      <c r="BO18" s="264">
        <f t="shared" si="21"/>
        <v>58681.272000000004</v>
      </c>
      <c r="BY18" s="210" t="s">
        <v>423</v>
      </c>
      <c r="BZ18" s="210" t="s">
        <v>853</v>
      </c>
      <c r="CA18" s="210" t="s">
        <v>448</v>
      </c>
      <c r="CB18" s="210" t="s">
        <v>449</v>
      </c>
      <c r="CC18" s="212" t="s">
        <v>513</v>
      </c>
      <c r="CD18" s="211">
        <v>0</v>
      </c>
      <c r="CE18" s="211">
        <v>104152657</v>
      </c>
      <c r="CF18" s="211">
        <v>56316000</v>
      </c>
      <c r="CG18" s="211">
        <f t="shared" si="23"/>
        <v>0</v>
      </c>
      <c r="CH18" s="211">
        <f t="shared" si="24"/>
        <v>108527.06859400001</v>
      </c>
      <c r="CI18" s="211">
        <f t="shared" si="25"/>
        <v>58681.272000000004</v>
      </c>
      <c r="CK18" s="212"/>
      <c r="CL18" s="212"/>
      <c r="CM18" s="212"/>
      <c r="CN18" s="212"/>
      <c r="CR18" s="212" t="s">
        <v>423</v>
      </c>
      <c r="CS18" s="212" t="s">
        <v>853</v>
      </c>
      <c r="CT18" s="212" t="s">
        <v>450</v>
      </c>
      <c r="CU18" s="212" t="s">
        <v>267</v>
      </c>
      <c r="CV18" s="211">
        <v>0</v>
      </c>
      <c r="CW18" s="211">
        <v>1186989000</v>
      </c>
      <c r="CX18" s="211">
        <v>1186989000</v>
      </c>
      <c r="CY18" s="211">
        <f t="shared" si="27"/>
        <v>0</v>
      </c>
      <c r="CZ18" s="211">
        <f t="shared" si="28"/>
        <v>1236842.5379999999</v>
      </c>
      <c r="DA18" s="211">
        <f t="shared" si="29"/>
        <v>1236842.5379999999</v>
      </c>
      <c r="DC18" s="263" t="s">
        <v>430</v>
      </c>
      <c r="DD18" s="212" t="s">
        <v>446</v>
      </c>
      <c r="DE18" s="263" t="s">
        <v>426</v>
      </c>
      <c r="DF18" s="210" t="s">
        <v>426</v>
      </c>
      <c r="DG18" s="264">
        <v>514826011</v>
      </c>
      <c r="DH18" s="264">
        <f t="shared" si="30"/>
        <v>536448.703462</v>
      </c>
      <c r="DK18" s="210" t="s">
        <v>423</v>
      </c>
      <c r="DL18" s="212" t="s">
        <v>853</v>
      </c>
      <c r="DM18" s="210" t="s">
        <v>426</v>
      </c>
      <c r="DN18" s="212" t="s">
        <v>426</v>
      </c>
      <c r="DO18" s="211">
        <v>0</v>
      </c>
      <c r="DP18" s="211">
        <v>0</v>
      </c>
      <c r="DQ18" s="211">
        <v>0</v>
      </c>
      <c r="DR18" s="211">
        <f t="shared" si="31"/>
        <v>0</v>
      </c>
      <c r="DS18" s="211">
        <f t="shared" si="32"/>
        <v>0</v>
      </c>
      <c r="DT18" s="211">
        <f t="shared" si="33"/>
        <v>0</v>
      </c>
      <c r="EE18" s="210" t="s">
        <v>423</v>
      </c>
      <c r="EF18" s="212" t="s">
        <v>853</v>
      </c>
      <c r="EG18" s="212" t="s">
        <v>472</v>
      </c>
      <c r="EH18" s="212" t="s">
        <v>330</v>
      </c>
      <c r="EI18" s="211">
        <v>0</v>
      </c>
      <c r="EJ18" s="211">
        <v>49027429</v>
      </c>
      <c r="EK18" s="211">
        <v>49027429</v>
      </c>
      <c r="EL18" s="258">
        <f t="shared" si="35"/>
        <v>0</v>
      </c>
      <c r="EM18" s="258">
        <f t="shared" si="36"/>
        <v>51086.581017999997</v>
      </c>
      <c r="EN18" s="258">
        <f t="shared" si="37"/>
        <v>51086.581017999997</v>
      </c>
      <c r="EV18" s="257"/>
      <c r="EY18" s="210" t="s">
        <v>423</v>
      </c>
      <c r="EZ18" s="212" t="s">
        <v>853</v>
      </c>
      <c r="FA18" s="212" t="s">
        <v>426</v>
      </c>
      <c r="FB18" s="212" t="s">
        <v>426</v>
      </c>
      <c r="FC18" s="211">
        <v>0</v>
      </c>
      <c r="FD18" s="211">
        <v>0</v>
      </c>
      <c r="FE18" s="211">
        <v>0</v>
      </c>
      <c r="FF18" s="257">
        <f t="shared" si="39"/>
        <v>0</v>
      </c>
      <c r="FG18" s="257">
        <f t="shared" si="40"/>
        <v>0</v>
      </c>
      <c r="FH18" s="257">
        <f t="shared" si="41"/>
        <v>0</v>
      </c>
      <c r="FK18" s="204" t="s">
        <v>430</v>
      </c>
      <c r="FL18" s="204" t="s">
        <v>446</v>
      </c>
      <c r="FM18" s="204" t="s">
        <v>426</v>
      </c>
      <c r="FN18" s="204" t="s">
        <v>426</v>
      </c>
      <c r="FO18" s="257">
        <v>65009525</v>
      </c>
      <c r="FP18" s="226">
        <f t="shared" si="42"/>
        <v>65009.525000000001</v>
      </c>
      <c r="FR18" s="262" t="s">
        <v>423</v>
      </c>
      <c r="FS18" s="204" t="s">
        <v>853</v>
      </c>
      <c r="FT18" s="204" t="s">
        <v>425</v>
      </c>
      <c r="FU18" s="204" t="s">
        <v>311</v>
      </c>
      <c r="FV18" s="257">
        <v>0</v>
      </c>
      <c r="FW18" s="257">
        <v>300000</v>
      </c>
      <c r="FX18" s="257">
        <v>139289</v>
      </c>
      <c r="FY18" s="226">
        <f t="shared" si="43"/>
        <v>0</v>
      </c>
      <c r="FZ18" s="226">
        <f t="shared" si="44"/>
        <v>300</v>
      </c>
      <c r="GA18" s="226">
        <f t="shared" si="45"/>
        <v>139.28899999999999</v>
      </c>
      <c r="GD18" s="204" t="s">
        <v>795</v>
      </c>
      <c r="GE18" s="204" t="s">
        <v>796</v>
      </c>
      <c r="GF18" s="204" t="s">
        <v>426</v>
      </c>
      <c r="GG18" s="204" t="s">
        <v>426</v>
      </c>
      <c r="GH18" s="257">
        <v>760813528</v>
      </c>
      <c r="GI18" s="257">
        <f t="shared" si="46"/>
        <v>760813.52800000005</v>
      </c>
      <c r="GK18" s="204" t="s">
        <v>423</v>
      </c>
      <c r="GL18" s="204" t="s">
        <v>853</v>
      </c>
      <c r="GM18" s="204" t="s">
        <v>447</v>
      </c>
      <c r="GN18" s="204" t="s">
        <v>270</v>
      </c>
      <c r="GO18" s="257">
        <v>0</v>
      </c>
      <c r="GP18" s="257">
        <v>2386622</v>
      </c>
      <c r="GQ18" s="257">
        <v>2386622</v>
      </c>
      <c r="GR18" s="257">
        <f t="shared" si="47"/>
        <v>0</v>
      </c>
      <c r="GS18" s="257">
        <f t="shared" si="48"/>
        <v>2386.6219999999998</v>
      </c>
      <c r="GT18" s="257">
        <f t="shared" si="49"/>
        <v>2386.6219999999998</v>
      </c>
      <c r="GV18" s="263" t="s">
        <v>799</v>
      </c>
      <c r="GW18" s="353" t="s">
        <v>800</v>
      </c>
      <c r="GX18" s="353" t="s">
        <v>426</v>
      </c>
      <c r="GY18" s="353" t="s">
        <v>426</v>
      </c>
      <c r="GZ18" s="264">
        <v>3760735843</v>
      </c>
      <c r="HA18" s="264">
        <f t="shared" si="50"/>
        <v>3760735.8429999999</v>
      </c>
      <c r="HC18" s="204" t="s">
        <v>423</v>
      </c>
      <c r="HD18" s="204" t="s">
        <v>853</v>
      </c>
      <c r="HE18" s="204" t="s">
        <v>450</v>
      </c>
      <c r="HF18" s="204" t="s">
        <v>267</v>
      </c>
      <c r="HG18" s="225">
        <v>0</v>
      </c>
      <c r="HH18" s="225">
        <v>3031134245</v>
      </c>
      <c r="HI18" s="225">
        <v>3031134245</v>
      </c>
      <c r="HJ18" s="225">
        <f t="shared" si="51"/>
        <v>0</v>
      </c>
      <c r="HK18" s="225">
        <f t="shared" si="52"/>
        <v>3031134.2450000001</v>
      </c>
      <c r="HL18" s="225">
        <f t="shared" si="53"/>
        <v>3031134.2450000001</v>
      </c>
    </row>
    <row r="19" spans="1:220" ht="15" customHeight="1" x14ac:dyDescent="0.2">
      <c r="A19" s="210" t="s">
        <v>781</v>
      </c>
      <c r="B19" s="212" t="s">
        <v>782</v>
      </c>
      <c r="C19" s="210" t="s">
        <v>426</v>
      </c>
      <c r="D19" s="212" t="s">
        <v>426</v>
      </c>
      <c r="E19" s="211">
        <v>31528885500</v>
      </c>
      <c r="F19" s="211">
        <v>0</v>
      </c>
      <c r="G19" s="211">
        <v>0</v>
      </c>
      <c r="H19" s="211">
        <f t="shared" si="7"/>
        <v>32853098.691</v>
      </c>
      <c r="I19" s="211">
        <f t="shared" si="8"/>
        <v>0</v>
      </c>
      <c r="J19" s="211">
        <f t="shared" si="9"/>
        <v>0</v>
      </c>
      <c r="T19" s="292" t="s">
        <v>852</v>
      </c>
      <c r="U19" s="293" t="s">
        <v>51</v>
      </c>
      <c r="V19" s="292" t="s">
        <v>426</v>
      </c>
      <c r="W19" s="293" t="s">
        <v>426</v>
      </c>
      <c r="X19" s="294">
        <v>10100</v>
      </c>
      <c r="Y19" s="294">
        <v>0</v>
      </c>
      <c r="Z19" s="294">
        <v>0</v>
      </c>
      <c r="AA19" s="258">
        <f t="shared" si="11"/>
        <v>10.5242</v>
      </c>
      <c r="AB19" s="258">
        <f t="shared" si="12"/>
        <v>0</v>
      </c>
      <c r="AC19" s="258">
        <f t="shared" si="13"/>
        <v>0</v>
      </c>
      <c r="AM19" s="212" t="s">
        <v>887</v>
      </c>
      <c r="AN19" s="212" t="s">
        <v>888</v>
      </c>
      <c r="AO19" s="212" t="s">
        <v>426</v>
      </c>
      <c r="AP19" s="212" t="s">
        <v>426</v>
      </c>
      <c r="AQ19" s="212" t="s">
        <v>513</v>
      </c>
      <c r="AR19" s="295">
        <v>464198000</v>
      </c>
      <c r="AS19" s="295">
        <v>0</v>
      </c>
      <c r="AT19" s="295">
        <v>0</v>
      </c>
      <c r="AU19" s="295">
        <f t="shared" si="15"/>
        <v>483694.31599999999</v>
      </c>
      <c r="AV19" s="295">
        <f t="shared" si="16"/>
        <v>0</v>
      </c>
      <c r="AW19" s="295">
        <f t="shared" si="17"/>
        <v>0</v>
      </c>
      <c r="BF19" s="263" t="s">
        <v>887</v>
      </c>
      <c r="BG19" s="296" t="s">
        <v>888</v>
      </c>
      <c r="BH19" s="210" t="s">
        <v>426</v>
      </c>
      <c r="BI19" s="212" t="s">
        <v>426</v>
      </c>
      <c r="BJ19" s="264">
        <v>464198000</v>
      </c>
      <c r="BK19" s="264">
        <v>0</v>
      </c>
      <c r="BL19" s="264">
        <v>0</v>
      </c>
      <c r="BM19" s="264">
        <f t="shared" si="19"/>
        <v>483694.31599999999</v>
      </c>
      <c r="BN19" s="264">
        <f t="shared" si="20"/>
        <v>0</v>
      </c>
      <c r="BO19" s="264">
        <f t="shared" si="21"/>
        <v>0</v>
      </c>
      <c r="BY19" s="210" t="s">
        <v>887</v>
      </c>
      <c r="BZ19" s="210" t="s">
        <v>888</v>
      </c>
      <c r="CA19" s="210" t="s">
        <v>426</v>
      </c>
      <c r="CB19" s="210" t="s">
        <v>426</v>
      </c>
      <c r="CC19" s="212" t="s">
        <v>513</v>
      </c>
      <c r="CD19" s="211">
        <v>464198000</v>
      </c>
      <c r="CE19" s="211">
        <v>0</v>
      </c>
      <c r="CF19" s="211">
        <v>0</v>
      </c>
      <c r="CG19" s="211">
        <f t="shared" si="23"/>
        <v>483694.31599999999</v>
      </c>
      <c r="CH19" s="211">
        <f t="shared" si="24"/>
        <v>0</v>
      </c>
      <c r="CI19" s="211">
        <f t="shared" si="25"/>
        <v>0</v>
      </c>
      <c r="CR19" s="212" t="s">
        <v>423</v>
      </c>
      <c r="CS19" s="212" t="s">
        <v>853</v>
      </c>
      <c r="CT19" s="212" t="s">
        <v>426</v>
      </c>
      <c r="CU19" s="212" t="s">
        <v>426</v>
      </c>
      <c r="CV19" s="211">
        <v>0</v>
      </c>
      <c r="CW19" s="211">
        <v>0</v>
      </c>
      <c r="CX19" s="211">
        <v>0</v>
      </c>
      <c r="CY19" s="211">
        <f t="shared" si="27"/>
        <v>0</v>
      </c>
      <c r="CZ19" s="211">
        <f t="shared" si="28"/>
        <v>0</v>
      </c>
      <c r="DA19" s="211">
        <f t="shared" si="29"/>
        <v>0</v>
      </c>
      <c r="DK19" s="210" t="s">
        <v>423</v>
      </c>
      <c r="DL19" s="212" t="s">
        <v>853</v>
      </c>
      <c r="DM19" s="210" t="s">
        <v>424</v>
      </c>
      <c r="DN19" s="212" t="s">
        <v>268</v>
      </c>
      <c r="DO19" s="211">
        <v>0</v>
      </c>
      <c r="DP19" s="211">
        <v>177095236</v>
      </c>
      <c r="DQ19" s="211">
        <v>97402221</v>
      </c>
      <c r="DR19" s="211">
        <f t="shared" si="31"/>
        <v>0</v>
      </c>
      <c r="DS19" s="211">
        <f t="shared" si="32"/>
        <v>184533.235912</v>
      </c>
      <c r="DT19" s="211">
        <f t="shared" si="33"/>
        <v>101493.11428200001</v>
      </c>
      <c r="EE19" s="210" t="s">
        <v>423</v>
      </c>
      <c r="EF19" s="212" t="s">
        <v>853</v>
      </c>
      <c r="EG19" s="212" t="s">
        <v>448</v>
      </c>
      <c r="EH19" s="212" t="s">
        <v>449</v>
      </c>
      <c r="EI19" s="211">
        <v>0</v>
      </c>
      <c r="EJ19" s="211">
        <v>117256745</v>
      </c>
      <c r="EK19" s="211">
        <v>87042926</v>
      </c>
      <c r="EL19" s="258">
        <f t="shared" si="35"/>
        <v>0</v>
      </c>
      <c r="EM19" s="258">
        <f t="shared" si="36"/>
        <v>122181.52829</v>
      </c>
      <c r="EN19" s="258">
        <f t="shared" si="37"/>
        <v>90698.728892000014</v>
      </c>
      <c r="EV19" s="257"/>
      <c r="EY19" s="210" t="s">
        <v>423</v>
      </c>
      <c r="EZ19" s="212" t="s">
        <v>853</v>
      </c>
      <c r="FA19" s="212" t="s">
        <v>447</v>
      </c>
      <c r="FB19" s="212" t="s">
        <v>270</v>
      </c>
      <c r="FC19" s="211">
        <v>0</v>
      </c>
      <c r="FD19" s="211">
        <v>490000</v>
      </c>
      <c r="FE19" s="211">
        <v>490000</v>
      </c>
      <c r="FF19" s="257">
        <f t="shared" si="39"/>
        <v>0</v>
      </c>
      <c r="FG19" s="257">
        <f t="shared" si="40"/>
        <v>490</v>
      </c>
      <c r="FH19" s="257">
        <f t="shared" si="41"/>
        <v>490</v>
      </c>
      <c r="FK19" s="204" t="s">
        <v>839</v>
      </c>
      <c r="FL19" s="204" t="s">
        <v>840</v>
      </c>
      <c r="FM19" s="204" t="s">
        <v>426</v>
      </c>
      <c r="FN19" s="204" t="s">
        <v>426</v>
      </c>
      <c r="FO19" s="257">
        <v>345827643</v>
      </c>
      <c r="FP19" s="226">
        <f t="shared" si="42"/>
        <v>345827.64299999998</v>
      </c>
      <c r="FR19" s="262" t="s">
        <v>423</v>
      </c>
      <c r="FS19" s="204" t="s">
        <v>853</v>
      </c>
      <c r="FT19" s="204" t="s">
        <v>426</v>
      </c>
      <c r="FU19" s="204" t="s">
        <v>426</v>
      </c>
      <c r="FV19" s="257">
        <v>0</v>
      </c>
      <c r="FW19" s="257">
        <v>0</v>
      </c>
      <c r="FX19" s="257">
        <v>0</v>
      </c>
      <c r="FY19" s="226">
        <f t="shared" si="43"/>
        <v>0</v>
      </c>
      <c r="FZ19" s="226">
        <f t="shared" si="44"/>
        <v>0</v>
      </c>
      <c r="GA19" s="226">
        <f t="shared" si="45"/>
        <v>0</v>
      </c>
      <c r="GD19" s="204" t="s">
        <v>797</v>
      </c>
      <c r="GE19" s="204" t="s">
        <v>798</v>
      </c>
      <c r="GF19" s="204" t="s">
        <v>426</v>
      </c>
      <c r="GG19" s="204" t="s">
        <v>426</v>
      </c>
      <c r="GH19" s="257">
        <v>2127758925</v>
      </c>
      <c r="GI19" s="257">
        <f t="shared" si="46"/>
        <v>2127758.9249999998</v>
      </c>
      <c r="GK19" s="204" t="s">
        <v>423</v>
      </c>
      <c r="GL19" s="204" t="s">
        <v>853</v>
      </c>
      <c r="GM19" s="204" t="s">
        <v>450</v>
      </c>
      <c r="GN19" s="204" t="s">
        <v>267</v>
      </c>
      <c r="GO19" s="257">
        <v>0</v>
      </c>
      <c r="GP19" s="257">
        <v>2343013695</v>
      </c>
      <c r="GQ19" s="257">
        <v>2343013695</v>
      </c>
      <c r="GR19" s="257">
        <f t="shared" si="47"/>
        <v>0</v>
      </c>
      <c r="GS19" s="257">
        <f t="shared" si="48"/>
        <v>2343013.6949999998</v>
      </c>
      <c r="GT19" s="257">
        <f t="shared" si="49"/>
        <v>2343013.6949999998</v>
      </c>
      <c r="GV19" s="263" t="s">
        <v>430</v>
      </c>
      <c r="GW19" s="353" t="s">
        <v>446</v>
      </c>
      <c r="GX19" s="353" t="s">
        <v>426</v>
      </c>
      <c r="GY19" s="353" t="s">
        <v>426</v>
      </c>
      <c r="GZ19" s="264">
        <v>2374420132</v>
      </c>
      <c r="HA19" s="264">
        <f t="shared" si="50"/>
        <v>2374420.1320000002</v>
      </c>
      <c r="HC19" s="204" t="s">
        <v>423</v>
      </c>
      <c r="HD19" s="204" t="s">
        <v>853</v>
      </c>
      <c r="HE19" s="204" t="s">
        <v>426</v>
      </c>
      <c r="HF19" s="204" t="s">
        <v>426</v>
      </c>
      <c r="HG19" s="225">
        <v>0</v>
      </c>
      <c r="HH19" s="225">
        <v>0</v>
      </c>
      <c r="HI19" s="225">
        <v>0</v>
      </c>
      <c r="HJ19" s="225">
        <f t="shared" si="51"/>
        <v>0</v>
      </c>
      <c r="HK19" s="225">
        <f t="shared" si="52"/>
        <v>0</v>
      </c>
      <c r="HL19" s="225">
        <f t="shared" si="53"/>
        <v>0</v>
      </c>
    </row>
    <row r="20" spans="1:220" ht="15" customHeight="1" x14ac:dyDescent="0.2">
      <c r="A20" s="210" t="s">
        <v>781</v>
      </c>
      <c r="B20" s="212" t="s">
        <v>782</v>
      </c>
      <c r="C20" s="210" t="s">
        <v>426</v>
      </c>
      <c r="D20" s="212" t="s">
        <v>426</v>
      </c>
      <c r="E20" s="211">
        <v>0</v>
      </c>
      <c r="F20" s="211">
        <v>6094720242</v>
      </c>
      <c r="G20" s="211">
        <v>1941934859</v>
      </c>
      <c r="H20" s="211">
        <f t="shared" si="7"/>
        <v>0</v>
      </c>
      <c r="I20" s="211">
        <f t="shared" si="8"/>
        <v>6350698.4921639999</v>
      </c>
      <c r="J20" s="211">
        <f t="shared" si="9"/>
        <v>2023496.123078</v>
      </c>
      <c r="T20" s="292" t="s">
        <v>429</v>
      </c>
      <c r="U20" s="293" t="s">
        <v>140</v>
      </c>
      <c r="V20" s="292" t="s">
        <v>426</v>
      </c>
      <c r="W20" s="293" t="s">
        <v>426</v>
      </c>
      <c r="X20" s="294">
        <v>7570484000</v>
      </c>
      <c r="Y20" s="294">
        <v>0</v>
      </c>
      <c r="Z20" s="294">
        <v>0</v>
      </c>
      <c r="AA20" s="258">
        <f t="shared" si="11"/>
        <v>7888444.3280000007</v>
      </c>
      <c r="AB20" s="258">
        <f t="shared" si="12"/>
        <v>0</v>
      </c>
      <c r="AC20" s="258">
        <f t="shared" si="13"/>
        <v>0</v>
      </c>
      <c r="AM20" s="212" t="s">
        <v>852</v>
      </c>
      <c r="AN20" s="212" t="s">
        <v>51</v>
      </c>
      <c r="AO20" s="212" t="s">
        <v>426</v>
      </c>
      <c r="AP20" s="212" t="s">
        <v>426</v>
      </c>
      <c r="AQ20" s="212" t="s">
        <v>513</v>
      </c>
      <c r="AR20" s="295">
        <v>10100</v>
      </c>
      <c r="AS20" s="295">
        <v>0</v>
      </c>
      <c r="AT20" s="295">
        <v>0</v>
      </c>
      <c r="AU20" s="295">
        <f t="shared" si="15"/>
        <v>10.5242</v>
      </c>
      <c r="AV20" s="295">
        <f t="shared" si="16"/>
        <v>0</v>
      </c>
      <c r="AW20" s="295">
        <f t="shared" si="17"/>
        <v>0</v>
      </c>
      <c r="BF20" s="263" t="s">
        <v>852</v>
      </c>
      <c r="BG20" s="296" t="s">
        <v>51</v>
      </c>
      <c r="BH20" s="210" t="s">
        <v>426</v>
      </c>
      <c r="BI20" s="212" t="s">
        <v>426</v>
      </c>
      <c r="BJ20" s="264">
        <v>10100</v>
      </c>
      <c r="BK20" s="264">
        <v>0</v>
      </c>
      <c r="BL20" s="264">
        <v>0</v>
      </c>
      <c r="BM20" s="264">
        <f t="shared" si="19"/>
        <v>10.5242</v>
      </c>
      <c r="BN20" s="264">
        <f t="shared" si="20"/>
        <v>0</v>
      </c>
      <c r="BO20" s="264">
        <f t="shared" si="21"/>
        <v>0</v>
      </c>
      <c r="BY20" s="210" t="s">
        <v>887</v>
      </c>
      <c r="BZ20" s="210" t="s">
        <v>888</v>
      </c>
      <c r="CA20" s="210" t="s">
        <v>426</v>
      </c>
      <c r="CB20" s="210" t="s">
        <v>426</v>
      </c>
      <c r="CC20" s="212" t="s">
        <v>513</v>
      </c>
      <c r="CD20" s="211">
        <v>0</v>
      </c>
      <c r="CE20" s="211">
        <v>228076665</v>
      </c>
      <c r="CF20" s="211">
        <v>31380000</v>
      </c>
      <c r="CG20" s="211">
        <f t="shared" si="23"/>
        <v>0</v>
      </c>
      <c r="CH20" s="211">
        <f t="shared" si="24"/>
        <v>237655.88493000003</v>
      </c>
      <c r="CI20" s="211">
        <f t="shared" si="25"/>
        <v>32697.960000000003</v>
      </c>
      <c r="CR20" s="212" t="s">
        <v>423</v>
      </c>
      <c r="CS20" s="212" t="s">
        <v>853</v>
      </c>
      <c r="CT20" s="212" t="s">
        <v>448</v>
      </c>
      <c r="CU20" s="212" t="s">
        <v>449</v>
      </c>
      <c r="CV20" s="211">
        <v>0</v>
      </c>
      <c r="CW20" s="211">
        <v>104152657</v>
      </c>
      <c r="CX20" s="211">
        <v>56316000</v>
      </c>
      <c r="CY20" s="211">
        <f t="shared" si="27"/>
        <v>0</v>
      </c>
      <c r="CZ20" s="211">
        <f t="shared" si="28"/>
        <v>108527.06859400001</v>
      </c>
      <c r="DA20" s="211">
        <f t="shared" si="29"/>
        <v>58681.272000000004</v>
      </c>
      <c r="DK20" s="210" t="s">
        <v>423</v>
      </c>
      <c r="DL20" s="212" t="s">
        <v>853</v>
      </c>
      <c r="DM20" s="210" t="s">
        <v>447</v>
      </c>
      <c r="DN20" s="212" t="s">
        <v>270</v>
      </c>
      <c r="DO20" s="211">
        <v>0</v>
      </c>
      <c r="DP20" s="211">
        <v>490000</v>
      </c>
      <c r="DQ20" s="211">
        <v>490000</v>
      </c>
      <c r="DR20" s="211">
        <f t="shared" si="31"/>
        <v>0</v>
      </c>
      <c r="DS20" s="211">
        <f t="shared" si="32"/>
        <v>510.58000000000004</v>
      </c>
      <c r="DT20" s="211">
        <f t="shared" si="33"/>
        <v>510.58000000000004</v>
      </c>
      <c r="EE20" s="210" t="s">
        <v>423</v>
      </c>
      <c r="EF20" s="212" t="s">
        <v>853</v>
      </c>
      <c r="EG20" s="212" t="s">
        <v>425</v>
      </c>
      <c r="EH20" s="212" t="s">
        <v>311</v>
      </c>
      <c r="EI20" s="211">
        <v>0</v>
      </c>
      <c r="EJ20" s="211">
        <v>300000</v>
      </c>
      <c r="EK20" s="211">
        <v>139289</v>
      </c>
      <c r="EL20" s="258">
        <f t="shared" si="35"/>
        <v>0</v>
      </c>
      <c r="EM20" s="258">
        <f t="shared" si="36"/>
        <v>312.60000000000002</v>
      </c>
      <c r="EN20" s="258">
        <f t="shared" si="37"/>
        <v>145.139138</v>
      </c>
      <c r="EV20" s="257"/>
      <c r="EY20" s="210" t="s">
        <v>423</v>
      </c>
      <c r="EZ20" s="212" t="s">
        <v>853</v>
      </c>
      <c r="FA20" s="212" t="s">
        <v>450</v>
      </c>
      <c r="FB20" s="212" t="s">
        <v>267</v>
      </c>
      <c r="FC20" s="211">
        <v>0</v>
      </c>
      <c r="FD20" s="211">
        <v>2229513670</v>
      </c>
      <c r="FE20" s="211">
        <v>2299513695</v>
      </c>
      <c r="FF20" s="257">
        <f t="shared" si="39"/>
        <v>0</v>
      </c>
      <c r="FG20" s="257">
        <f t="shared" si="40"/>
        <v>2229513.67</v>
      </c>
      <c r="FH20" s="257">
        <f t="shared" si="41"/>
        <v>2299513.6949999998</v>
      </c>
      <c r="FR20" s="262" t="s">
        <v>423</v>
      </c>
      <c r="FS20" s="204" t="s">
        <v>853</v>
      </c>
      <c r="FT20" s="204" t="s">
        <v>448</v>
      </c>
      <c r="FU20" s="204" t="s">
        <v>449</v>
      </c>
      <c r="FV20" s="257">
        <v>0</v>
      </c>
      <c r="FW20" s="257">
        <v>122016745</v>
      </c>
      <c r="FX20" s="257">
        <v>87042926</v>
      </c>
      <c r="FY20" s="226">
        <f t="shared" si="43"/>
        <v>0</v>
      </c>
      <c r="FZ20" s="226">
        <f t="shared" si="44"/>
        <v>122016.745</v>
      </c>
      <c r="GA20" s="226">
        <f t="shared" si="45"/>
        <v>87042.926000000007</v>
      </c>
      <c r="GD20" s="204" t="s">
        <v>799</v>
      </c>
      <c r="GE20" s="204" t="s">
        <v>800</v>
      </c>
      <c r="GF20" s="204" t="s">
        <v>426</v>
      </c>
      <c r="GG20" s="204" t="s">
        <v>426</v>
      </c>
      <c r="GH20" s="257">
        <v>5467962000</v>
      </c>
      <c r="GI20" s="257">
        <f t="shared" si="46"/>
        <v>5467962</v>
      </c>
      <c r="GK20" s="204" t="s">
        <v>423</v>
      </c>
      <c r="GL20" s="204" t="s">
        <v>853</v>
      </c>
      <c r="GM20" s="204" t="s">
        <v>448</v>
      </c>
      <c r="GN20" s="204" t="s">
        <v>449</v>
      </c>
      <c r="GO20" s="257">
        <v>0</v>
      </c>
      <c r="GP20" s="257">
        <v>122016745</v>
      </c>
      <c r="GQ20" s="257">
        <v>87042926</v>
      </c>
      <c r="GR20" s="257">
        <f t="shared" si="47"/>
        <v>0</v>
      </c>
      <c r="GS20" s="257">
        <f t="shared" si="48"/>
        <v>122016.745</v>
      </c>
      <c r="GT20" s="257">
        <f t="shared" si="49"/>
        <v>87042.926000000007</v>
      </c>
      <c r="GV20" s="263" t="s">
        <v>839</v>
      </c>
      <c r="GW20" s="353" t="s">
        <v>840</v>
      </c>
      <c r="GX20" s="353" t="s">
        <v>426</v>
      </c>
      <c r="GY20" s="353" t="s">
        <v>426</v>
      </c>
      <c r="GZ20" s="264">
        <v>2269318120</v>
      </c>
      <c r="HA20" s="264">
        <f t="shared" si="50"/>
        <v>2269318.12</v>
      </c>
      <c r="HC20" s="204" t="s">
        <v>423</v>
      </c>
      <c r="HD20" s="204" t="s">
        <v>853</v>
      </c>
      <c r="HE20" s="204" t="s">
        <v>472</v>
      </c>
      <c r="HF20" s="204" t="s">
        <v>330</v>
      </c>
      <c r="HG20" s="225">
        <v>0</v>
      </c>
      <c r="HH20" s="225">
        <v>585172589</v>
      </c>
      <c r="HI20" s="225">
        <v>585172589</v>
      </c>
      <c r="HJ20" s="225">
        <f t="shared" si="51"/>
        <v>0</v>
      </c>
      <c r="HK20" s="225">
        <f t="shared" si="52"/>
        <v>585172.58900000004</v>
      </c>
      <c r="HL20" s="225">
        <f t="shared" si="53"/>
        <v>585172.58900000004</v>
      </c>
    </row>
    <row r="21" spans="1:220" ht="15" customHeight="1" x14ac:dyDescent="0.2">
      <c r="A21" s="210" t="s">
        <v>783</v>
      </c>
      <c r="B21" s="212" t="s">
        <v>784</v>
      </c>
      <c r="C21" s="210" t="s">
        <v>426</v>
      </c>
      <c r="D21" s="212" t="s">
        <v>426</v>
      </c>
      <c r="E21" s="211">
        <v>17225780000</v>
      </c>
      <c r="F21" s="211">
        <v>0</v>
      </c>
      <c r="G21" s="211">
        <v>0</v>
      </c>
      <c r="H21" s="211">
        <f t="shared" si="7"/>
        <v>17949262.760000002</v>
      </c>
      <c r="I21" s="211">
        <f t="shared" si="8"/>
        <v>0</v>
      </c>
      <c r="J21" s="211">
        <f t="shared" si="9"/>
        <v>0</v>
      </c>
      <c r="T21" s="292" t="s">
        <v>779</v>
      </c>
      <c r="U21" s="293" t="s">
        <v>780</v>
      </c>
      <c r="V21" s="292" t="s">
        <v>426</v>
      </c>
      <c r="W21" s="293" t="s">
        <v>426</v>
      </c>
      <c r="X21" s="294">
        <v>43586656500</v>
      </c>
      <c r="Y21" s="294">
        <v>0</v>
      </c>
      <c r="Z21" s="294">
        <v>0</v>
      </c>
      <c r="AA21" s="258">
        <f t="shared" si="11"/>
        <v>45417296.072999999</v>
      </c>
      <c r="AB21" s="258">
        <f t="shared" si="12"/>
        <v>0</v>
      </c>
      <c r="AC21" s="258">
        <f t="shared" si="13"/>
        <v>0</v>
      </c>
      <c r="AM21" s="212" t="s">
        <v>429</v>
      </c>
      <c r="AN21" s="212" t="s">
        <v>140</v>
      </c>
      <c r="AO21" s="212" t="s">
        <v>426</v>
      </c>
      <c r="AP21" s="212" t="s">
        <v>426</v>
      </c>
      <c r="AQ21" s="212" t="s">
        <v>513</v>
      </c>
      <c r="AR21" s="295">
        <v>7570484000</v>
      </c>
      <c r="AS21" s="295">
        <v>0</v>
      </c>
      <c r="AT21" s="295">
        <v>0</v>
      </c>
      <c r="AU21" s="295">
        <f t="shared" si="15"/>
        <v>7888444.3280000007</v>
      </c>
      <c r="AV21" s="295">
        <f t="shared" si="16"/>
        <v>0</v>
      </c>
      <c r="AW21" s="295">
        <f t="shared" si="17"/>
        <v>0</v>
      </c>
      <c r="BF21" s="263" t="s">
        <v>429</v>
      </c>
      <c r="BG21" s="296" t="s">
        <v>140</v>
      </c>
      <c r="BH21" s="210" t="s">
        <v>426</v>
      </c>
      <c r="BI21" s="212" t="s">
        <v>426</v>
      </c>
      <c r="BJ21" s="264">
        <v>7570484000</v>
      </c>
      <c r="BK21" s="264">
        <v>0</v>
      </c>
      <c r="BL21" s="264">
        <v>0</v>
      </c>
      <c r="BM21" s="264">
        <f t="shared" si="19"/>
        <v>7888444.3280000007</v>
      </c>
      <c r="BN21" s="264">
        <f t="shared" si="20"/>
        <v>0</v>
      </c>
      <c r="BO21" s="264">
        <f t="shared" si="21"/>
        <v>0</v>
      </c>
      <c r="BY21" s="210" t="s">
        <v>852</v>
      </c>
      <c r="BZ21" s="210" t="s">
        <v>51</v>
      </c>
      <c r="CA21" s="210" t="s">
        <v>426</v>
      </c>
      <c r="CB21" s="210" t="s">
        <v>426</v>
      </c>
      <c r="CC21" s="212" t="s">
        <v>513</v>
      </c>
      <c r="CD21" s="211">
        <v>10100</v>
      </c>
      <c r="CE21" s="211">
        <v>0</v>
      </c>
      <c r="CF21" s="211">
        <v>0</v>
      </c>
      <c r="CG21" s="211">
        <f t="shared" si="23"/>
        <v>10.5242</v>
      </c>
      <c r="CH21" s="211">
        <f t="shared" si="24"/>
        <v>0</v>
      </c>
      <c r="CI21" s="211">
        <f t="shared" si="25"/>
        <v>0</v>
      </c>
      <c r="CR21" s="212" t="s">
        <v>887</v>
      </c>
      <c r="CS21" s="212" t="s">
        <v>888</v>
      </c>
      <c r="CT21" s="212" t="s">
        <v>426</v>
      </c>
      <c r="CU21" s="212" t="s">
        <v>426</v>
      </c>
      <c r="CV21" s="211">
        <v>464198000</v>
      </c>
      <c r="CW21" s="211">
        <v>0</v>
      </c>
      <c r="CX21" s="211">
        <v>0</v>
      </c>
      <c r="CY21" s="211">
        <f t="shared" si="27"/>
        <v>483694.31599999999</v>
      </c>
      <c r="CZ21" s="211">
        <f t="shared" si="28"/>
        <v>0</v>
      </c>
      <c r="DA21" s="211">
        <f t="shared" si="29"/>
        <v>0</v>
      </c>
      <c r="DK21" s="210" t="s">
        <v>887</v>
      </c>
      <c r="DL21" s="212" t="s">
        <v>888</v>
      </c>
      <c r="DM21" s="210" t="s">
        <v>426</v>
      </c>
      <c r="DN21" s="212" t="s">
        <v>426</v>
      </c>
      <c r="DO21" s="211">
        <v>464198000</v>
      </c>
      <c r="DP21" s="211">
        <v>0</v>
      </c>
      <c r="DQ21" s="211">
        <v>0</v>
      </c>
      <c r="DR21" s="211">
        <f t="shared" si="31"/>
        <v>483694.31599999999</v>
      </c>
      <c r="DS21" s="211">
        <f t="shared" si="32"/>
        <v>0</v>
      </c>
      <c r="DT21" s="211">
        <f t="shared" si="33"/>
        <v>0</v>
      </c>
      <c r="EE21" s="210" t="s">
        <v>887</v>
      </c>
      <c r="EF21" s="212" t="s">
        <v>888</v>
      </c>
      <c r="EG21" s="212" t="s">
        <v>426</v>
      </c>
      <c r="EH21" s="212" t="s">
        <v>426</v>
      </c>
      <c r="EI21" s="211">
        <v>464198000</v>
      </c>
      <c r="EJ21" s="211">
        <v>0</v>
      </c>
      <c r="EK21" s="211">
        <v>0</v>
      </c>
      <c r="EL21" s="258">
        <f t="shared" si="35"/>
        <v>483694.31599999999</v>
      </c>
      <c r="EM21" s="258">
        <f t="shared" si="36"/>
        <v>0</v>
      </c>
      <c r="EN21" s="258">
        <f t="shared" si="37"/>
        <v>0</v>
      </c>
      <c r="EV21" s="257"/>
      <c r="EY21" s="210" t="s">
        <v>887</v>
      </c>
      <c r="EZ21" s="212" t="s">
        <v>888</v>
      </c>
      <c r="FA21" s="212" t="s">
        <v>426</v>
      </c>
      <c r="FB21" s="212" t="s">
        <v>426</v>
      </c>
      <c r="FC21" s="211">
        <v>464198000</v>
      </c>
      <c r="FD21" s="211">
        <v>0</v>
      </c>
      <c r="FE21" s="211">
        <v>0</v>
      </c>
      <c r="FF21" s="257">
        <f t="shared" si="39"/>
        <v>464198</v>
      </c>
      <c r="FG21" s="257">
        <f t="shared" si="40"/>
        <v>0</v>
      </c>
      <c r="FH21" s="257">
        <f t="shared" si="41"/>
        <v>0</v>
      </c>
      <c r="FR21" s="262" t="s">
        <v>887</v>
      </c>
      <c r="FS21" s="204" t="s">
        <v>888</v>
      </c>
      <c r="FT21" s="204" t="s">
        <v>426</v>
      </c>
      <c r="FU21" s="204" t="s">
        <v>426</v>
      </c>
      <c r="FV21" s="257">
        <v>464198000</v>
      </c>
      <c r="FW21" s="257">
        <v>0</v>
      </c>
      <c r="FX21" s="257">
        <v>0</v>
      </c>
      <c r="FY21" s="226">
        <f t="shared" si="43"/>
        <v>464198</v>
      </c>
      <c r="FZ21" s="226">
        <f t="shared" si="44"/>
        <v>0</v>
      </c>
      <c r="GA21" s="226">
        <f t="shared" si="45"/>
        <v>0</v>
      </c>
      <c r="GD21" s="204" t="s">
        <v>430</v>
      </c>
      <c r="GE21" s="204" t="s">
        <v>446</v>
      </c>
      <c r="GF21" s="204" t="s">
        <v>426</v>
      </c>
      <c r="GG21" s="204" t="s">
        <v>426</v>
      </c>
      <c r="GH21" s="257">
        <v>40579013</v>
      </c>
      <c r="GI21" s="257">
        <f t="shared" si="46"/>
        <v>40579.012999999999</v>
      </c>
      <c r="GK21" s="204" t="s">
        <v>887</v>
      </c>
      <c r="GL21" s="204" t="s">
        <v>888</v>
      </c>
      <c r="GM21" s="204" t="s">
        <v>426</v>
      </c>
      <c r="GN21" s="204" t="s">
        <v>426</v>
      </c>
      <c r="GO21" s="257">
        <v>314198000</v>
      </c>
      <c r="GP21" s="257">
        <v>0</v>
      </c>
      <c r="GQ21" s="257">
        <v>0</v>
      </c>
      <c r="GR21" s="257">
        <f t="shared" si="47"/>
        <v>314198</v>
      </c>
      <c r="GS21" s="257">
        <f t="shared" si="48"/>
        <v>0</v>
      </c>
      <c r="GT21" s="257">
        <f t="shared" si="49"/>
        <v>0</v>
      </c>
      <c r="HA21" s="266"/>
      <c r="HC21" s="204" t="s">
        <v>887</v>
      </c>
      <c r="HD21" s="204" t="s">
        <v>888</v>
      </c>
      <c r="HE21" s="204" t="s">
        <v>426</v>
      </c>
      <c r="HF21" s="204" t="s">
        <v>426</v>
      </c>
      <c r="HG21" s="225">
        <v>464198000</v>
      </c>
      <c r="HH21" s="225">
        <v>0</v>
      </c>
      <c r="HI21" s="225">
        <v>0</v>
      </c>
      <c r="HJ21" s="225">
        <f t="shared" si="51"/>
        <v>464198</v>
      </c>
      <c r="HK21" s="225">
        <f t="shared" si="52"/>
        <v>0</v>
      </c>
      <c r="HL21" s="225">
        <f t="shared" si="53"/>
        <v>0</v>
      </c>
    </row>
    <row r="22" spans="1:220" ht="15" customHeight="1" x14ac:dyDescent="0.2">
      <c r="A22" s="210" t="s">
        <v>783</v>
      </c>
      <c r="B22" s="212" t="s">
        <v>784</v>
      </c>
      <c r="C22" s="210" t="s">
        <v>426</v>
      </c>
      <c r="D22" s="212" t="s">
        <v>426</v>
      </c>
      <c r="E22" s="211">
        <v>0</v>
      </c>
      <c r="F22" s="211">
        <v>10553181989</v>
      </c>
      <c r="G22" s="211">
        <v>5276591011</v>
      </c>
      <c r="H22" s="211">
        <f t="shared" si="7"/>
        <v>0</v>
      </c>
      <c r="I22" s="211">
        <f t="shared" si="8"/>
        <v>10996415.632538</v>
      </c>
      <c r="J22" s="211">
        <f t="shared" si="9"/>
        <v>5498207.8334619999</v>
      </c>
      <c r="T22" s="292" t="s">
        <v>781</v>
      </c>
      <c r="U22" s="293" t="s">
        <v>782</v>
      </c>
      <c r="V22" s="292" t="s">
        <v>426</v>
      </c>
      <c r="W22" s="293" t="s">
        <v>426</v>
      </c>
      <c r="X22" s="294">
        <v>31528885500</v>
      </c>
      <c r="Y22" s="294">
        <v>0</v>
      </c>
      <c r="Z22" s="294">
        <v>0</v>
      </c>
      <c r="AA22" s="258">
        <f t="shared" si="11"/>
        <v>32853098.691</v>
      </c>
      <c r="AB22" s="258">
        <f t="shared" si="12"/>
        <v>0</v>
      </c>
      <c r="AC22" s="258">
        <f t="shared" si="13"/>
        <v>0</v>
      </c>
      <c r="AM22" s="212" t="s">
        <v>779</v>
      </c>
      <c r="AN22" s="212" t="s">
        <v>780</v>
      </c>
      <c r="AO22" s="212" t="s">
        <v>426</v>
      </c>
      <c r="AP22" s="212" t="s">
        <v>426</v>
      </c>
      <c r="AQ22" s="212" t="s">
        <v>513</v>
      </c>
      <c r="AR22" s="295">
        <v>43586656500</v>
      </c>
      <c r="AS22" s="295">
        <v>0</v>
      </c>
      <c r="AT22" s="295">
        <v>0</v>
      </c>
      <c r="AU22" s="295">
        <f t="shared" si="15"/>
        <v>45417296.072999999</v>
      </c>
      <c r="AV22" s="295">
        <f t="shared" si="16"/>
        <v>0</v>
      </c>
      <c r="AW22" s="295">
        <f t="shared" si="17"/>
        <v>0</v>
      </c>
      <c r="BF22" s="263" t="s">
        <v>779</v>
      </c>
      <c r="BG22" s="296" t="s">
        <v>780</v>
      </c>
      <c r="BH22" s="210" t="s">
        <v>426</v>
      </c>
      <c r="BI22" s="212" t="s">
        <v>426</v>
      </c>
      <c r="BJ22" s="264">
        <v>33586656500</v>
      </c>
      <c r="BK22" s="264">
        <v>0</v>
      </c>
      <c r="BL22" s="264">
        <v>0</v>
      </c>
      <c r="BM22" s="264">
        <f t="shared" si="19"/>
        <v>34997296.072999999</v>
      </c>
      <c r="BN22" s="264">
        <f t="shared" si="20"/>
        <v>0</v>
      </c>
      <c r="BO22" s="264">
        <f t="shared" si="21"/>
        <v>0</v>
      </c>
      <c r="BY22" s="210" t="s">
        <v>429</v>
      </c>
      <c r="BZ22" s="210" t="s">
        <v>140</v>
      </c>
      <c r="CA22" s="210" t="s">
        <v>426</v>
      </c>
      <c r="CB22" s="210" t="s">
        <v>426</v>
      </c>
      <c r="CC22" s="212" t="s">
        <v>513</v>
      </c>
      <c r="CD22" s="211">
        <v>7570484000</v>
      </c>
      <c r="CE22" s="211">
        <v>0</v>
      </c>
      <c r="CF22" s="211">
        <v>0</v>
      </c>
      <c r="CG22" s="211">
        <f t="shared" si="23"/>
        <v>7888444.3280000007</v>
      </c>
      <c r="CH22" s="211">
        <f t="shared" si="24"/>
        <v>0</v>
      </c>
      <c r="CI22" s="211">
        <f t="shared" si="25"/>
        <v>0</v>
      </c>
      <c r="CR22" s="212" t="s">
        <v>887</v>
      </c>
      <c r="CS22" s="212" t="s">
        <v>888</v>
      </c>
      <c r="CT22" s="212" t="s">
        <v>426</v>
      </c>
      <c r="CU22" s="212" t="s">
        <v>426</v>
      </c>
      <c r="CV22" s="211">
        <v>0</v>
      </c>
      <c r="CW22" s="211">
        <v>212943332</v>
      </c>
      <c r="CX22" s="211">
        <v>48670000</v>
      </c>
      <c r="CY22" s="211">
        <f t="shared" si="27"/>
        <v>0</v>
      </c>
      <c r="CZ22" s="211">
        <f t="shared" si="28"/>
        <v>221886.951944</v>
      </c>
      <c r="DA22" s="211">
        <f t="shared" si="29"/>
        <v>50714.14</v>
      </c>
      <c r="DK22" s="210" t="s">
        <v>887</v>
      </c>
      <c r="DL22" s="212" t="s">
        <v>888</v>
      </c>
      <c r="DM22" s="210" t="s">
        <v>426</v>
      </c>
      <c r="DN22" s="212" t="s">
        <v>426</v>
      </c>
      <c r="DO22" s="211">
        <v>0</v>
      </c>
      <c r="DP22" s="211">
        <v>308943334</v>
      </c>
      <c r="DQ22" s="211">
        <v>112493334</v>
      </c>
      <c r="DR22" s="211">
        <f t="shared" si="31"/>
        <v>0</v>
      </c>
      <c r="DS22" s="211">
        <f t="shared" si="32"/>
        <v>321918.95402800001</v>
      </c>
      <c r="DT22" s="211">
        <f t="shared" si="33"/>
        <v>117218.05402800001</v>
      </c>
      <c r="EE22" s="210" t="s">
        <v>887</v>
      </c>
      <c r="EF22" s="212" t="s">
        <v>888</v>
      </c>
      <c r="EG22" s="212" t="s">
        <v>426</v>
      </c>
      <c r="EH22" s="212" t="s">
        <v>426</v>
      </c>
      <c r="EI22" s="211">
        <v>0</v>
      </c>
      <c r="EJ22" s="211">
        <v>308957334</v>
      </c>
      <c r="EK22" s="211">
        <v>150507334</v>
      </c>
      <c r="EL22" s="258">
        <f t="shared" si="35"/>
        <v>0</v>
      </c>
      <c r="EM22" s="258">
        <f t="shared" si="36"/>
        <v>321933.542028</v>
      </c>
      <c r="EN22" s="258">
        <f t="shared" si="37"/>
        <v>156828.642028</v>
      </c>
      <c r="EV22" s="257"/>
      <c r="EY22" s="210" t="s">
        <v>887</v>
      </c>
      <c r="EZ22" s="212" t="s">
        <v>888</v>
      </c>
      <c r="FA22" s="212" t="s">
        <v>426</v>
      </c>
      <c r="FB22" s="212" t="s">
        <v>426</v>
      </c>
      <c r="FC22" s="211">
        <v>0</v>
      </c>
      <c r="FD22" s="211">
        <v>150507334</v>
      </c>
      <c r="FE22" s="211">
        <v>308957334</v>
      </c>
      <c r="FF22" s="257">
        <f t="shared" si="39"/>
        <v>0</v>
      </c>
      <c r="FG22" s="257">
        <f t="shared" si="40"/>
        <v>150507.334</v>
      </c>
      <c r="FH22" s="257">
        <f t="shared" si="41"/>
        <v>308957.33399999997</v>
      </c>
      <c r="FR22" s="262" t="s">
        <v>887</v>
      </c>
      <c r="FS22" s="204" t="s">
        <v>888</v>
      </c>
      <c r="FT22" s="204" t="s">
        <v>426</v>
      </c>
      <c r="FU22" s="204" t="s">
        <v>426</v>
      </c>
      <c r="FV22" s="257">
        <v>0</v>
      </c>
      <c r="FW22" s="257">
        <v>311028498</v>
      </c>
      <c r="FX22" s="257">
        <v>227361831</v>
      </c>
      <c r="FY22" s="226">
        <f t="shared" si="43"/>
        <v>0</v>
      </c>
      <c r="FZ22" s="226">
        <f t="shared" si="44"/>
        <v>311028.49800000002</v>
      </c>
      <c r="GA22" s="226">
        <f t="shared" si="45"/>
        <v>227361.83100000001</v>
      </c>
      <c r="GI22" s="226">
        <f>SUM(GI3:GI21)</f>
        <v>24556395.323000003</v>
      </c>
      <c r="GK22" s="204" t="s">
        <v>887</v>
      </c>
      <c r="GL22" s="204" t="s">
        <v>888</v>
      </c>
      <c r="GM22" s="204" t="s">
        <v>426</v>
      </c>
      <c r="GN22" s="204" t="s">
        <v>426</v>
      </c>
      <c r="GO22" s="257">
        <v>0</v>
      </c>
      <c r="GP22" s="257">
        <v>311140582</v>
      </c>
      <c r="GQ22" s="257">
        <v>269140582</v>
      </c>
      <c r="GR22" s="257">
        <f t="shared" si="47"/>
        <v>0</v>
      </c>
      <c r="GS22" s="257">
        <f t="shared" si="48"/>
        <v>311140.58199999999</v>
      </c>
      <c r="GT22" s="257">
        <f t="shared" si="49"/>
        <v>269140.58199999999</v>
      </c>
      <c r="HC22" s="204" t="s">
        <v>887</v>
      </c>
      <c r="HD22" s="204" t="s">
        <v>888</v>
      </c>
      <c r="HE22" s="204" t="s">
        <v>426</v>
      </c>
      <c r="HF22" s="204" t="s">
        <v>426</v>
      </c>
      <c r="HG22" s="225">
        <v>0</v>
      </c>
      <c r="HH22" s="225">
        <v>307140582</v>
      </c>
      <c r="HI22" s="225">
        <v>311140582</v>
      </c>
      <c r="HJ22" s="225">
        <f t="shared" si="51"/>
        <v>0</v>
      </c>
      <c r="HK22" s="225">
        <f t="shared" si="52"/>
        <v>307140.58199999999</v>
      </c>
      <c r="HL22" s="225">
        <f t="shared" si="53"/>
        <v>311140.58199999999</v>
      </c>
    </row>
    <row r="23" spans="1:220" ht="15" customHeight="1" x14ac:dyDescent="0.2">
      <c r="A23" s="210" t="s">
        <v>785</v>
      </c>
      <c r="B23" s="212" t="s">
        <v>786</v>
      </c>
      <c r="C23" s="210" t="s">
        <v>426</v>
      </c>
      <c r="D23" s="212" t="s">
        <v>426</v>
      </c>
      <c r="E23" s="211">
        <v>2651011000</v>
      </c>
      <c r="F23" s="211">
        <v>0</v>
      </c>
      <c r="G23" s="211">
        <v>0</v>
      </c>
      <c r="H23" s="211">
        <f t="shared" si="7"/>
        <v>2762353.4620000003</v>
      </c>
      <c r="I23" s="211">
        <f t="shared" si="8"/>
        <v>0</v>
      </c>
      <c r="J23" s="211">
        <f t="shared" si="9"/>
        <v>0</v>
      </c>
      <c r="T23" s="292" t="s">
        <v>781</v>
      </c>
      <c r="U23" s="293" t="s">
        <v>782</v>
      </c>
      <c r="V23" s="292" t="s">
        <v>426</v>
      </c>
      <c r="W23" s="293" t="s">
        <v>426</v>
      </c>
      <c r="X23" s="294">
        <v>0</v>
      </c>
      <c r="Y23" s="294">
        <v>17229334397</v>
      </c>
      <c r="Z23" s="294">
        <v>17106715809</v>
      </c>
      <c r="AA23" s="258">
        <f t="shared" si="11"/>
        <v>0</v>
      </c>
      <c r="AB23" s="258">
        <f t="shared" si="12"/>
        <v>17952966.441674002</v>
      </c>
      <c r="AC23" s="258">
        <f t="shared" si="13"/>
        <v>17825197.872978002</v>
      </c>
      <c r="AM23" s="212" t="s">
        <v>779</v>
      </c>
      <c r="AN23" s="212" t="s">
        <v>780</v>
      </c>
      <c r="AO23" s="212" t="s">
        <v>426</v>
      </c>
      <c r="AP23" s="212" t="s">
        <v>426</v>
      </c>
      <c r="AQ23" s="212" t="s">
        <v>513</v>
      </c>
      <c r="AR23" s="295">
        <v>0</v>
      </c>
      <c r="AS23" s="295">
        <v>9999958</v>
      </c>
      <c r="AT23" s="295">
        <v>9999958</v>
      </c>
      <c r="AU23" s="295">
        <f t="shared" si="15"/>
        <v>0</v>
      </c>
      <c r="AV23" s="295">
        <f t="shared" si="16"/>
        <v>10419.956236000002</v>
      </c>
      <c r="AW23" s="295">
        <f t="shared" si="17"/>
        <v>10419.956236000002</v>
      </c>
      <c r="BF23" s="263" t="s">
        <v>779</v>
      </c>
      <c r="BG23" s="296" t="s">
        <v>780</v>
      </c>
      <c r="BH23" s="210" t="s">
        <v>426</v>
      </c>
      <c r="BI23" s="212" t="s">
        <v>426</v>
      </c>
      <c r="BJ23" s="264">
        <v>0</v>
      </c>
      <c r="BK23" s="264">
        <v>135929688</v>
      </c>
      <c r="BL23" s="264">
        <v>135929688</v>
      </c>
      <c r="BM23" s="264">
        <f t="shared" si="19"/>
        <v>0</v>
      </c>
      <c r="BN23" s="264">
        <f t="shared" si="20"/>
        <v>141638.73489600001</v>
      </c>
      <c r="BO23" s="264">
        <f t="shared" si="21"/>
        <v>141638.73489600001</v>
      </c>
      <c r="BY23" s="210" t="s">
        <v>429</v>
      </c>
      <c r="BZ23" s="210" t="s">
        <v>140</v>
      </c>
      <c r="CA23" s="210" t="s">
        <v>426</v>
      </c>
      <c r="CB23" s="210" t="s">
        <v>426</v>
      </c>
      <c r="CC23" s="212" t="s">
        <v>513</v>
      </c>
      <c r="CD23" s="211">
        <v>0</v>
      </c>
      <c r="CE23" s="211">
        <v>4381701258</v>
      </c>
      <c r="CF23" s="211">
        <v>2771721054</v>
      </c>
      <c r="CG23" s="211">
        <f t="shared" si="23"/>
        <v>0</v>
      </c>
      <c r="CH23" s="211">
        <f t="shared" si="24"/>
        <v>4565732.7108360007</v>
      </c>
      <c r="CI23" s="211">
        <f t="shared" si="25"/>
        <v>2888133.3382680002</v>
      </c>
      <c r="CR23" s="212" t="s">
        <v>852</v>
      </c>
      <c r="CS23" s="212" t="s">
        <v>51</v>
      </c>
      <c r="CT23" s="212" t="s">
        <v>426</v>
      </c>
      <c r="CU23" s="212" t="s">
        <v>426</v>
      </c>
      <c r="CV23" s="211">
        <v>10100</v>
      </c>
      <c r="CW23" s="211">
        <v>0</v>
      </c>
      <c r="CX23" s="211">
        <v>0</v>
      </c>
      <c r="CY23" s="211">
        <f t="shared" si="27"/>
        <v>10.5242</v>
      </c>
      <c r="CZ23" s="211">
        <f t="shared" si="28"/>
        <v>0</v>
      </c>
      <c r="DA23" s="211">
        <f t="shared" si="29"/>
        <v>0</v>
      </c>
      <c r="DK23" s="210" t="s">
        <v>852</v>
      </c>
      <c r="DL23" s="212" t="s">
        <v>51</v>
      </c>
      <c r="DM23" s="210" t="s">
        <v>426</v>
      </c>
      <c r="DN23" s="212" t="s">
        <v>426</v>
      </c>
      <c r="DO23" s="211">
        <v>10100</v>
      </c>
      <c r="DP23" s="211">
        <v>0</v>
      </c>
      <c r="DQ23" s="211">
        <v>0</v>
      </c>
      <c r="DR23" s="211">
        <f t="shared" si="31"/>
        <v>10.5242</v>
      </c>
      <c r="DS23" s="211">
        <f t="shared" si="32"/>
        <v>0</v>
      </c>
      <c r="DT23" s="211">
        <f t="shared" si="33"/>
        <v>0</v>
      </c>
      <c r="EE23" s="210" t="s">
        <v>852</v>
      </c>
      <c r="EF23" s="212" t="s">
        <v>51</v>
      </c>
      <c r="EG23" s="212" t="s">
        <v>426</v>
      </c>
      <c r="EH23" s="212" t="s">
        <v>426</v>
      </c>
      <c r="EI23" s="211">
        <v>10100</v>
      </c>
      <c r="EJ23" s="211">
        <v>0</v>
      </c>
      <c r="EK23" s="211">
        <v>0</v>
      </c>
      <c r="EL23" s="258">
        <f t="shared" si="35"/>
        <v>10.5242</v>
      </c>
      <c r="EM23" s="258">
        <f t="shared" si="36"/>
        <v>0</v>
      </c>
      <c r="EN23" s="258">
        <f t="shared" si="37"/>
        <v>0</v>
      </c>
      <c r="EV23" s="257"/>
      <c r="EY23" s="210" t="s">
        <v>852</v>
      </c>
      <c r="EZ23" s="212" t="s">
        <v>51</v>
      </c>
      <c r="FA23" s="212" t="s">
        <v>426</v>
      </c>
      <c r="FB23" s="212" t="s">
        <v>426</v>
      </c>
      <c r="FC23" s="211">
        <v>10100</v>
      </c>
      <c r="FD23" s="211">
        <v>0</v>
      </c>
      <c r="FE23" s="211">
        <v>0</v>
      </c>
      <c r="FF23" s="257">
        <f t="shared" si="39"/>
        <v>10.1</v>
      </c>
      <c r="FG23" s="257">
        <f t="shared" si="40"/>
        <v>0</v>
      </c>
      <c r="FH23" s="257">
        <f t="shared" si="41"/>
        <v>0</v>
      </c>
      <c r="FR23" s="262" t="s">
        <v>852</v>
      </c>
      <c r="FS23" s="204" t="s">
        <v>51</v>
      </c>
      <c r="FT23" s="204" t="s">
        <v>426</v>
      </c>
      <c r="FU23" s="204" t="s">
        <v>426</v>
      </c>
      <c r="FV23" s="257">
        <v>9038425100</v>
      </c>
      <c r="FW23" s="257">
        <v>0</v>
      </c>
      <c r="FX23" s="257">
        <v>0</v>
      </c>
      <c r="FY23" s="226">
        <f t="shared" si="43"/>
        <v>9038425.0999999996</v>
      </c>
      <c r="FZ23" s="226">
        <f t="shared" si="44"/>
        <v>0</v>
      </c>
      <c r="GA23" s="226">
        <f t="shared" si="45"/>
        <v>0</v>
      </c>
      <c r="GK23" s="204" t="s">
        <v>852</v>
      </c>
      <c r="GL23" s="204" t="s">
        <v>51</v>
      </c>
      <c r="GM23" s="204" t="s">
        <v>426</v>
      </c>
      <c r="GN23" s="204" t="s">
        <v>426</v>
      </c>
      <c r="GO23" s="257">
        <v>9038425100</v>
      </c>
      <c r="GP23" s="257">
        <v>0</v>
      </c>
      <c r="GQ23" s="257">
        <v>0</v>
      </c>
      <c r="GR23" s="257">
        <f t="shared" si="47"/>
        <v>9038425.0999999996</v>
      </c>
      <c r="GS23" s="257">
        <f t="shared" si="48"/>
        <v>0</v>
      </c>
      <c r="GT23" s="257">
        <f t="shared" si="49"/>
        <v>0</v>
      </c>
      <c r="HC23" s="204" t="s">
        <v>852</v>
      </c>
      <c r="HD23" s="204" t="s">
        <v>51</v>
      </c>
      <c r="HE23" s="204" t="s">
        <v>426</v>
      </c>
      <c r="HF23" s="204" t="s">
        <v>426</v>
      </c>
      <c r="HG23" s="225">
        <v>9038425100</v>
      </c>
      <c r="HH23" s="225">
        <v>0</v>
      </c>
      <c r="HI23" s="225">
        <v>0</v>
      </c>
      <c r="HJ23" s="225">
        <f t="shared" si="51"/>
        <v>9038425.0999999996</v>
      </c>
      <c r="HK23" s="225">
        <f t="shared" si="52"/>
        <v>0</v>
      </c>
      <c r="HL23" s="225">
        <f t="shared" si="53"/>
        <v>0</v>
      </c>
    </row>
    <row r="24" spans="1:220" ht="15" customHeight="1" x14ac:dyDescent="0.2">
      <c r="A24" s="210" t="s">
        <v>787</v>
      </c>
      <c r="B24" s="212" t="s">
        <v>788</v>
      </c>
      <c r="C24" s="210" t="s">
        <v>426</v>
      </c>
      <c r="D24" s="212" t="s">
        <v>426</v>
      </c>
      <c r="E24" s="211">
        <v>7099380194</v>
      </c>
      <c r="F24" s="211">
        <v>0</v>
      </c>
      <c r="G24" s="211">
        <v>0</v>
      </c>
      <c r="H24" s="211">
        <f t="shared" si="7"/>
        <v>7397554.1621480007</v>
      </c>
      <c r="I24" s="211">
        <f t="shared" si="8"/>
        <v>0</v>
      </c>
      <c r="J24" s="211">
        <f t="shared" si="9"/>
        <v>0</v>
      </c>
      <c r="T24" s="292" t="s">
        <v>783</v>
      </c>
      <c r="U24" s="293" t="s">
        <v>784</v>
      </c>
      <c r="V24" s="292" t="s">
        <v>426</v>
      </c>
      <c r="W24" s="293" t="s">
        <v>426</v>
      </c>
      <c r="X24" s="294">
        <v>17225780000</v>
      </c>
      <c r="Y24" s="294">
        <v>0</v>
      </c>
      <c r="Z24" s="294">
        <v>0</v>
      </c>
      <c r="AA24" s="258">
        <f t="shared" si="11"/>
        <v>17949262.760000002</v>
      </c>
      <c r="AB24" s="258">
        <f t="shared" si="12"/>
        <v>0</v>
      </c>
      <c r="AC24" s="258">
        <f t="shared" si="13"/>
        <v>0</v>
      </c>
      <c r="AM24" s="212" t="s">
        <v>781</v>
      </c>
      <c r="AN24" s="212" t="s">
        <v>782</v>
      </c>
      <c r="AO24" s="212" t="s">
        <v>426</v>
      </c>
      <c r="AP24" s="212" t="s">
        <v>426</v>
      </c>
      <c r="AQ24" s="212" t="s">
        <v>513</v>
      </c>
      <c r="AR24" s="295">
        <v>33628885500</v>
      </c>
      <c r="AS24" s="295">
        <v>0</v>
      </c>
      <c r="AT24" s="295">
        <v>0</v>
      </c>
      <c r="AU24" s="295">
        <f t="shared" si="15"/>
        <v>35041298.691</v>
      </c>
      <c r="AV24" s="295">
        <f t="shared" si="16"/>
        <v>0</v>
      </c>
      <c r="AW24" s="295">
        <f t="shared" si="17"/>
        <v>0</v>
      </c>
      <c r="BF24" s="263" t="s">
        <v>781</v>
      </c>
      <c r="BG24" s="296" t="s">
        <v>782</v>
      </c>
      <c r="BH24" s="210" t="s">
        <v>426</v>
      </c>
      <c r="BI24" s="212" t="s">
        <v>426</v>
      </c>
      <c r="BJ24" s="264">
        <v>43628885500</v>
      </c>
      <c r="BK24" s="264">
        <v>0</v>
      </c>
      <c r="BL24" s="264">
        <v>0</v>
      </c>
      <c r="BM24" s="264">
        <f t="shared" si="19"/>
        <v>45461298.691</v>
      </c>
      <c r="BN24" s="264">
        <f t="shared" si="20"/>
        <v>0</v>
      </c>
      <c r="BO24" s="264">
        <f t="shared" si="21"/>
        <v>0</v>
      </c>
      <c r="BY24" s="210" t="s">
        <v>779</v>
      </c>
      <c r="BZ24" s="210" t="s">
        <v>780</v>
      </c>
      <c r="CA24" s="210" t="s">
        <v>426</v>
      </c>
      <c r="CB24" s="210" t="s">
        <v>426</v>
      </c>
      <c r="CC24" s="212" t="s">
        <v>513</v>
      </c>
      <c r="CD24" s="211">
        <v>33586656500</v>
      </c>
      <c r="CE24" s="211">
        <v>0</v>
      </c>
      <c r="CF24" s="211">
        <v>0</v>
      </c>
      <c r="CG24" s="211">
        <f t="shared" si="23"/>
        <v>34997296.072999999</v>
      </c>
      <c r="CH24" s="211">
        <f t="shared" si="24"/>
        <v>0</v>
      </c>
      <c r="CI24" s="211">
        <f t="shared" si="25"/>
        <v>0</v>
      </c>
      <c r="CR24" s="212" t="s">
        <v>429</v>
      </c>
      <c r="CS24" s="212" t="s">
        <v>140</v>
      </c>
      <c r="CT24" s="212" t="s">
        <v>426</v>
      </c>
      <c r="CU24" s="212" t="s">
        <v>426</v>
      </c>
      <c r="CV24" s="211">
        <v>7570484000</v>
      </c>
      <c r="CW24" s="211">
        <v>0</v>
      </c>
      <c r="CX24" s="211">
        <v>0</v>
      </c>
      <c r="CY24" s="211">
        <f t="shared" si="27"/>
        <v>7888444.3280000007</v>
      </c>
      <c r="CZ24" s="211">
        <f t="shared" si="28"/>
        <v>0</v>
      </c>
      <c r="DA24" s="211">
        <f t="shared" si="29"/>
        <v>0</v>
      </c>
      <c r="DK24" s="210" t="s">
        <v>429</v>
      </c>
      <c r="DL24" s="212" t="s">
        <v>140</v>
      </c>
      <c r="DM24" s="210" t="s">
        <v>426</v>
      </c>
      <c r="DN24" s="212" t="s">
        <v>426</v>
      </c>
      <c r="DO24" s="211">
        <v>7570484000</v>
      </c>
      <c r="DP24" s="211">
        <v>0</v>
      </c>
      <c r="DQ24" s="211">
        <v>0</v>
      </c>
      <c r="DR24" s="211">
        <f t="shared" si="31"/>
        <v>7888444.3280000007</v>
      </c>
      <c r="DS24" s="211">
        <f t="shared" si="32"/>
        <v>0</v>
      </c>
      <c r="DT24" s="211">
        <f t="shared" si="33"/>
        <v>0</v>
      </c>
      <c r="EE24" s="210" t="s">
        <v>429</v>
      </c>
      <c r="EF24" s="212" t="s">
        <v>140</v>
      </c>
      <c r="EG24" s="212" t="s">
        <v>426</v>
      </c>
      <c r="EH24" s="212" t="s">
        <v>426</v>
      </c>
      <c r="EI24" s="211">
        <v>7570484000</v>
      </c>
      <c r="EJ24" s="211">
        <v>0</v>
      </c>
      <c r="EK24" s="211">
        <v>0</v>
      </c>
      <c r="EL24" s="258">
        <f t="shared" si="35"/>
        <v>7888444.3280000007</v>
      </c>
      <c r="EM24" s="258">
        <f t="shared" si="36"/>
        <v>0</v>
      </c>
      <c r="EN24" s="258">
        <f t="shared" si="37"/>
        <v>0</v>
      </c>
      <c r="EV24" s="257"/>
      <c r="EY24" s="210" t="s">
        <v>429</v>
      </c>
      <c r="EZ24" s="212" t="s">
        <v>140</v>
      </c>
      <c r="FA24" s="212" t="s">
        <v>426</v>
      </c>
      <c r="FB24" s="212" t="s">
        <v>426</v>
      </c>
      <c r="FC24" s="211">
        <v>7570484000</v>
      </c>
      <c r="FD24" s="211">
        <v>0</v>
      </c>
      <c r="FE24" s="211">
        <v>0</v>
      </c>
      <c r="FF24" s="257">
        <f t="shared" si="39"/>
        <v>7570484</v>
      </c>
      <c r="FG24" s="257">
        <f t="shared" si="40"/>
        <v>0</v>
      </c>
      <c r="FH24" s="257">
        <f t="shared" si="41"/>
        <v>0</v>
      </c>
      <c r="FR24" s="262" t="s">
        <v>429</v>
      </c>
      <c r="FS24" s="204" t="s">
        <v>140</v>
      </c>
      <c r="FT24" s="204" t="s">
        <v>426</v>
      </c>
      <c r="FU24" s="204" t="s">
        <v>426</v>
      </c>
      <c r="FV24" s="257">
        <v>7570484000</v>
      </c>
      <c r="FW24" s="257">
        <v>0</v>
      </c>
      <c r="FX24" s="257">
        <v>0</v>
      </c>
      <c r="FY24" s="226">
        <f t="shared" si="43"/>
        <v>7570484</v>
      </c>
      <c r="FZ24" s="226">
        <f t="shared" si="44"/>
        <v>0</v>
      </c>
      <c r="GA24" s="226">
        <f t="shared" si="45"/>
        <v>0</v>
      </c>
      <c r="GK24" s="204" t="s">
        <v>852</v>
      </c>
      <c r="GL24" s="204" t="s">
        <v>51</v>
      </c>
      <c r="GM24" s="204" t="s">
        <v>426</v>
      </c>
      <c r="GN24" s="204" t="s">
        <v>426</v>
      </c>
      <c r="GO24" s="257">
        <v>0</v>
      </c>
      <c r="GP24" s="257">
        <v>5814755989</v>
      </c>
      <c r="GQ24" s="257">
        <v>5814755989</v>
      </c>
      <c r="GR24" s="257">
        <f t="shared" si="47"/>
        <v>0</v>
      </c>
      <c r="GS24" s="257">
        <f t="shared" si="48"/>
        <v>5814755.9890000001</v>
      </c>
      <c r="GT24" s="257">
        <f t="shared" si="49"/>
        <v>5814755.9890000001</v>
      </c>
      <c r="HC24" s="204" t="s">
        <v>852</v>
      </c>
      <c r="HD24" s="204" t="s">
        <v>51</v>
      </c>
      <c r="HE24" s="204" t="s">
        <v>426</v>
      </c>
      <c r="HF24" s="204" t="s">
        <v>426</v>
      </c>
      <c r="HG24" s="225">
        <v>0</v>
      </c>
      <c r="HH24" s="225">
        <v>6379980274</v>
      </c>
      <c r="HI24" s="225">
        <v>6379980274</v>
      </c>
      <c r="HJ24" s="225">
        <f t="shared" si="51"/>
        <v>0</v>
      </c>
      <c r="HK24" s="225">
        <f t="shared" si="52"/>
        <v>6379980.2740000002</v>
      </c>
      <c r="HL24" s="225">
        <f t="shared" si="53"/>
        <v>6379980.2740000002</v>
      </c>
    </row>
    <row r="25" spans="1:220" ht="15" customHeight="1" x14ac:dyDescent="0.2">
      <c r="A25" s="210" t="s">
        <v>787</v>
      </c>
      <c r="B25" s="212" t="s">
        <v>788</v>
      </c>
      <c r="C25" s="210" t="s">
        <v>426</v>
      </c>
      <c r="D25" s="212" t="s">
        <v>426</v>
      </c>
      <c r="E25" s="211">
        <v>0</v>
      </c>
      <c r="F25" s="211">
        <v>22987500</v>
      </c>
      <c r="G25" s="211">
        <v>22987500</v>
      </c>
      <c r="H25" s="211">
        <f t="shared" si="7"/>
        <v>0</v>
      </c>
      <c r="I25" s="211">
        <f t="shared" si="8"/>
        <v>23952.975000000002</v>
      </c>
      <c r="J25" s="211">
        <f t="shared" si="9"/>
        <v>23952.975000000002</v>
      </c>
      <c r="T25" s="292" t="s">
        <v>783</v>
      </c>
      <c r="U25" s="293" t="s">
        <v>784</v>
      </c>
      <c r="V25" s="292" t="s">
        <v>426</v>
      </c>
      <c r="W25" s="293" t="s">
        <v>426</v>
      </c>
      <c r="X25" s="294">
        <v>0</v>
      </c>
      <c r="Y25" s="294">
        <v>10553181989</v>
      </c>
      <c r="Z25" s="294">
        <v>5276591011</v>
      </c>
      <c r="AA25" s="258">
        <f t="shared" si="11"/>
        <v>0</v>
      </c>
      <c r="AB25" s="258">
        <f t="shared" si="12"/>
        <v>10996415.632538</v>
      </c>
      <c r="AC25" s="258">
        <f t="shared" si="13"/>
        <v>5498207.8334619999</v>
      </c>
      <c r="AM25" s="212" t="s">
        <v>781</v>
      </c>
      <c r="AN25" s="212" t="s">
        <v>782</v>
      </c>
      <c r="AO25" s="212" t="s">
        <v>426</v>
      </c>
      <c r="AP25" s="212" t="s">
        <v>426</v>
      </c>
      <c r="AQ25" s="212" t="s">
        <v>513</v>
      </c>
      <c r="AR25" s="295">
        <v>0</v>
      </c>
      <c r="AS25" s="295">
        <v>21497637658</v>
      </c>
      <c r="AT25" s="295">
        <v>19600042545</v>
      </c>
      <c r="AU25" s="295">
        <f t="shared" si="15"/>
        <v>0</v>
      </c>
      <c r="AV25" s="295">
        <f t="shared" si="16"/>
        <v>22400538.439636</v>
      </c>
      <c r="AW25" s="295">
        <f t="shared" si="17"/>
        <v>20423244.331890002</v>
      </c>
      <c r="BF25" s="263" t="s">
        <v>781</v>
      </c>
      <c r="BG25" s="296" t="s">
        <v>782</v>
      </c>
      <c r="BH25" s="210" t="s">
        <v>426</v>
      </c>
      <c r="BI25" s="212" t="s">
        <v>426</v>
      </c>
      <c r="BJ25" s="264">
        <v>0</v>
      </c>
      <c r="BK25" s="264">
        <v>27800069015</v>
      </c>
      <c r="BL25" s="264">
        <v>26415597632</v>
      </c>
      <c r="BM25" s="264">
        <f t="shared" si="19"/>
        <v>0</v>
      </c>
      <c r="BN25" s="264">
        <f t="shared" si="20"/>
        <v>28967671.913630001</v>
      </c>
      <c r="BO25" s="264">
        <f t="shared" si="21"/>
        <v>27525052.732544001</v>
      </c>
      <c r="BY25" s="210" t="s">
        <v>779</v>
      </c>
      <c r="BZ25" s="210" t="s">
        <v>780</v>
      </c>
      <c r="CA25" s="210" t="s">
        <v>426</v>
      </c>
      <c r="CB25" s="210" t="s">
        <v>426</v>
      </c>
      <c r="CC25" s="212" t="s">
        <v>513</v>
      </c>
      <c r="CD25" s="211">
        <v>0</v>
      </c>
      <c r="CE25" s="211">
        <v>471417409</v>
      </c>
      <c r="CF25" s="211">
        <v>471417409</v>
      </c>
      <c r="CG25" s="211">
        <f t="shared" si="23"/>
        <v>0</v>
      </c>
      <c r="CH25" s="211">
        <f t="shared" si="24"/>
        <v>491216.94017800002</v>
      </c>
      <c r="CI25" s="211">
        <f t="shared" si="25"/>
        <v>491216.94017800002</v>
      </c>
      <c r="CR25" s="212" t="s">
        <v>429</v>
      </c>
      <c r="CS25" s="212" t="s">
        <v>140</v>
      </c>
      <c r="CT25" s="212" t="s">
        <v>426</v>
      </c>
      <c r="CU25" s="212" t="s">
        <v>426</v>
      </c>
      <c r="CV25" s="211">
        <v>0</v>
      </c>
      <c r="CW25" s="211">
        <v>4381701258</v>
      </c>
      <c r="CX25" s="211">
        <v>2771721054</v>
      </c>
      <c r="CY25" s="211">
        <f t="shared" si="27"/>
        <v>0</v>
      </c>
      <c r="CZ25" s="211">
        <f t="shared" si="28"/>
        <v>4565732.7108360007</v>
      </c>
      <c r="DA25" s="211">
        <f t="shared" si="29"/>
        <v>2888133.3382680002</v>
      </c>
      <c r="DK25" s="210" t="s">
        <v>429</v>
      </c>
      <c r="DL25" s="212" t="s">
        <v>140</v>
      </c>
      <c r="DM25" s="210" t="s">
        <v>426</v>
      </c>
      <c r="DN25" s="212" t="s">
        <v>426</v>
      </c>
      <c r="DO25" s="211">
        <v>0</v>
      </c>
      <c r="DP25" s="211">
        <v>5692679929</v>
      </c>
      <c r="DQ25" s="211">
        <v>4082699725</v>
      </c>
      <c r="DR25" s="211">
        <f t="shared" si="31"/>
        <v>0</v>
      </c>
      <c r="DS25" s="211">
        <f t="shared" si="32"/>
        <v>5931772.4860180002</v>
      </c>
      <c r="DT25" s="211">
        <f t="shared" si="33"/>
        <v>4254173.1134500001</v>
      </c>
      <c r="EE25" s="210" t="s">
        <v>429</v>
      </c>
      <c r="EF25" s="212" t="s">
        <v>140</v>
      </c>
      <c r="EG25" s="212" t="s">
        <v>426</v>
      </c>
      <c r="EH25" s="212" t="s">
        <v>426</v>
      </c>
      <c r="EI25" s="211">
        <v>0</v>
      </c>
      <c r="EJ25" s="211">
        <v>5692679929</v>
      </c>
      <c r="EK25" s="211">
        <v>4082699725</v>
      </c>
      <c r="EL25" s="258">
        <f t="shared" si="35"/>
        <v>0</v>
      </c>
      <c r="EM25" s="258">
        <f t="shared" si="36"/>
        <v>5931772.4860180002</v>
      </c>
      <c r="EN25" s="258">
        <f t="shared" si="37"/>
        <v>4254173.1134500001</v>
      </c>
      <c r="EV25" s="257"/>
      <c r="EY25" s="210" t="s">
        <v>429</v>
      </c>
      <c r="EZ25" s="212" t="s">
        <v>140</v>
      </c>
      <c r="FA25" s="212" t="s">
        <v>426</v>
      </c>
      <c r="FB25" s="212" t="s">
        <v>426</v>
      </c>
      <c r="FC25" s="211">
        <v>0</v>
      </c>
      <c r="FD25" s="211">
        <v>4082699725</v>
      </c>
      <c r="FE25" s="211">
        <v>5692679929</v>
      </c>
      <c r="FF25" s="257">
        <f t="shared" si="39"/>
        <v>0</v>
      </c>
      <c r="FG25" s="257">
        <f t="shared" si="40"/>
        <v>4082699.7250000001</v>
      </c>
      <c r="FH25" s="257">
        <f t="shared" si="41"/>
        <v>5692679.9289999995</v>
      </c>
      <c r="FR25" s="262" t="s">
        <v>429</v>
      </c>
      <c r="FS25" s="204" t="s">
        <v>140</v>
      </c>
      <c r="FT25" s="204" t="s">
        <v>426</v>
      </c>
      <c r="FU25" s="204" t="s">
        <v>426</v>
      </c>
      <c r="FV25" s="257">
        <v>0</v>
      </c>
      <c r="FW25" s="257">
        <v>6100729594</v>
      </c>
      <c r="FX25" s="257">
        <v>4449614247</v>
      </c>
      <c r="FY25" s="226">
        <f t="shared" si="43"/>
        <v>0</v>
      </c>
      <c r="FZ25" s="226">
        <f t="shared" si="44"/>
        <v>6100729.5939999996</v>
      </c>
      <c r="GA25" s="226">
        <f t="shared" si="45"/>
        <v>4449614.2470000004</v>
      </c>
      <c r="GK25" s="204" t="s">
        <v>429</v>
      </c>
      <c r="GL25" s="204" t="s">
        <v>140</v>
      </c>
      <c r="GM25" s="204" t="s">
        <v>426</v>
      </c>
      <c r="GN25" s="204" t="s">
        <v>426</v>
      </c>
      <c r="GO25" s="257">
        <v>6435885000</v>
      </c>
      <c r="GP25" s="257">
        <v>0</v>
      </c>
      <c r="GQ25" s="257">
        <v>0</v>
      </c>
      <c r="GR25" s="257">
        <f t="shared" si="47"/>
        <v>6435885</v>
      </c>
      <c r="GS25" s="257">
        <f t="shared" si="48"/>
        <v>0</v>
      </c>
      <c r="GT25" s="257">
        <f t="shared" si="49"/>
        <v>0</v>
      </c>
      <c r="HC25" s="204" t="s">
        <v>429</v>
      </c>
      <c r="HD25" s="204" t="s">
        <v>140</v>
      </c>
      <c r="HE25" s="204" t="s">
        <v>426</v>
      </c>
      <c r="HF25" s="204" t="s">
        <v>426</v>
      </c>
      <c r="HG25" s="225">
        <v>6435885000</v>
      </c>
      <c r="HH25" s="225">
        <v>0</v>
      </c>
      <c r="HI25" s="225">
        <v>0</v>
      </c>
      <c r="HJ25" s="225">
        <f t="shared" si="51"/>
        <v>6435885</v>
      </c>
      <c r="HK25" s="225">
        <f t="shared" si="52"/>
        <v>0</v>
      </c>
      <c r="HL25" s="225">
        <f t="shared" si="53"/>
        <v>0</v>
      </c>
    </row>
    <row r="26" spans="1:220" ht="15" customHeight="1" x14ac:dyDescent="0.2">
      <c r="A26" s="210" t="s">
        <v>789</v>
      </c>
      <c r="B26" s="212" t="s">
        <v>790</v>
      </c>
      <c r="C26" s="210" t="s">
        <v>426</v>
      </c>
      <c r="D26" s="212" t="s">
        <v>426</v>
      </c>
      <c r="E26" s="211">
        <v>3167999214</v>
      </c>
      <c r="F26" s="211">
        <v>0</v>
      </c>
      <c r="G26" s="211">
        <v>0</v>
      </c>
      <c r="H26" s="211">
        <f t="shared" si="7"/>
        <v>3301055.1809880002</v>
      </c>
      <c r="I26" s="211">
        <f t="shared" si="8"/>
        <v>0</v>
      </c>
      <c r="J26" s="211">
        <f t="shared" si="9"/>
        <v>0</v>
      </c>
      <c r="T26" s="292" t="s">
        <v>785</v>
      </c>
      <c r="U26" s="293" t="s">
        <v>786</v>
      </c>
      <c r="V26" s="292" t="s">
        <v>426</v>
      </c>
      <c r="W26" s="293" t="s">
        <v>426</v>
      </c>
      <c r="X26" s="294">
        <v>2651011000</v>
      </c>
      <c r="Y26" s="294">
        <v>0</v>
      </c>
      <c r="Z26" s="294">
        <v>0</v>
      </c>
      <c r="AA26" s="258">
        <f t="shared" si="11"/>
        <v>2762353.4620000003</v>
      </c>
      <c r="AB26" s="258">
        <f t="shared" si="12"/>
        <v>0</v>
      </c>
      <c r="AC26" s="258">
        <f t="shared" si="13"/>
        <v>0</v>
      </c>
      <c r="AM26" s="212" t="s">
        <v>783</v>
      </c>
      <c r="AN26" s="212" t="s">
        <v>784</v>
      </c>
      <c r="AO26" s="212" t="s">
        <v>426</v>
      </c>
      <c r="AP26" s="212" t="s">
        <v>426</v>
      </c>
      <c r="AQ26" s="212" t="s">
        <v>513</v>
      </c>
      <c r="AR26" s="295">
        <v>17225780000</v>
      </c>
      <c r="AS26" s="295">
        <v>0</v>
      </c>
      <c r="AT26" s="295">
        <v>0</v>
      </c>
      <c r="AU26" s="295">
        <f t="shared" si="15"/>
        <v>17949262.760000002</v>
      </c>
      <c r="AV26" s="295">
        <f t="shared" si="16"/>
        <v>0</v>
      </c>
      <c r="AW26" s="295">
        <f t="shared" si="17"/>
        <v>0</v>
      </c>
      <c r="BF26" s="263" t="s">
        <v>783</v>
      </c>
      <c r="BG26" s="296" t="s">
        <v>784</v>
      </c>
      <c r="BH26" s="210" t="s">
        <v>426</v>
      </c>
      <c r="BI26" s="212" t="s">
        <v>426</v>
      </c>
      <c r="BJ26" s="264">
        <v>17225780000</v>
      </c>
      <c r="BK26" s="264">
        <v>0</v>
      </c>
      <c r="BL26" s="264">
        <v>0</v>
      </c>
      <c r="BM26" s="264">
        <f t="shared" si="19"/>
        <v>17949262.760000002</v>
      </c>
      <c r="BN26" s="264">
        <f t="shared" si="20"/>
        <v>0</v>
      </c>
      <c r="BO26" s="264">
        <f t="shared" si="21"/>
        <v>0</v>
      </c>
      <c r="BY26" s="210" t="s">
        <v>781</v>
      </c>
      <c r="BZ26" s="210" t="s">
        <v>782</v>
      </c>
      <c r="CA26" s="210" t="s">
        <v>426</v>
      </c>
      <c r="CB26" s="210" t="s">
        <v>426</v>
      </c>
      <c r="CC26" s="212" t="s">
        <v>513</v>
      </c>
      <c r="CD26" s="211">
        <v>46597979500</v>
      </c>
      <c r="CE26" s="211">
        <v>0</v>
      </c>
      <c r="CF26" s="211">
        <v>0</v>
      </c>
      <c r="CG26" s="211">
        <f t="shared" si="23"/>
        <v>48555094.638999999</v>
      </c>
      <c r="CH26" s="211">
        <f t="shared" si="24"/>
        <v>0</v>
      </c>
      <c r="CI26" s="211">
        <f t="shared" si="25"/>
        <v>0</v>
      </c>
      <c r="CR26" s="212" t="s">
        <v>779</v>
      </c>
      <c r="CS26" s="212" t="s">
        <v>780</v>
      </c>
      <c r="CT26" s="212" t="s">
        <v>426</v>
      </c>
      <c r="CU26" s="212" t="s">
        <v>426</v>
      </c>
      <c r="CV26" s="211">
        <v>33586656500</v>
      </c>
      <c r="CW26" s="211">
        <v>0</v>
      </c>
      <c r="CX26" s="211">
        <v>0</v>
      </c>
      <c r="CY26" s="211">
        <f t="shared" si="27"/>
        <v>34997296.072999999</v>
      </c>
      <c r="CZ26" s="211">
        <f t="shared" si="28"/>
        <v>0</v>
      </c>
      <c r="DA26" s="211">
        <f t="shared" si="29"/>
        <v>0</v>
      </c>
      <c r="DK26" s="210" t="s">
        <v>779</v>
      </c>
      <c r="DL26" s="212" t="s">
        <v>780</v>
      </c>
      <c r="DM26" s="210" t="s">
        <v>426</v>
      </c>
      <c r="DN26" s="212" t="s">
        <v>426</v>
      </c>
      <c r="DO26" s="211">
        <v>33586656500</v>
      </c>
      <c r="DP26" s="211">
        <v>0</v>
      </c>
      <c r="DQ26" s="211">
        <v>0</v>
      </c>
      <c r="DR26" s="211">
        <f t="shared" si="31"/>
        <v>34997296.072999999</v>
      </c>
      <c r="DS26" s="211">
        <f t="shared" si="32"/>
        <v>0</v>
      </c>
      <c r="DT26" s="211">
        <f t="shared" si="33"/>
        <v>0</v>
      </c>
      <c r="EE26" s="210" t="s">
        <v>779</v>
      </c>
      <c r="EF26" s="212" t="s">
        <v>780</v>
      </c>
      <c r="EG26" s="212" t="s">
        <v>426</v>
      </c>
      <c r="EH26" s="212" t="s">
        <v>426</v>
      </c>
      <c r="EI26" s="211">
        <v>33568839740</v>
      </c>
      <c r="EJ26" s="211">
        <v>0</v>
      </c>
      <c r="EK26" s="211">
        <v>0</v>
      </c>
      <c r="EL26" s="258">
        <f t="shared" si="35"/>
        <v>34978731.00908</v>
      </c>
      <c r="EM26" s="258">
        <f t="shared" si="36"/>
        <v>0</v>
      </c>
      <c r="EN26" s="258">
        <f t="shared" si="37"/>
        <v>0</v>
      </c>
      <c r="EV26" s="257"/>
      <c r="EY26" s="210" t="s">
        <v>779</v>
      </c>
      <c r="EZ26" s="212" t="s">
        <v>780</v>
      </c>
      <c r="FA26" s="212" t="s">
        <v>426</v>
      </c>
      <c r="FB26" s="212" t="s">
        <v>426</v>
      </c>
      <c r="FC26" s="211">
        <v>33568839740</v>
      </c>
      <c r="FD26" s="211">
        <v>0</v>
      </c>
      <c r="FE26" s="211">
        <v>0</v>
      </c>
      <c r="FF26" s="257">
        <f t="shared" si="39"/>
        <v>33568839.740000002</v>
      </c>
      <c r="FG26" s="257">
        <f t="shared" si="40"/>
        <v>0</v>
      </c>
      <c r="FH26" s="257">
        <f t="shared" si="41"/>
        <v>0</v>
      </c>
      <c r="FR26" s="262" t="s">
        <v>779</v>
      </c>
      <c r="FS26" s="204" t="s">
        <v>780</v>
      </c>
      <c r="FT26" s="204" t="s">
        <v>426</v>
      </c>
      <c r="FU26" s="204" t="s">
        <v>426</v>
      </c>
      <c r="FV26" s="257">
        <v>33568839740</v>
      </c>
      <c r="FW26" s="257">
        <v>0</v>
      </c>
      <c r="FX26" s="257">
        <v>0</v>
      </c>
      <c r="FY26" s="226">
        <f t="shared" si="43"/>
        <v>33568839.740000002</v>
      </c>
      <c r="FZ26" s="226">
        <f t="shared" si="44"/>
        <v>0</v>
      </c>
      <c r="GA26" s="226">
        <f t="shared" si="45"/>
        <v>0</v>
      </c>
      <c r="GK26" s="204" t="s">
        <v>429</v>
      </c>
      <c r="GL26" s="204" t="s">
        <v>140</v>
      </c>
      <c r="GM26" s="204" t="s">
        <v>426</v>
      </c>
      <c r="GN26" s="204" t="s">
        <v>426</v>
      </c>
      <c r="GO26" s="257">
        <v>0</v>
      </c>
      <c r="GP26" s="257">
        <v>6435884757</v>
      </c>
      <c r="GQ26" s="257">
        <v>4449614247</v>
      </c>
      <c r="GR26" s="257">
        <f t="shared" si="47"/>
        <v>0</v>
      </c>
      <c r="GS26" s="257">
        <f t="shared" si="48"/>
        <v>6435884.7570000002</v>
      </c>
      <c r="GT26" s="257">
        <f t="shared" si="49"/>
        <v>4449614.2470000004</v>
      </c>
      <c r="HC26" s="204" t="s">
        <v>429</v>
      </c>
      <c r="HD26" s="204" t="s">
        <v>140</v>
      </c>
      <c r="HE26" s="204" t="s">
        <v>426</v>
      </c>
      <c r="HF26" s="204" t="s">
        <v>426</v>
      </c>
      <c r="HG26" s="225">
        <v>0</v>
      </c>
      <c r="HH26" s="225">
        <v>6435884757</v>
      </c>
      <c r="HI26" s="225">
        <v>6435884757</v>
      </c>
      <c r="HJ26" s="225">
        <f t="shared" si="51"/>
        <v>0</v>
      </c>
      <c r="HK26" s="225">
        <f t="shared" si="52"/>
        <v>6435884.7570000002</v>
      </c>
      <c r="HL26" s="225">
        <f t="shared" si="53"/>
        <v>6435884.7570000002</v>
      </c>
    </row>
    <row r="27" spans="1:220" ht="15" customHeight="1" x14ac:dyDescent="0.2">
      <c r="A27" s="210" t="s">
        <v>791</v>
      </c>
      <c r="B27" s="212" t="s">
        <v>792</v>
      </c>
      <c r="C27" s="210" t="s">
        <v>426</v>
      </c>
      <c r="D27" s="212" t="s">
        <v>426</v>
      </c>
      <c r="E27" s="211">
        <v>2690153131</v>
      </c>
      <c r="F27" s="211">
        <v>0</v>
      </c>
      <c r="G27" s="211">
        <v>0</v>
      </c>
      <c r="H27" s="211">
        <f t="shared" si="7"/>
        <v>2803139.562502</v>
      </c>
      <c r="I27" s="211">
        <f t="shared" si="8"/>
        <v>0</v>
      </c>
      <c r="J27" s="211">
        <f t="shared" si="9"/>
        <v>0</v>
      </c>
      <c r="T27" s="292" t="s">
        <v>787</v>
      </c>
      <c r="U27" s="293" t="s">
        <v>788</v>
      </c>
      <c r="V27" s="292" t="s">
        <v>426</v>
      </c>
      <c r="W27" s="293" t="s">
        <v>426</v>
      </c>
      <c r="X27" s="294">
        <v>7099380194</v>
      </c>
      <c r="Y27" s="294">
        <v>0</v>
      </c>
      <c r="Z27" s="294">
        <v>0</v>
      </c>
      <c r="AA27" s="258">
        <f t="shared" si="11"/>
        <v>7397554.1621480007</v>
      </c>
      <c r="AB27" s="258">
        <f t="shared" si="12"/>
        <v>0</v>
      </c>
      <c r="AC27" s="258">
        <f t="shared" si="13"/>
        <v>0</v>
      </c>
      <c r="AM27" s="212" t="s">
        <v>783</v>
      </c>
      <c r="AN27" s="212" t="s">
        <v>784</v>
      </c>
      <c r="AO27" s="212" t="s">
        <v>426</v>
      </c>
      <c r="AP27" s="212" t="s">
        <v>426</v>
      </c>
      <c r="AQ27" s="212" t="s">
        <v>513</v>
      </c>
      <c r="AR27" s="295">
        <v>0</v>
      </c>
      <c r="AS27" s="295">
        <v>10553181989</v>
      </c>
      <c r="AT27" s="295">
        <v>5276591011</v>
      </c>
      <c r="AU27" s="295">
        <f t="shared" si="15"/>
        <v>0</v>
      </c>
      <c r="AV27" s="295">
        <f t="shared" si="16"/>
        <v>10996415.632538</v>
      </c>
      <c r="AW27" s="295">
        <f t="shared" si="17"/>
        <v>5498207.8334619999</v>
      </c>
      <c r="BF27" s="263" t="s">
        <v>783</v>
      </c>
      <c r="BG27" s="296" t="s">
        <v>784</v>
      </c>
      <c r="BH27" s="210" t="s">
        <v>426</v>
      </c>
      <c r="BI27" s="212" t="s">
        <v>426</v>
      </c>
      <c r="BJ27" s="264">
        <v>0</v>
      </c>
      <c r="BK27" s="264">
        <v>10553181989</v>
      </c>
      <c r="BL27" s="264">
        <v>10123545263</v>
      </c>
      <c r="BM27" s="264">
        <f t="shared" si="19"/>
        <v>0</v>
      </c>
      <c r="BN27" s="264">
        <f t="shared" si="20"/>
        <v>10996415.632538</v>
      </c>
      <c r="BO27" s="264">
        <f t="shared" si="21"/>
        <v>10548734.164046001</v>
      </c>
      <c r="BY27" s="210" t="s">
        <v>781</v>
      </c>
      <c r="BZ27" s="210" t="s">
        <v>782</v>
      </c>
      <c r="CA27" s="210" t="s">
        <v>426</v>
      </c>
      <c r="CB27" s="210" t="s">
        <v>426</v>
      </c>
      <c r="CC27" s="212" t="s">
        <v>513</v>
      </c>
      <c r="CD27" s="211">
        <v>0</v>
      </c>
      <c r="CE27" s="211">
        <v>33359951336</v>
      </c>
      <c r="CF27" s="211">
        <v>31822887542</v>
      </c>
      <c r="CG27" s="211">
        <f t="shared" si="23"/>
        <v>0</v>
      </c>
      <c r="CH27" s="211">
        <f t="shared" si="24"/>
        <v>34761069.292112</v>
      </c>
      <c r="CI27" s="211">
        <f t="shared" si="25"/>
        <v>33159448.818764001</v>
      </c>
      <c r="CR27" s="212" t="s">
        <v>779</v>
      </c>
      <c r="CS27" s="212" t="s">
        <v>780</v>
      </c>
      <c r="CT27" s="212" t="s">
        <v>426</v>
      </c>
      <c r="CU27" s="212" t="s">
        <v>426</v>
      </c>
      <c r="CV27" s="211">
        <v>0</v>
      </c>
      <c r="CW27" s="211">
        <v>737067744</v>
      </c>
      <c r="CX27" s="211">
        <v>737067744</v>
      </c>
      <c r="CY27" s="211">
        <f t="shared" si="27"/>
        <v>0</v>
      </c>
      <c r="CZ27" s="211">
        <f t="shared" si="28"/>
        <v>768024.58924799995</v>
      </c>
      <c r="DA27" s="211">
        <f t="shared" si="29"/>
        <v>768024.58924799995</v>
      </c>
      <c r="DK27" s="210" t="s">
        <v>779</v>
      </c>
      <c r="DL27" s="212" t="s">
        <v>780</v>
      </c>
      <c r="DM27" s="210" t="s">
        <v>426</v>
      </c>
      <c r="DN27" s="212" t="s">
        <v>426</v>
      </c>
      <c r="DO27" s="211">
        <v>0</v>
      </c>
      <c r="DP27" s="211">
        <v>6185167081</v>
      </c>
      <c r="DQ27" s="211">
        <v>4169936251</v>
      </c>
      <c r="DR27" s="211">
        <f t="shared" si="31"/>
        <v>0</v>
      </c>
      <c r="DS27" s="211">
        <f t="shared" si="32"/>
        <v>6444944.098402</v>
      </c>
      <c r="DT27" s="211">
        <f t="shared" si="33"/>
        <v>4345073.5735420007</v>
      </c>
      <c r="EE27" s="210" t="s">
        <v>779</v>
      </c>
      <c r="EF27" s="212" t="s">
        <v>780</v>
      </c>
      <c r="EG27" s="212" t="s">
        <v>426</v>
      </c>
      <c r="EH27" s="212" t="s">
        <v>426</v>
      </c>
      <c r="EI27" s="211">
        <v>0</v>
      </c>
      <c r="EJ27" s="211">
        <v>9137567567</v>
      </c>
      <c r="EK27" s="211">
        <v>8278953262</v>
      </c>
      <c r="EL27" s="258">
        <f t="shared" si="35"/>
        <v>0</v>
      </c>
      <c r="EM27" s="258">
        <f t="shared" si="36"/>
        <v>9521345.4048139993</v>
      </c>
      <c r="EN27" s="258">
        <f t="shared" si="37"/>
        <v>8626669.2990039997</v>
      </c>
      <c r="EV27" s="257"/>
      <c r="EY27" s="210" t="s">
        <v>779</v>
      </c>
      <c r="EZ27" s="212" t="s">
        <v>780</v>
      </c>
      <c r="FA27" s="212" t="s">
        <v>426</v>
      </c>
      <c r="FB27" s="212" t="s">
        <v>426</v>
      </c>
      <c r="FC27" s="211">
        <v>0</v>
      </c>
      <c r="FD27" s="211">
        <v>12385267997</v>
      </c>
      <c r="FE27" s="211">
        <v>13082777365</v>
      </c>
      <c r="FF27" s="257">
        <f t="shared" si="39"/>
        <v>0</v>
      </c>
      <c r="FG27" s="257">
        <f t="shared" si="40"/>
        <v>12385267.997</v>
      </c>
      <c r="FH27" s="257">
        <f t="shared" si="41"/>
        <v>13082777.365</v>
      </c>
      <c r="FR27" s="262" t="s">
        <v>779</v>
      </c>
      <c r="FS27" s="204" t="s">
        <v>780</v>
      </c>
      <c r="FT27" s="204" t="s">
        <v>426</v>
      </c>
      <c r="FU27" s="204" t="s">
        <v>426</v>
      </c>
      <c r="FV27" s="257">
        <v>0</v>
      </c>
      <c r="FW27" s="257">
        <v>16784790981</v>
      </c>
      <c r="FX27" s="257">
        <v>16241764938</v>
      </c>
      <c r="FY27" s="226">
        <f t="shared" si="43"/>
        <v>0</v>
      </c>
      <c r="FZ27" s="226">
        <f t="shared" si="44"/>
        <v>16784790.980999999</v>
      </c>
      <c r="GA27" s="226">
        <f t="shared" si="45"/>
        <v>16241764.937999999</v>
      </c>
      <c r="GK27" s="204" t="s">
        <v>779</v>
      </c>
      <c r="GL27" s="204" t="s">
        <v>780</v>
      </c>
      <c r="GM27" s="204" t="s">
        <v>426</v>
      </c>
      <c r="GN27" s="204" t="s">
        <v>426</v>
      </c>
      <c r="GO27" s="257">
        <v>34268839740</v>
      </c>
      <c r="GP27" s="257">
        <v>0</v>
      </c>
      <c r="GQ27" s="257">
        <v>0</v>
      </c>
      <c r="GR27" s="257">
        <f t="shared" si="47"/>
        <v>34268839.740000002</v>
      </c>
      <c r="GS27" s="257">
        <f t="shared" si="48"/>
        <v>0</v>
      </c>
      <c r="GT27" s="257">
        <f t="shared" si="49"/>
        <v>0</v>
      </c>
      <c r="HC27" s="204" t="s">
        <v>779</v>
      </c>
      <c r="HD27" s="204" t="s">
        <v>780</v>
      </c>
      <c r="HE27" s="204" t="s">
        <v>426</v>
      </c>
      <c r="HF27" s="204" t="s">
        <v>426</v>
      </c>
      <c r="HG27" s="225">
        <v>34254412718</v>
      </c>
      <c r="HH27" s="225">
        <v>0</v>
      </c>
      <c r="HI27" s="225">
        <v>0</v>
      </c>
      <c r="HJ27" s="225">
        <f t="shared" si="51"/>
        <v>34254412.718000002</v>
      </c>
      <c r="HK27" s="225">
        <f t="shared" si="52"/>
        <v>0</v>
      </c>
      <c r="HL27" s="225">
        <f t="shared" si="53"/>
        <v>0</v>
      </c>
    </row>
    <row r="28" spans="1:220" ht="15" customHeight="1" x14ac:dyDescent="0.2">
      <c r="A28" s="210" t="s">
        <v>793</v>
      </c>
      <c r="B28" s="212" t="s">
        <v>794</v>
      </c>
      <c r="C28" s="210" t="s">
        <v>426</v>
      </c>
      <c r="D28" s="212" t="s">
        <v>426</v>
      </c>
      <c r="E28" s="211">
        <v>1767372802</v>
      </c>
      <c r="F28" s="211">
        <v>0</v>
      </c>
      <c r="G28" s="211">
        <v>0</v>
      </c>
      <c r="H28" s="211">
        <f t="shared" si="7"/>
        <v>1841602.4596839999</v>
      </c>
      <c r="I28" s="211">
        <f t="shared" si="8"/>
        <v>0</v>
      </c>
      <c r="J28" s="211">
        <f t="shared" si="9"/>
        <v>0</v>
      </c>
      <c r="T28" s="292" t="s">
        <v>787</v>
      </c>
      <c r="U28" s="293" t="s">
        <v>788</v>
      </c>
      <c r="V28" s="292" t="s">
        <v>426</v>
      </c>
      <c r="W28" s="293" t="s">
        <v>426</v>
      </c>
      <c r="X28" s="294">
        <v>0</v>
      </c>
      <c r="Y28" s="294">
        <v>124417500</v>
      </c>
      <c r="Z28" s="294">
        <v>124417500</v>
      </c>
      <c r="AA28" s="258">
        <f t="shared" si="11"/>
        <v>0</v>
      </c>
      <c r="AB28" s="258">
        <f t="shared" si="12"/>
        <v>129643.035</v>
      </c>
      <c r="AC28" s="258">
        <f t="shared" si="13"/>
        <v>129643.035</v>
      </c>
      <c r="AM28" s="212" t="s">
        <v>785</v>
      </c>
      <c r="AN28" s="212" t="s">
        <v>786</v>
      </c>
      <c r="AO28" s="212" t="s">
        <v>426</v>
      </c>
      <c r="AP28" s="212" t="s">
        <v>426</v>
      </c>
      <c r="AQ28" s="212" t="s">
        <v>513</v>
      </c>
      <c r="AR28" s="295">
        <v>551011000</v>
      </c>
      <c r="AS28" s="295">
        <v>0</v>
      </c>
      <c r="AT28" s="295">
        <v>0</v>
      </c>
      <c r="AU28" s="295">
        <f t="shared" si="15"/>
        <v>574153.46200000006</v>
      </c>
      <c r="AV28" s="295">
        <f t="shared" si="16"/>
        <v>0</v>
      </c>
      <c r="AW28" s="295">
        <f t="shared" si="17"/>
        <v>0</v>
      </c>
      <c r="BF28" s="263" t="s">
        <v>785</v>
      </c>
      <c r="BG28" s="296" t="s">
        <v>786</v>
      </c>
      <c r="BH28" s="210" t="s">
        <v>426</v>
      </c>
      <c r="BI28" s="212" t="s">
        <v>426</v>
      </c>
      <c r="BJ28" s="264">
        <v>551011000</v>
      </c>
      <c r="BK28" s="264">
        <v>0</v>
      </c>
      <c r="BL28" s="264">
        <v>0</v>
      </c>
      <c r="BM28" s="264">
        <f t="shared" si="19"/>
        <v>574153.46200000006</v>
      </c>
      <c r="BN28" s="264">
        <f t="shared" si="20"/>
        <v>0</v>
      </c>
      <c r="BO28" s="264">
        <f t="shared" si="21"/>
        <v>0</v>
      </c>
      <c r="BY28" s="210" t="s">
        <v>783</v>
      </c>
      <c r="BZ28" s="210" t="s">
        <v>784</v>
      </c>
      <c r="CA28" s="210" t="s">
        <v>426</v>
      </c>
      <c r="CB28" s="210" t="s">
        <v>426</v>
      </c>
      <c r="CC28" s="212" t="s">
        <v>513</v>
      </c>
      <c r="CD28" s="211">
        <v>17225780000</v>
      </c>
      <c r="CE28" s="211">
        <v>0</v>
      </c>
      <c r="CF28" s="211">
        <v>0</v>
      </c>
      <c r="CG28" s="211">
        <f t="shared" si="23"/>
        <v>17949262.760000002</v>
      </c>
      <c r="CH28" s="211">
        <f t="shared" si="24"/>
        <v>0</v>
      </c>
      <c r="CI28" s="211">
        <f t="shared" si="25"/>
        <v>0</v>
      </c>
      <c r="CR28" s="212" t="s">
        <v>781</v>
      </c>
      <c r="CS28" s="212" t="s">
        <v>782</v>
      </c>
      <c r="CT28" s="212" t="s">
        <v>426</v>
      </c>
      <c r="CU28" s="212" t="s">
        <v>426</v>
      </c>
      <c r="CV28" s="211">
        <v>45632329002</v>
      </c>
      <c r="CW28" s="211">
        <v>0</v>
      </c>
      <c r="CX28" s="211">
        <v>0</v>
      </c>
      <c r="CY28" s="211">
        <f t="shared" si="27"/>
        <v>47548886.820083998</v>
      </c>
      <c r="CZ28" s="211">
        <f t="shared" si="28"/>
        <v>0</v>
      </c>
      <c r="DA28" s="211">
        <f t="shared" si="29"/>
        <v>0</v>
      </c>
      <c r="DK28" s="210" t="s">
        <v>781</v>
      </c>
      <c r="DL28" s="212" t="s">
        <v>782</v>
      </c>
      <c r="DM28" s="210" t="s">
        <v>426</v>
      </c>
      <c r="DN28" s="212" t="s">
        <v>426</v>
      </c>
      <c r="DO28" s="211">
        <v>51142616002</v>
      </c>
      <c r="DP28" s="211">
        <v>0</v>
      </c>
      <c r="DQ28" s="211">
        <v>0</v>
      </c>
      <c r="DR28" s="211">
        <f t="shared" si="31"/>
        <v>53290605.874083996</v>
      </c>
      <c r="DS28" s="211">
        <f t="shared" si="32"/>
        <v>0</v>
      </c>
      <c r="DT28" s="211">
        <f t="shared" si="33"/>
        <v>0</v>
      </c>
      <c r="EE28" s="210" t="s">
        <v>781</v>
      </c>
      <c r="EF28" s="212" t="s">
        <v>782</v>
      </c>
      <c r="EG28" s="212" t="s">
        <v>426</v>
      </c>
      <c r="EH28" s="212" t="s">
        <v>426</v>
      </c>
      <c r="EI28" s="211">
        <v>66672148002</v>
      </c>
      <c r="EJ28" s="211">
        <v>0</v>
      </c>
      <c r="EK28" s="211">
        <v>0</v>
      </c>
      <c r="EL28" s="258">
        <f t="shared" si="35"/>
        <v>69472378.218083993</v>
      </c>
      <c r="EM28" s="258">
        <f t="shared" si="36"/>
        <v>0</v>
      </c>
      <c r="EN28" s="258">
        <f t="shared" si="37"/>
        <v>0</v>
      </c>
      <c r="EV28" s="257"/>
      <c r="EY28" s="210" t="s">
        <v>781</v>
      </c>
      <c r="EZ28" s="212" t="s">
        <v>782</v>
      </c>
      <c r="FA28" s="212" t="s">
        <v>426</v>
      </c>
      <c r="FB28" s="212" t="s">
        <v>426</v>
      </c>
      <c r="FC28" s="211">
        <v>66457818004</v>
      </c>
      <c r="FD28" s="211">
        <v>0</v>
      </c>
      <c r="FE28" s="211">
        <v>0</v>
      </c>
      <c r="FF28" s="257">
        <f t="shared" si="39"/>
        <v>66457818.004000001</v>
      </c>
      <c r="FG28" s="257">
        <f t="shared" si="40"/>
        <v>0</v>
      </c>
      <c r="FH28" s="257">
        <f t="shared" si="41"/>
        <v>0</v>
      </c>
      <c r="FR28" s="262" t="s">
        <v>781</v>
      </c>
      <c r="FS28" s="204" t="s">
        <v>782</v>
      </c>
      <c r="FT28" s="204" t="s">
        <v>426</v>
      </c>
      <c r="FU28" s="204" t="s">
        <v>426</v>
      </c>
      <c r="FV28" s="257">
        <v>66457818004</v>
      </c>
      <c r="FW28" s="257">
        <v>0</v>
      </c>
      <c r="FX28" s="257">
        <v>0</v>
      </c>
      <c r="FY28" s="226">
        <f t="shared" si="43"/>
        <v>66457818.004000001</v>
      </c>
      <c r="FZ28" s="226">
        <f t="shared" si="44"/>
        <v>0</v>
      </c>
      <c r="GA28" s="226">
        <f t="shared" si="45"/>
        <v>0</v>
      </c>
      <c r="GK28" s="204" t="s">
        <v>779</v>
      </c>
      <c r="GL28" s="204" t="s">
        <v>780</v>
      </c>
      <c r="GM28" s="204" t="s">
        <v>426</v>
      </c>
      <c r="GN28" s="204" t="s">
        <v>426</v>
      </c>
      <c r="GO28" s="257">
        <v>0</v>
      </c>
      <c r="GP28" s="257">
        <v>32733593823</v>
      </c>
      <c r="GQ28" s="257">
        <v>24484513447</v>
      </c>
      <c r="GR28" s="257">
        <f t="shared" si="47"/>
        <v>0</v>
      </c>
      <c r="GS28" s="257">
        <f t="shared" si="48"/>
        <v>32733593.822999999</v>
      </c>
      <c r="GT28" s="257">
        <f t="shared" si="49"/>
        <v>24484513.447000001</v>
      </c>
      <c r="HC28" s="204" t="s">
        <v>779</v>
      </c>
      <c r="HD28" s="204" t="s">
        <v>780</v>
      </c>
      <c r="HE28" s="204" t="s">
        <v>426</v>
      </c>
      <c r="HF28" s="204" t="s">
        <v>426</v>
      </c>
      <c r="HG28" s="225">
        <v>0</v>
      </c>
      <c r="HH28" s="225">
        <v>34241842378</v>
      </c>
      <c r="HI28" s="225">
        <v>34254412718</v>
      </c>
      <c r="HJ28" s="225">
        <f t="shared" si="51"/>
        <v>0</v>
      </c>
      <c r="HK28" s="225">
        <f t="shared" si="52"/>
        <v>34241842.377999999</v>
      </c>
      <c r="HL28" s="225">
        <f t="shared" si="53"/>
        <v>34254412.718000002</v>
      </c>
    </row>
    <row r="29" spans="1:220" ht="15" customHeight="1" x14ac:dyDescent="0.2">
      <c r="A29" s="210" t="s">
        <v>795</v>
      </c>
      <c r="B29" s="212" t="s">
        <v>796</v>
      </c>
      <c r="C29" s="210" t="s">
        <v>426</v>
      </c>
      <c r="D29" s="212" t="s">
        <v>426</v>
      </c>
      <c r="E29" s="211">
        <v>20808775000</v>
      </c>
      <c r="F29" s="211">
        <v>0</v>
      </c>
      <c r="G29" s="211">
        <v>0</v>
      </c>
      <c r="H29" s="211">
        <f t="shared" si="7"/>
        <v>21682743.550000001</v>
      </c>
      <c r="I29" s="211">
        <f t="shared" si="8"/>
        <v>0</v>
      </c>
      <c r="J29" s="211">
        <f t="shared" si="9"/>
        <v>0</v>
      </c>
      <c r="T29" s="292" t="s">
        <v>789</v>
      </c>
      <c r="U29" s="293" t="s">
        <v>790</v>
      </c>
      <c r="V29" s="292" t="s">
        <v>426</v>
      </c>
      <c r="W29" s="293" t="s">
        <v>426</v>
      </c>
      <c r="X29" s="294">
        <v>3167999214</v>
      </c>
      <c r="Y29" s="294">
        <v>0</v>
      </c>
      <c r="Z29" s="294">
        <v>0</v>
      </c>
      <c r="AA29" s="258">
        <f t="shared" si="11"/>
        <v>3301055.1809880002</v>
      </c>
      <c r="AB29" s="258">
        <f t="shared" si="12"/>
        <v>0</v>
      </c>
      <c r="AC29" s="258">
        <f t="shared" si="13"/>
        <v>0</v>
      </c>
      <c r="AM29" s="212" t="s">
        <v>785</v>
      </c>
      <c r="AN29" s="212" t="s">
        <v>786</v>
      </c>
      <c r="AO29" s="212" t="s">
        <v>426</v>
      </c>
      <c r="AP29" s="212" t="s">
        <v>426</v>
      </c>
      <c r="AQ29" s="212" t="s">
        <v>513</v>
      </c>
      <c r="AR29" s="295">
        <v>0</v>
      </c>
      <c r="AS29" s="295">
        <v>74436520</v>
      </c>
      <c r="AT29" s="295">
        <v>74436520</v>
      </c>
      <c r="AU29" s="295">
        <f t="shared" si="15"/>
        <v>0</v>
      </c>
      <c r="AV29" s="295">
        <f t="shared" si="16"/>
        <v>77562.853840000011</v>
      </c>
      <c r="AW29" s="295">
        <f t="shared" si="17"/>
        <v>77562.853840000011</v>
      </c>
      <c r="BF29" s="263" t="s">
        <v>785</v>
      </c>
      <c r="BG29" s="296" t="s">
        <v>786</v>
      </c>
      <c r="BH29" s="210" t="s">
        <v>426</v>
      </c>
      <c r="BI29" s="212" t="s">
        <v>426</v>
      </c>
      <c r="BJ29" s="264">
        <v>0</v>
      </c>
      <c r="BK29" s="264">
        <v>298932150</v>
      </c>
      <c r="BL29" s="264">
        <v>224006031</v>
      </c>
      <c r="BM29" s="264">
        <f t="shared" si="19"/>
        <v>0</v>
      </c>
      <c r="BN29" s="264">
        <f t="shared" si="20"/>
        <v>311487.30030000006</v>
      </c>
      <c r="BO29" s="264">
        <f t="shared" si="21"/>
        <v>233414.28430199999</v>
      </c>
      <c r="BY29" s="210" t="s">
        <v>783</v>
      </c>
      <c r="BZ29" s="210" t="s">
        <v>784</v>
      </c>
      <c r="CA29" s="210" t="s">
        <v>426</v>
      </c>
      <c r="CB29" s="210" t="s">
        <v>426</v>
      </c>
      <c r="CC29" s="212" t="s">
        <v>513</v>
      </c>
      <c r="CD29" s="211">
        <v>0</v>
      </c>
      <c r="CE29" s="211">
        <v>10553181989</v>
      </c>
      <c r="CF29" s="211">
        <v>10332464544</v>
      </c>
      <c r="CG29" s="211">
        <f t="shared" si="23"/>
        <v>0</v>
      </c>
      <c r="CH29" s="211">
        <f t="shared" si="24"/>
        <v>10996415.632538</v>
      </c>
      <c r="CI29" s="211">
        <f t="shared" si="25"/>
        <v>10766428.054848</v>
      </c>
      <c r="CR29" s="212" t="s">
        <v>781</v>
      </c>
      <c r="CS29" s="212" t="s">
        <v>782</v>
      </c>
      <c r="CT29" s="212" t="s">
        <v>426</v>
      </c>
      <c r="CU29" s="212" t="s">
        <v>426</v>
      </c>
      <c r="CV29" s="211">
        <v>0</v>
      </c>
      <c r="CW29" s="211">
        <v>36703599818</v>
      </c>
      <c r="CX29" s="211">
        <v>35396185044</v>
      </c>
      <c r="CY29" s="211">
        <f t="shared" si="27"/>
        <v>0</v>
      </c>
      <c r="CZ29" s="211">
        <f t="shared" si="28"/>
        <v>38245151.010356002</v>
      </c>
      <c r="DA29" s="211">
        <f t="shared" si="29"/>
        <v>36882824.815848</v>
      </c>
      <c r="DK29" s="210" t="s">
        <v>781</v>
      </c>
      <c r="DL29" s="212" t="s">
        <v>782</v>
      </c>
      <c r="DM29" s="210" t="s">
        <v>426</v>
      </c>
      <c r="DN29" s="212" t="s">
        <v>426</v>
      </c>
      <c r="DO29" s="211">
        <v>0</v>
      </c>
      <c r="DP29" s="211">
        <v>41344048402</v>
      </c>
      <c r="DQ29" s="211">
        <v>39013609884</v>
      </c>
      <c r="DR29" s="211">
        <f t="shared" si="31"/>
        <v>0</v>
      </c>
      <c r="DS29" s="211">
        <f t="shared" si="32"/>
        <v>43080498.434884004</v>
      </c>
      <c r="DT29" s="211">
        <f t="shared" si="33"/>
        <v>40652181.499128006</v>
      </c>
      <c r="EE29" s="210" t="s">
        <v>781</v>
      </c>
      <c r="EF29" s="212" t="s">
        <v>782</v>
      </c>
      <c r="EG29" s="212" t="s">
        <v>426</v>
      </c>
      <c r="EH29" s="212" t="s">
        <v>426</v>
      </c>
      <c r="EI29" s="211">
        <v>0</v>
      </c>
      <c r="EJ29" s="211">
        <v>45062044677</v>
      </c>
      <c r="EK29" s="211">
        <v>43502654889</v>
      </c>
      <c r="EL29" s="258">
        <f t="shared" si="35"/>
        <v>0</v>
      </c>
      <c r="EM29" s="258">
        <f t="shared" si="36"/>
        <v>46954650.553433999</v>
      </c>
      <c r="EN29" s="258">
        <f t="shared" si="37"/>
        <v>45329766.394337997</v>
      </c>
      <c r="EV29" s="257"/>
      <c r="EY29" s="210" t="s">
        <v>781</v>
      </c>
      <c r="EZ29" s="212" t="s">
        <v>782</v>
      </c>
      <c r="FA29" s="212" t="s">
        <v>426</v>
      </c>
      <c r="FB29" s="212" t="s">
        <v>426</v>
      </c>
      <c r="FC29" s="211">
        <v>0</v>
      </c>
      <c r="FD29" s="211">
        <v>51896771939</v>
      </c>
      <c r="FE29" s="211">
        <v>57358905693</v>
      </c>
      <c r="FF29" s="257">
        <f t="shared" si="39"/>
        <v>0</v>
      </c>
      <c r="FG29" s="257">
        <f t="shared" si="40"/>
        <v>51896771.939000003</v>
      </c>
      <c r="FH29" s="257">
        <f t="shared" si="41"/>
        <v>57358905.693000004</v>
      </c>
      <c r="FR29" s="262" t="s">
        <v>781</v>
      </c>
      <c r="FS29" s="204" t="s">
        <v>782</v>
      </c>
      <c r="FT29" s="204" t="s">
        <v>426</v>
      </c>
      <c r="FU29" s="204" t="s">
        <v>426</v>
      </c>
      <c r="FV29" s="257">
        <v>0</v>
      </c>
      <c r="FW29" s="257">
        <v>64475514672</v>
      </c>
      <c r="FX29" s="257">
        <v>62518009650</v>
      </c>
      <c r="FY29" s="226">
        <f t="shared" si="43"/>
        <v>0</v>
      </c>
      <c r="FZ29" s="226">
        <f t="shared" si="44"/>
        <v>64475514.671999998</v>
      </c>
      <c r="GA29" s="226">
        <f t="shared" si="45"/>
        <v>62518009.649999999</v>
      </c>
      <c r="GK29" s="204" t="s">
        <v>781</v>
      </c>
      <c r="GL29" s="204" t="s">
        <v>782</v>
      </c>
      <c r="GM29" s="204" t="s">
        <v>426</v>
      </c>
      <c r="GN29" s="204" t="s">
        <v>426</v>
      </c>
      <c r="GO29" s="257">
        <v>65757818004</v>
      </c>
      <c r="GP29" s="257">
        <v>0</v>
      </c>
      <c r="GQ29" s="257">
        <v>0</v>
      </c>
      <c r="GR29" s="257">
        <f t="shared" si="47"/>
        <v>65757818.004000001</v>
      </c>
      <c r="GS29" s="257">
        <f t="shared" si="48"/>
        <v>0</v>
      </c>
      <c r="GT29" s="257">
        <f t="shared" si="49"/>
        <v>0</v>
      </c>
      <c r="HC29" s="204" t="s">
        <v>781</v>
      </c>
      <c r="HD29" s="204" t="s">
        <v>782</v>
      </c>
      <c r="HE29" s="204" t="s">
        <v>426</v>
      </c>
      <c r="HF29" s="204" t="s">
        <v>426</v>
      </c>
      <c r="HG29" s="225">
        <v>66022870992</v>
      </c>
      <c r="HH29" s="225">
        <v>0</v>
      </c>
      <c r="HI29" s="225">
        <v>0</v>
      </c>
      <c r="HJ29" s="225">
        <f t="shared" si="51"/>
        <v>66022870.991999999</v>
      </c>
      <c r="HK29" s="225">
        <f t="shared" si="52"/>
        <v>0</v>
      </c>
      <c r="HL29" s="225">
        <f t="shared" si="53"/>
        <v>0</v>
      </c>
    </row>
    <row r="30" spans="1:220" ht="15" customHeight="1" x14ac:dyDescent="0.2">
      <c r="A30" s="210" t="s">
        <v>797</v>
      </c>
      <c r="B30" s="212" t="s">
        <v>798</v>
      </c>
      <c r="C30" s="210" t="s">
        <v>426</v>
      </c>
      <c r="D30" s="212" t="s">
        <v>426</v>
      </c>
      <c r="E30" s="211">
        <v>21595077658</v>
      </c>
      <c r="F30" s="211">
        <v>0</v>
      </c>
      <c r="G30" s="211">
        <v>0</v>
      </c>
      <c r="H30" s="211">
        <f t="shared" si="7"/>
        <v>22502070.919636</v>
      </c>
      <c r="I30" s="211">
        <f t="shared" si="8"/>
        <v>0</v>
      </c>
      <c r="J30" s="211">
        <f t="shared" si="9"/>
        <v>0</v>
      </c>
      <c r="T30" s="292" t="s">
        <v>791</v>
      </c>
      <c r="U30" s="293" t="s">
        <v>792</v>
      </c>
      <c r="V30" s="292" t="s">
        <v>426</v>
      </c>
      <c r="W30" s="293" t="s">
        <v>426</v>
      </c>
      <c r="X30" s="294">
        <v>2690153131</v>
      </c>
      <c r="Y30" s="294">
        <v>0</v>
      </c>
      <c r="Z30" s="294">
        <v>0</v>
      </c>
      <c r="AA30" s="258">
        <f t="shared" si="11"/>
        <v>2803139.562502</v>
      </c>
      <c r="AB30" s="258">
        <f t="shared" si="12"/>
        <v>0</v>
      </c>
      <c r="AC30" s="258">
        <f t="shared" si="13"/>
        <v>0</v>
      </c>
      <c r="AM30" s="212" t="s">
        <v>787</v>
      </c>
      <c r="AN30" s="212" t="s">
        <v>788</v>
      </c>
      <c r="AO30" s="212" t="s">
        <v>426</v>
      </c>
      <c r="AP30" s="212" t="s">
        <v>426</v>
      </c>
      <c r="AQ30" s="212" t="s">
        <v>513</v>
      </c>
      <c r="AR30" s="295">
        <v>5646832011</v>
      </c>
      <c r="AS30" s="295">
        <v>0</v>
      </c>
      <c r="AT30" s="295">
        <v>0</v>
      </c>
      <c r="AU30" s="295">
        <f t="shared" si="15"/>
        <v>5883998.9554620003</v>
      </c>
      <c r="AV30" s="295">
        <f t="shared" si="16"/>
        <v>0</v>
      </c>
      <c r="AW30" s="295">
        <f t="shared" si="17"/>
        <v>0</v>
      </c>
      <c r="BF30" s="263" t="s">
        <v>787</v>
      </c>
      <c r="BG30" s="296" t="s">
        <v>788</v>
      </c>
      <c r="BH30" s="210" t="s">
        <v>426</v>
      </c>
      <c r="BI30" s="212" t="s">
        <v>426</v>
      </c>
      <c r="BJ30" s="264">
        <v>5646832011</v>
      </c>
      <c r="BK30" s="264">
        <v>0</v>
      </c>
      <c r="BL30" s="264">
        <v>0</v>
      </c>
      <c r="BM30" s="264">
        <f t="shared" si="19"/>
        <v>5883998.9554620003</v>
      </c>
      <c r="BN30" s="264">
        <f t="shared" si="20"/>
        <v>0</v>
      </c>
      <c r="BO30" s="264">
        <f t="shared" si="21"/>
        <v>0</v>
      </c>
      <c r="BY30" s="210" t="s">
        <v>785</v>
      </c>
      <c r="BZ30" s="210" t="s">
        <v>786</v>
      </c>
      <c r="CA30" s="210" t="s">
        <v>426</v>
      </c>
      <c r="CB30" s="210" t="s">
        <v>426</v>
      </c>
      <c r="CC30" s="212" t="s">
        <v>513</v>
      </c>
      <c r="CD30" s="211">
        <v>551011000</v>
      </c>
      <c r="CE30" s="211">
        <v>0</v>
      </c>
      <c r="CF30" s="211">
        <v>0</v>
      </c>
      <c r="CG30" s="211">
        <f t="shared" si="23"/>
        <v>574153.46200000006</v>
      </c>
      <c r="CH30" s="211">
        <f t="shared" si="24"/>
        <v>0</v>
      </c>
      <c r="CI30" s="211">
        <f t="shared" si="25"/>
        <v>0</v>
      </c>
      <c r="CR30" s="212" t="s">
        <v>783</v>
      </c>
      <c r="CS30" s="212" t="s">
        <v>784</v>
      </c>
      <c r="CT30" s="212" t="s">
        <v>426</v>
      </c>
      <c r="CU30" s="212" t="s">
        <v>426</v>
      </c>
      <c r="CV30" s="211">
        <v>18191430498</v>
      </c>
      <c r="CW30" s="211">
        <v>0</v>
      </c>
      <c r="CX30" s="211">
        <v>0</v>
      </c>
      <c r="CY30" s="211">
        <f t="shared" si="27"/>
        <v>18955470.578916002</v>
      </c>
      <c r="CZ30" s="211">
        <f t="shared" si="28"/>
        <v>0</v>
      </c>
      <c r="DA30" s="211">
        <f t="shared" si="29"/>
        <v>0</v>
      </c>
      <c r="DK30" s="210" t="s">
        <v>783</v>
      </c>
      <c r="DL30" s="212" t="s">
        <v>784</v>
      </c>
      <c r="DM30" s="210" t="s">
        <v>426</v>
      </c>
      <c r="DN30" s="212" t="s">
        <v>426</v>
      </c>
      <c r="DO30" s="211">
        <v>18327430498</v>
      </c>
      <c r="DP30" s="211">
        <v>0</v>
      </c>
      <c r="DQ30" s="211">
        <v>0</v>
      </c>
      <c r="DR30" s="211">
        <f t="shared" si="31"/>
        <v>19097182.578916002</v>
      </c>
      <c r="DS30" s="211">
        <f t="shared" si="32"/>
        <v>0</v>
      </c>
      <c r="DT30" s="211">
        <f t="shared" si="33"/>
        <v>0</v>
      </c>
      <c r="EE30" s="210" t="s">
        <v>783</v>
      </c>
      <c r="EF30" s="212" t="s">
        <v>784</v>
      </c>
      <c r="EG30" s="212" t="s">
        <v>426</v>
      </c>
      <c r="EH30" s="212" t="s">
        <v>426</v>
      </c>
      <c r="EI30" s="211">
        <v>18345247258</v>
      </c>
      <c r="EJ30" s="211">
        <v>0</v>
      </c>
      <c r="EK30" s="211">
        <v>0</v>
      </c>
      <c r="EL30" s="258">
        <f t="shared" si="35"/>
        <v>19115747.642836001</v>
      </c>
      <c r="EM30" s="258">
        <f t="shared" si="36"/>
        <v>0</v>
      </c>
      <c r="EN30" s="258">
        <f t="shared" si="37"/>
        <v>0</v>
      </c>
      <c r="EV30" s="257"/>
      <c r="EY30" s="210" t="s">
        <v>783</v>
      </c>
      <c r="EZ30" s="212" t="s">
        <v>784</v>
      </c>
      <c r="FA30" s="212" t="s">
        <v>426</v>
      </c>
      <c r="FB30" s="212" t="s">
        <v>426</v>
      </c>
      <c r="FC30" s="211">
        <v>18345247258</v>
      </c>
      <c r="FD30" s="211">
        <v>0</v>
      </c>
      <c r="FE30" s="211">
        <v>0</v>
      </c>
      <c r="FF30" s="257">
        <f t="shared" si="39"/>
        <v>18345247.258000001</v>
      </c>
      <c r="FG30" s="257">
        <f t="shared" si="40"/>
        <v>0</v>
      </c>
      <c r="FH30" s="257">
        <f t="shared" si="41"/>
        <v>0</v>
      </c>
      <c r="FR30" s="262" t="s">
        <v>783</v>
      </c>
      <c r="FS30" s="204" t="s">
        <v>784</v>
      </c>
      <c r="FT30" s="204" t="s">
        <v>426</v>
      </c>
      <c r="FU30" s="204" t="s">
        <v>426</v>
      </c>
      <c r="FV30" s="257">
        <v>18345247258</v>
      </c>
      <c r="FW30" s="257">
        <v>0</v>
      </c>
      <c r="FX30" s="257">
        <v>0</v>
      </c>
      <c r="FY30" s="226">
        <f t="shared" si="43"/>
        <v>18345247.258000001</v>
      </c>
      <c r="FZ30" s="226">
        <f t="shared" si="44"/>
        <v>0</v>
      </c>
      <c r="GA30" s="226">
        <f t="shared" si="45"/>
        <v>0</v>
      </c>
      <c r="GK30" s="204" t="s">
        <v>781</v>
      </c>
      <c r="GL30" s="204" t="s">
        <v>782</v>
      </c>
      <c r="GM30" s="204" t="s">
        <v>426</v>
      </c>
      <c r="GN30" s="204" t="s">
        <v>426</v>
      </c>
      <c r="GO30" s="257">
        <v>0</v>
      </c>
      <c r="GP30" s="257">
        <v>65066638386</v>
      </c>
      <c r="GQ30" s="257">
        <v>63554571623</v>
      </c>
      <c r="GR30" s="257">
        <f t="shared" si="47"/>
        <v>0</v>
      </c>
      <c r="GS30" s="257">
        <f t="shared" si="48"/>
        <v>65066638.386</v>
      </c>
      <c r="GT30" s="257">
        <f t="shared" si="49"/>
        <v>63554571.623000003</v>
      </c>
      <c r="HC30" s="204" t="s">
        <v>781</v>
      </c>
      <c r="HD30" s="204" t="s">
        <v>782</v>
      </c>
      <c r="HE30" s="204" t="s">
        <v>426</v>
      </c>
      <c r="HF30" s="204" t="s">
        <v>426</v>
      </c>
      <c r="HG30" s="225">
        <v>0</v>
      </c>
      <c r="HH30" s="225">
        <v>65899712336</v>
      </c>
      <c r="HI30" s="225">
        <v>66022870992</v>
      </c>
      <c r="HJ30" s="225">
        <f t="shared" si="51"/>
        <v>0</v>
      </c>
      <c r="HK30" s="225">
        <f t="shared" si="52"/>
        <v>65899712.336000003</v>
      </c>
      <c r="HL30" s="225">
        <f t="shared" si="53"/>
        <v>66022870.991999999</v>
      </c>
    </row>
    <row r="31" spans="1:220" ht="15" customHeight="1" x14ac:dyDescent="0.2">
      <c r="A31" s="210" t="s">
        <v>797</v>
      </c>
      <c r="B31" s="212" t="s">
        <v>798</v>
      </c>
      <c r="C31" s="210" t="s">
        <v>426</v>
      </c>
      <c r="D31" s="212" t="s">
        <v>426</v>
      </c>
      <c r="E31" s="211">
        <v>0</v>
      </c>
      <c r="F31" s="211">
        <v>214429091</v>
      </c>
      <c r="G31" s="211">
        <v>214429091</v>
      </c>
      <c r="H31" s="211">
        <f t="shared" si="7"/>
        <v>0</v>
      </c>
      <c r="I31" s="211">
        <f t="shared" si="8"/>
        <v>223435.112822</v>
      </c>
      <c r="J31" s="211">
        <f t="shared" si="9"/>
        <v>223435.112822</v>
      </c>
      <c r="T31" s="292" t="s">
        <v>793</v>
      </c>
      <c r="U31" s="293" t="s">
        <v>794</v>
      </c>
      <c r="V31" s="292" t="s">
        <v>426</v>
      </c>
      <c r="W31" s="293" t="s">
        <v>426</v>
      </c>
      <c r="X31" s="294">
        <v>1767372802</v>
      </c>
      <c r="Y31" s="294">
        <v>0</v>
      </c>
      <c r="Z31" s="294">
        <v>0</v>
      </c>
      <c r="AA31" s="258">
        <f t="shared" si="11"/>
        <v>1841602.4596839999</v>
      </c>
      <c r="AB31" s="258">
        <f t="shared" si="12"/>
        <v>0</v>
      </c>
      <c r="AC31" s="258">
        <f t="shared" si="13"/>
        <v>0</v>
      </c>
      <c r="AM31" s="212" t="s">
        <v>787</v>
      </c>
      <c r="AN31" s="212" t="s">
        <v>788</v>
      </c>
      <c r="AO31" s="212" t="s">
        <v>426</v>
      </c>
      <c r="AP31" s="212" t="s">
        <v>426</v>
      </c>
      <c r="AQ31" s="212" t="s">
        <v>513</v>
      </c>
      <c r="AR31" s="295">
        <v>0</v>
      </c>
      <c r="AS31" s="295">
        <v>1021501113</v>
      </c>
      <c r="AT31" s="295">
        <v>701509113</v>
      </c>
      <c r="AU31" s="295">
        <f t="shared" si="15"/>
        <v>0</v>
      </c>
      <c r="AV31" s="295">
        <f t="shared" si="16"/>
        <v>1064404.1597460001</v>
      </c>
      <c r="AW31" s="295">
        <f t="shared" si="17"/>
        <v>730972.49574600009</v>
      </c>
      <c r="BF31" s="263" t="s">
        <v>787</v>
      </c>
      <c r="BG31" s="296" t="s">
        <v>788</v>
      </c>
      <c r="BH31" s="210" t="s">
        <v>426</v>
      </c>
      <c r="BI31" s="212" t="s">
        <v>426</v>
      </c>
      <c r="BJ31" s="264">
        <v>0</v>
      </c>
      <c r="BK31" s="264">
        <v>1828918310</v>
      </c>
      <c r="BL31" s="264">
        <v>1765860310</v>
      </c>
      <c r="BM31" s="264">
        <f t="shared" si="19"/>
        <v>0</v>
      </c>
      <c r="BN31" s="264">
        <f t="shared" si="20"/>
        <v>1905732.8790200001</v>
      </c>
      <c r="BO31" s="264">
        <f t="shared" si="21"/>
        <v>1840026.4430200001</v>
      </c>
      <c r="BY31" s="210" t="s">
        <v>785</v>
      </c>
      <c r="BZ31" s="210" t="s">
        <v>786</v>
      </c>
      <c r="CA31" s="210" t="s">
        <v>426</v>
      </c>
      <c r="CB31" s="210" t="s">
        <v>426</v>
      </c>
      <c r="CC31" s="212" t="s">
        <v>513</v>
      </c>
      <c r="CD31" s="211">
        <v>0</v>
      </c>
      <c r="CE31" s="211">
        <v>448894927</v>
      </c>
      <c r="CF31" s="211">
        <v>448894927</v>
      </c>
      <c r="CG31" s="211">
        <f t="shared" si="23"/>
        <v>0</v>
      </c>
      <c r="CH31" s="211">
        <f t="shared" si="24"/>
        <v>467748.51393400005</v>
      </c>
      <c r="CI31" s="211">
        <f t="shared" si="25"/>
        <v>467748.51393400005</v>
      </c>
      <c r="CR31" s="212" t="s">
        <v>783</v>
      </c>
      <c r="CS31" s="212" t="s">
        <v>784</v>
      </c>
      <c r="CT31" s="212" t="s">
        <v>426</v>
      </c>
      <c r="CU31" s="212" t="s">
        <v>426</v>
      </c>
      <c r="CV31" s="211">
        <v>0</v>
      </c>
      <c r="CW31" s="211">
        <v>10553181989</v>
      </c>
      <c r="CX31" s="211">
        <v>10332464544</v>
      </c>
      <c r="CY31" s="211">
        <f t="shared" si="27"/>
        <v>0</v>
      </c>
      <c r="CZ31" s="211">
        <f t="shared" si="28"/>
        <v>10996415.632538</v>
      </c>
      <c r="DA31" s="211">
        <f t="shared" si="29"/>
        <v>10766428.054848</v>
      </c>
      <c r="DK31" s="210" t="s">
        <v>783</v>
      </c>
      <c r="DL31" s="212" t="s">
        <v>784</v>
      </c>
      <c r="DM31" s="210" t="s">
        <v>426</v>
      </c>
      <c r="DN31" s="212" t="s">
        <v>426</v>
      </c>
      <c r="DO31" s="211">
        <v>0</v>
      </c>
      <c r="DP31" s="211">
        <v>18326698914</v>
      </c>
      <c r="DQ31" s="211">
        <v>12107293197</v>
      </c>
      <c r="DR31" s="211">
        <f t="shared" si="31"/>
        <v>0</v>
      </c>
      <c r="DS31" s="211">
        <f t="shared" si="32"/>
        <v>19096420.268388003</v>
      </c>
      <c r="DT31" s="211">
        <f t="shared" si="33"/>
        <v>12615799.511274001</v>
      </c>
      <c r="EE31" s="210" t="s">
        <v>783</v>
      </c>
      <c r="EF31" s="212" t="s">
        <v>784</v>
      </c>
      <c r="EG31" s="212" t="s">
        <v>426</v>
      </c>
      <c r="EH31" s="212" t="s">
        <v>426</v>
      </c>
      <c r="EI31" s="211">
        <v>0</v>
      </c>
      <c r="EJ31" s="211">
        <v>18326698914</v>
      </c>
      <c r="EK31" s="211">
        <v>14239562107</v>
      </c>
      <c r="EL31" s="258">
        <f t="shared" si="35"/>
        <v>0</v>
      </c>
      <c r="EM31" s="258">
        <f t="shared" si="36"/>
        <v>19096420.268388003</v>
      </c>
      <c r="EN31" s="258">
        <f t="shared" si="37"/>
        <v>14837623.715494001</v>
      </c>
      <c r="EV31" s="257"/>
      <c r="EY31" s="210" t="s">
        <v>783</v>
      </c>
      <c r="EZ31" s="212" t="s">
        <v>784</v>
      </c>
      <c r="FA31" s="212" t="s">
        <v>426</v>
      </c>
      <c r="FB31" s="212" t="s">
        <v>426</v>
      </c>
      <c r="FC31" s="211">
        <v>0</v>
      </c>
      <c r="FD31" s="211">
        <v>14239562107</v>
      </c>
      <c r="FE31" s="211">
        <v>18326698914</v>
      </c>
      <c r="FF31" s="257">
        <f t="shared" si="39"/>
        <v>0</v>
      </c>
      <c r="FG31" s="257">
        <f t="shared" si="40"/>
        <v>14239562.107000001</v>
      </c>
      <c r="FH31" s="257">
        <f t="shared" si="41"/>
        <v>18326698.914000001</v>
      </c>
      <c r="FR31" s="262" t="s">
        <v>783</v>
      </c>
      <c r="FS31" s="204" t="s">
        <v>784</v>
      </c>
      <c r="FT31" s="204" t="s">
        <v>426</v>
      </c>
      <c r="FU31" s="204" t="s">
        <v>426</v>
      </c>
      <c r="FV31" s="257">
        <v>0</v>
      </c>
      <c r="FW31" s="257">
        <v>18344511674</v>
      </c>
      <c r="FX31" s="257">
        <v>18046852969</v>
      </c>
      <c r="FY31" s="226">
        <f t="shared" si="43"/>
        <v>0</v>
      </c>
      <c r="FZ31" s="226">
        <f t="shared" si="44"/>
        <v>18344511.673999999</v>
      </c>
      <c r="GA31" s="226">
        <f t="shared" si="45"/>
        <v>18046852.969000001</v>
      </c>
      <c r="GK31" s="204" t="s">
        <v>783</v>
      </c>
      <c r="GL31" s="204" t="s">
        <v>784</v>
      </c>
      <c r="GM31" s="204" t="s">
        <v>426</v>
      </c>
      <c r="GN31" s="204" t="s">
        <v>426</v>
      </c>
      <c r="GO31" s="257">
        <v>18345247258</v>
      </c>
      <c r="GP31" s="257">
        <v>0</v>
      </c>
      <c r="GQ31" s="257">
        <v>0</v>
      </c>
      <c r="GR31" s="257">
        <f t="shared" si="47"/>
        <v>18345247.258000001</v>
      </c>
      <c r="GS31" s="257">
        <f t="shared" si="48"/>
        <v>0</v>
      </c>
      <c r="GT31" s="257">
        <f t="shared" si="49"/>
        <v>0</v>
      </c>
      <c r="HC31" s="204" t="s">
        <v>783</v>
      </c>
      <c r="HD31" s="204" t="s">
        <v>784</v>
      </c>
      <c r="HE31" s="204" t="s">
        <v>426</v>
      </c>
      <c r="HF31" s="204" t="s">
        <v>426</v>
      </c>
      <c r="HG31" s="225">
        <v>18111122129</v>
      </c>
      <c r="HH31" s="225">
        <v>0</v>
      </c>
      <c r="HI31" s="225">
        <v>0</v>
      </c>
      <c r="HJ31" s="225">
        <f t="shared" si="51"/>
        <v>18111122.129000001</v>
      </c>
      <c r="HK31" s="225">
        <f t="shared" si="52"/>
        <v>0</v>
      </c>
      <c r="HL31" s="225">
        <f t="shared" si="53"/>
        <v>0</v>
      </c>
    </row>
    <row r="32" spans="1:220" ht="15" customHeight="1" x14ac:dyDescent="0.2">
      <c r="A32" s="210" t="s">
        <v>799</v>
      </c>
      <c r="B32" s="212" t="s">
        <v>800</v>
      </c>
      <c r="C32" s="210" t="s">
        <v>426</v>
      </c>
      <c r="D32" s="212" t="s">
        <v>426</v>
      </c>
      <c r="E32" s="211">
        <v>9719640000</v>
      </c>
      <c r="F32" s="211">
        <v>0</v>
      </c>
      <c r="G32" s="211">
        <v>0</v>
      </c>
      <c r="H32" s="211">
        <f t="shared" si="7"/>
        <v>10127864.880000001</v>
      </c>
      <c r="I32" s="211">
        <f t="shared" si="8"/>
        <v>0</v>
      </c>
      <c r="J32" s="211">
        <f t="shared" si="9"/>
        <v>0</v>
      </c>
      <c r="T32" s="292" t="s">
        <v>793</v>
      </c>
      <c r="U32" s="293" t="s">
        <v>794</v>
      </c>
      <c r="V32" s="292" t="s">
        <v>426</v>
      </c>
      <c r="W32" s="293" t="s">
        <v>426</v>
      </c>
      <c r="X32" s="294">
        <v>0</v>
      </c>
      <c r="Y32" s="294">
        <v>36200000</v>
      </c>
      <c r="Z32" s="294">
        <v>36200000</v>
      </c>
      <c r="AA32" s="258">
        <f t="shared" si="11"/>
        <v>0</v>
      </c>
      <c r="AB32" s="258">
        <f t="shared" si="12"/>
        <v>37720.400000000001</v>
      </c>
      <c r="AC32" s="258">
        <f t="shared" si="13"/>
        <v>37720.400000000001</v>
      </c>
      <c r="AM32" s="212" t="s">
        <v>789</v>
      </c>
      <c r="AN32" s="212" t="s">
        <v>790</v>
      </c>
      <c r="AO32" s="212" t="s">
        <v>426</v>
      </c>
      <c r="AP32" s="212" t="s">
        <v>426</v>
      </c>
      <c r="AQ32" s="212" t="s">
        <v>513</v>
      </c>
      <c r="AR32" s="295">
        <v>3167999214</v>
      </c>
      <c r="AS32" s="295">
        <v>0</v>
      </c>
      <c r="AT32" s="295">
        <v>0</v>
      </c>
      <c r="AU32" s="295">
        <f t="shared" si="15"/>
        <v>3301055.1809880002</v>
      </c>
      <c r="AV32" s="295">
        <f t="shared" si="16"/>
        <v>0</v>
      </c>
      <c r="AW32" s="295">
        <f t="shared" si="17"/>
        <v>0</v>
      </c>
      <c r="BF32" s="263" t="s">
        <v>789</v>
      </c>
      <c r="BG32" s="296" t="s">
        <v>790</v>
      </c>
      <c r="BH32" s="210" t="s">
        <v>426</v>
      </c>
      <c r="BI32" s="212" t="s">
        <v>426</v>
      </c>
      <c r="BJ32" s="264">
        <v>3167999214</v>
      </c>
      <c r="BK32" s="264">
        <v>0</v>
      </c>
      <c r="BL32" s="264">
        <v>0</v>
      </c>
      <c r="BM32" s="264">
        <f t="shared" si="19"/>
        <v>3301055.1809880002</v>
      </c>
      <c r="BN32" s="264">
        <f t="shared" si="20"/>
        <v>0</v>
      </c>
      <c r="BO32" s="264">
        <f t="shared" si="21"/>
        <v>0</v>
      </c>
      <c r="BY32" s="210" t="s">
        <v>787</v>
      </c>
      <c r="BZ32" s="210" t="s">
        <v>788</v>
      </c>
      <c r="CA32" s="210" t="s">
        <v>426</v>
      </c>
      <c r="CB32" s="210" t="s">
        <v>426</v>
      </c>
      <c r="CC32" s="212" t="s">
        <v>513</v>
      </c>
      <c r="CD32" s="211">
        <v>5646832011</v>
      </c>
      <c r="CE32" s="211">
        <v>0</v>
      </c>
      <c r="CF32" s="211">
        <v>0</v>
      </c>
      <c r="CG32" s="211">
        <f t="shared" si="23"/>
        <v>5883998.9554620003</v>
      </c>
      <c r="CH32" s="211">
        <f t="shared" si="24"/>
        <v>0</v>
      </c>
      <c r="CI32" s="211">
        <f t="shared" si="25"/>
        <v>0</v>
      </c>
      <c r="CR32" s="212" t="s">
        <v>785</v>
      </c>
      <c r="CS32" s="212" t="s">
        <v>786</v>
      </c>
      <c r="CT32" s="212" t="s">
        <v>426</v>
      </c>
      <c r="CU32" s="212" t="s">
        <v>426</v>
      </c>
      <c r="CV32" s="211">
        <v>551011000</v>
      </c>
      <c r="CW32" s="211">
        <v>0</v>
      </c>
      <c r="CX32" s="211">
        <v>0</v>
      </c>
      <c r="CY32" s="211">
        <f t="shared" si="27"/>
        <v>574153.46200000006</v>
      </c>
      <c r="CZ32" s="211">
        <f t="shared" si="28"/>
        <v>0</v>
      </c>
      <c r="DA32" s="211">
        <f t="shared" si="29"/>
        <v>0</v>
      </c>
      <c r="DK32" s="210" t="s">
        <v>785</v>
      </c>
      <c r="DL32" s="212" t="s">
        <v>786</v>
      </c>
      <c r="DM32" s="210" t="s">
        <v>426</v>
      </c>
      <c r="DN32" s="212" t="s">
        <v>426</v>
      </c>
      <c r="DO32" s="211">
        <v>551011000</v>
      </c>
      <c r="DP32" s="211">
        <v>0</v>
      </c>
      <c r="DQ32" s="211">
        <v>0</v>
      </c>
      <c r="DR32" s="211">
        <f t="shared" si="31"/>
        <v>574153.46200000006</v>
      </c>
      <c r="DS32" s="211">
        <f t="shared" si="32"/>
        <v>0</v>
      </c>
      <c r="DT32" s="211">
        <f t="shared" si="33"/>
        <v>0</v>
      </c>
      <c r="EE32" s="210" t="s">
        <v>785</v>
      </c>
      <c r="EF32" s="212" t="s">
        <v>786</v>
      </c>
      <c r="EG32" s="212" t="s">
        <v>426</v>
      </c>
      <c r="EH32" s="212" t="s">
        <v>426</v>
      </c>
      <c r="EI32" s="211">
        <v>551011000</v>
      </c>
      <c r="EJ32" s="211">
        <v>0</v>
      </c>
      <c r="EK32" s="211">
        <v>0</v>
      </c>
      <c r="EL32" s="258">
        <f t="shared" si="35"/>
        <v>574153.46200000006</v>
      </c>
      <c r="EM32" s="258">
        <f t="shared" si="36"/>
        <v>0</v>
      </c>
      <c r="EN32" s="258">
        <f t="shared" si="37"/>
        <v>0</v>
      </c>
      <c r="EV32" s="257"/>
      <c r="EY32" s="210" t="s">
        <v>785</v>
      </c>
      <c r="EZ32" s="212" t="s">
        <v>786</v>
      </c>
      <c r="FA32" s="212" t="s">
        <v>426</v>
      </c>
      <c r="FB32" s="212" t="s">
        <v>426</v>
      </c>
      <c r="FC32" s="211">
        <v>765340998</v>
      </c>
      <c r="FD32" s="211">
        <v>0</v>
      </c>
      <c r="FE32" s="211">
        <v>0</v>
      </c>
      <c r="FF32" s="257">
        <f t="shared" si="39"/>
        <v>765340.99800000002</v>
      </c>
      <c r="FG32" s="257">
        <f t="shared" si="40"/>
        <v>0</v>
      </c>
      <c r="FH32" s="257">
        <f t="shared" si="41"/>
        <v>0</v>
      </c>
      <c r="FR32" s="262" t="s">
        <v>785</v>
      </c>
      <c r="FS32" s="204" t="s">
        <v>786</v>
      </c>
      <c r="FT32" s="204" t="s">
        <v>426</v>
      </c>
      <c r="FU32" s="204" t="s">
        <v>426</v>
      </c>
      <c r="FV32" s="257">
        <v>765340998</v>
      </c>
      <c r="FW32" s="257">
        <v>0</v>
      </c>
      <c r="FX32" s="257">
        <v>0</v>
      </c>
      <c r="FY32" s="226">
        <f t="shared" si="43"/>
        <v>765340.99800000002</v>
      </c>
      <c r="FZ32" s="226">
        <f t="shared" si="44"/>
        <v>0</v>
      </c>
      <c r="GA32" s="226">
        <f t="shared" si="45"/>
        <v>0</v>
      </c>
      <c r="GK32" s="204" t="s">
        <v>783</v>
      </c>
      <c r="GL32" s="204" t="s">
        <v>784</v>
      </c>
      <c r="GM32" s="204" t="s">
        <v>426</v>
      </c>
      <c r="GN32" s="204" t="s">
        <v>426</v>
      </c>
      <c r="GO32" s="257">
        <v>0</v>
      </c>
      <c r="GP32" s="257">
        <v>18344511674</v>
      </c>
      <c r="GQ32" s="257">
        <v>18094665729</v>
      </c>
      <c r="GR32" s="257">
        <f t="shared" si="47"/>
        <v>0</v>
      </c>
      <c r="GS32" s="257">
        <f t="shared" si="48"/>
        <v>18344511.673999999</v>
      </c>
      <c r="GT32" s="257">
        <f t="shared" si="49"/>
        <v>18094665.728999998</v>
      </c>
      <c r="HC32" s="204" t="s">
        <v>783</v>
      </c>
      <c r="HD32" s="204" t="s">
        <v>784</v>
      </c>
      <c r="HE32" s="204" t="s">
        <v>426</v>
      </c>
      <c r="HF32" s="204" t="s">
        <v>426</v>
      </c>
      <c r="HG32" s="225">
        <v>0</v>
      </c>
      <c r="HH32" s="225">
        <v>18094665729</v>
      </c>
      <c r="HI32" s="225">
        <v>18111122129</v>
      </c>
      <c r="HJ32" s="225">
        <f t="shared" si="51"/>
        <v>0</v>
      </c>
      <c r="HK32" s="225">
        <f t="shared" si="52"/>
        <v>18094665.728999998</v>
      </c>
      <c r="HL32" s="225">
        <f t="shared" si="53"/>
        <v>18111122.129000001</v>
      </c>
    </row>
    <row r="33" spans="1:220" ht="15" customHeight="1" x14ac:dyDescent="0.2">
      <c r="A33" s="210" t="s">
        <v>427</v>
      </c>
      <c r="B33" s="212" t="s">
        <v>445</v>
      </c>
      <c r="C33" s="210" t="s">
        <v>426</v>
      </c>
      <c r="D33" s="212" t="s">
        <v>426</v>
      </c>
      <c r="E33" s="211">
        <v>17089021000</v>
      </c>
      <c r="F33" s="211">
        <v>0</v>
      </c>
      <c r="G33" s="211">
        <v>0</v>
      </c>
      <c r="H33" s="211">
        <f t="shared" si="7"/>
        <v>17806759.881999999</v>
      </c>
      <c r="I33" s="211">
        <f t="shared" si="8"/>
        <v>0</v>
      </c>
      <c r="J33" s="211">
        <f t="shared" si="9"/>
        <v>0</v>
      </c>
      <c r="T33" s="292" t="s">
        <v>795</v>
      </c>
      <c r="U33" s="293" t="s">
        <v>796</v>
      </c>
      <c r="V33" s="292" t="s">
        <v>426</v>
      </c>
      <c r="W33" s="293" t="s">
        <v>426</v>
      </c>
      <c r="X33" s="294">
        <v>20808775000</v>
      </c>
      <c r="Y33" s="294">
        <v>0</v>
      </c>
      <c r="Z33" s="294">
        <v>0</v>
      </c>
      <c r="AA33" s="258">
        <f t="shared" si="11"/>
        <v>21682743.550000001</v>
      </c>
      <c r="AB33" s="258">
        <f t="shared" si="12"/>
        <v>0</v>
      </c>
      <c r="AC33" s="258">
        <f t="shared" si="13"/>
        <v>0</v>
      </c>
      <c r="AM33" s="212" t="s">
        <v>791</v>
      </c>
      <c r="AN33" s="212" t="s">
        <v>792</v>
      </c>
      <c r="AO33" s="212" t="s">
        <v>426</v>
      </c>
      <c r="AP33" s="212" t="s">
        <v>426</v>
      </c>
      <c r="AQ33" s="212" t="s">
        <v>513</v>
      </c>
      <c r="AR33" s="295">
        <v>2000153131</v>
      </c>
      <c r="AS33" s="295">
        <v>0</v>
      </c>
      <c r="AT33" s="295">
        <v>0</v>
      </c>
      <c r="AU33" s="295">
        <f t="shared" si="15"/>
        <v>2084159.562502</v>
      </c>
      <c r="AV33" s="295">
        <f t="shared" si="16"/>
        <v>0</v>
      </c>
      <c r="AW33" s="295">
        <f t="shared" si="17"/>
        <v>0</v>
      </c>
      <c r="BF33" s="263" t="s">
        <v>789</v>
      </c>
      <c r="BG33" s="296" t="s">
        <v>790</v>
      </c>
      <c r="BH33" s="210" t="s">
        <v>426</v>
      </c>
      <c r="BI33" s="212" t="s">
        <v>426</v>
      </c>
      <c r="BJ33" s="264">
        <v>0</v>
      </c>
      <c r="BK33" s="264">
        <v>406146000</v>
      </c>
      <c r="BL33" s="264">
        <v>406146000</v>
      </c>
      <c r="BM33" s="264">
        <f t="shared" si="19"/>
        <v>0</v>
      </c>
      <c r="BN33" s="264">
        <f t="shared" si="20"/>
        <v>423204.13200000004</v>
      </c>
      <c r="BO33" s="264">
        <f t="shared" si="21"/>
        <v>423204.13200000004</v>
      </c>
      <c r="BY33" s="210" t="s">
        <v>787</v>
      </c>
      <c r="BZ33" s="210" t="s">
        <v>788</v>
      </c>
      <c r="CA33" s="210" t="s">
        <v>426</v>
      </c>
      <c r="CB33" s="210" t="s">
        <v>426</v>
      </c>
      <c r="CC33" s="212" t="s">
        <v>513</v>
      </c>
      <c r="CD33" s="211">
        <v>0</v>
      </c>
      <c r="CE33" s="211">
        <v>3465298135</v>
      </c>
      <c r="CF33" s="211">
        <v>2895449074</v>
      </c>
      <c r="CG33" s="211">
        <f t="shared" si="23"/>
        <v>0</v>
      </c>
      <c r="CH33" s="211">
        <f t="shared" si="24"/>
        <v>3610840.6566699999</v>
      </c>
      <c r="CI33" s="211">
        <f t="shared" si="25"/>
        <v>3017057.9351079999</v>
      </c>
      <c r="CR33" s="212" t="s">
        <v>785</v>
      </c>
      <c r="CS33" s="212" t="s">
        <v>786</v>
      </c>
      <c r="CT33" s="212" t="s">
        <v>426</v>
      </c>
      <c r="CU33" s="212" t="s">
        <v>426</v>
      </c>
      <c r="CV33" s="211">
        <v>0</v>
      </c>
      <c r="CW33" s="211">
        <v>458516226</v>
      </c>
      <c r="CX33" s="211">
        <v>448894927</v>
      </c>
      <c r="CY33" s="211">
        <f t="shared" si="27"/>
        <v>0</v>
      </c>
      <c r="CZ33" s="211">
        <f t="shared" si="28"/>
        <v>477773.90749200003</v>
      </c>
      <c r="DA33" s="211">
        <f t="shared" si="29"/>
        <v>467748.51393400005</v>
      </c>
      <c r="DK33" s="210" t="s">
        <v>785</v>
      </c>
      <c r="DL33" s="212" t="s">
        <v>786</v>
      </c>
      <c r="DM33" s="210" t="s">
        <v>426</v>
      </c>
      <c r="DN33" s="212" t="s">
        <v>426</v>
      </c>
      <c r="DO33" s="211">
        <v>0</v>
      </c>
      <c r="DP33" s="211">
        <v>533516225</v>
      </c>
      <c r="DQ33" s="211">
        <v>458516226</v>
      </c>
      <c r="DR33" s="211">
        <f t="shared" si="31"/>
        <v>0</v>
      </c>
      <c r="DS33" s="211">
        <f t="shared" si="32"/>
        <v>555923.90645000001</v>
      </c>
      <c r="DT33" s="211">
        <f t="shared" si="33"/>
        <v>477773.90749200003</v>
      </c>
      <c r="EE33" s="210" t="s">
        <v>785</v>
      </c>
      <c r="EF33" s="212" t="s">
        <v>786</v>
      </c>
      <c r="EG33" s="212" t="s">
        <v>426</v>
      </c>
      <c r="EH33" s="212" t="s">
        <v>426</v>
      </c>
      <c r="EI33" s="211">
        <v>0</v>
      </c>
      <c r="EJ33" s="211">
        <v>533516225</v>
      </c>
      <c r="EK33" s="211">
        <v>458516226</v>
      </c>
      <c r="EL33" s="258">
        <f t="shared" si="35"/>
        <v>0</v>
      </c>
      <c r="EM33" s="258">
        <f t="shared" si="36"/>
        <v>555923.90645000001</v>
      </c>
      <c r="EN33" s="258">
        <f t="shared" si="37"/>
        <v>477773.90749200003</v>
      </c>
      <c r="EV33" s="257"/>
      <c r="EY33" s="210" t="s">
        <v>785</v>
      </c>
      <c r="EZ33" s="212" t="s">
        <v>786</v>
      </c>
      <c r="FA33" s="212" t="s">
        <v>426</v>
      </c>
      <c r="FB33" s="212" t="s">
        <v>426</v>
      </c>
      <c r="FC33" s="211">
        <v>0</v>
      </c>
      <c r="FD33" s="211">
        <v>533516225</v>
      </c>
      <c r="FE33" s="211">
        <v>608516223</v>
      </c>
      <c r="FF33" s="257">
        <f t="shared" si="39"/>
        <v>0</v>
      </c>
      <c r="FG33" s="257">
        <f t="shared" si="40"/>
        <v>533516.22499999998</v>
      </c>
      <c r="FH33" s="257">
        <f t="shared" si="41"/>
        <v>608516.223</v>
      </c>
      <c r="FR33" s="262" t="s">
        <v>785</v>
      </c>
      <c r="FS33" s="204" t="s">
        <v>786</v>
      </c>
      <c r="FT33" s="204" t="s">
        <v>426</v>
      </c>
      <c r="FU33" s="204" t="s">
        <v>426</v>
      </c>
      <c r="FV33" s="257">
        <v>0</v>
      </c>
      <c r="FW33" s="257">
        <v>747840161</v>
      </c>
      <c r="FX33" s="257">
        <v>683116299</v>
      </c>
      <c r="FY33" s="226">
        <f t="shared" si="43"/>
        <v>0</v>
      </c>
      <c r="FZ33" s="226">
        <f t="shared" si="44"/>
        <v>747840.16099999996</v>
      </c>
      <c r="GA33" s="226">
        <f t="shared" si="45"/>
        <v>683116.299</v>
      </c>
      <c r="GK33" s="204" t="s">
        <v>785</v>
      </c>
      <c r="GL33" s="204" t="s">
        <v>786</v>
      </c>
      <c r="GM33" s="204" t="s">
        <v>426</v>
      </c>
      <c r="GN33" s="204" t="s">
        <v>426</v>
      </c>
      <c r="GO33" s="257">
        <v>765340998</v>
      </c>
      <c r="GP33" s="257">
        <v>0</v>
      </c>
      <c r="GQ33" s="257">
        <v>0</v>
      </c>
      <c r="GR33" s="257">
        <f t="shared" si="47"/>
        <v>765340.99800000002</v>
      </c>
      <c r="GS33" s="257">
        <f t="shared" si="48"/>
        <v>0</v>
      </c>
      <c r="GT33" s="257">
        <f t="shared" si="49"/>
        <v>0</v>
      </c>
      <c r="HC33" s="204" t="s">
        <v>785</v>
      </c>
      <c r="HD33" s="204" t="s">
        <v>786</v>
      </c>
      <c r="HE33" s="204" t="s">
        <v>426</v>
      </c>
      <c r="HF33" s="204" t="s">
        <v>426</v>
      </c>
      <c r="HG33" s="225">
        <v>748840161</v>
      </c>
      <c r="HH33" s="225">
        <v>0</v>
      </c>
      <c r="HI33" s="225">
        <v>0</v>
      </c>
      <c r="HJ33" s="225">
        <f t="shared" si="51"/>
        <v>748840.16099999996</v>
      </c>
      <c r="HK33" s="225">
        <f t="shared" si="52"/>
        <v>0</v>
      </c>
      <c r="HL33" s="225">
        <f t="shared" si="53"/>
        <v>0</v>
      </c>
    </row>
    <row r="34" spans="1:220" ht="15" customHeight="1" x14ac:dyDescent="0.2">
      <c r="A34" s="210" t="s">
        <v>430</v>
      </c>
      <c r="B34" s="212" t="s">
        <v>446</v>
      </c>
      <c r="C34" s="210" t="s">
        <v>426</v>
      </c>
      <c r="D34" s="212" t="s">
        <v>426</v>
      </c>
      <c r="E34" s="211">
        <v>8937547000</v>
      </c>
      <c r="F34" s="211">
        <v>0</v>
      </c>
      <c r="G34" s="211">
        <v>0</v>
      </c>
      <c r="H34" s="211">
        <f t="shared" si="7"/>
        <v>9312923.9739999995</v>
      </c>
      <c r="I34" s="211">
        <f t="shared" si="8"/>
        <v>0</v>
      </c>
      <c r="J34" s="211">
        <f t="shared" si="9"/>
        <v>0</v>
      </c>
      <c r="T34" s="292" t="s">
        <v>797</v>
      </c>
      <c r="U34" s="293" t="s">
        <v>798</v>
      </c>
      <c r="V34" s="292" t="s">
        <v>426</v>
      </c>
      <c r="W34" s="293" t="s">
        <v>426</v>
      </c>
      <c r="X34" s="294">
        <v>21595077659</v>
      </c>
      <c r="Y34" s="294">
        <v>0</v>
      </c>
      <c r="Z34" s="294">
        <v>0</v>
      </c>
      <c r="AA34" s="258">
        <f t="shared" si="11"/>
        <v>22502070.920678001</v>
      </c>
      <c r="AB34" s="258">
        <f t="shared" si="12"/>
        <v>0</v>
      </c>
      <c r="AC34" s="258">
        <f t="shared" si="13"/>
        <v>0</v>
      </c>
      <c r="AM34" s="212" t="s">
        <v>791</v>
      </c>
      <c r="AN34" s="212" t="s">
        <v>792</v>
      </c>
      <c r="AO34" s="212" t="s">
        <v>426</v>
      </c>
      <c r="AP34" s="212" t="s">
        <v>426</v>
      </c>
      <c r="AQ34" s="212" t="s">
        <v>513</v>
      </c>
      <c r="AR34" s="295">
        <v>0</v>
      </c>
      <c r="AS34" s="295">
        <v>271860000</v>
      </c>
      <c r="AT34" s="295">
        <v>88260000</v>
      </c>
      <c r="AU34" s="295">
        <f t="shared" si="15"/>
        <v>0</v>
      </c>
      <c r="AV34" s="295">
        <f t="shared" si="16"/>
        <v>283278.12</v>
      </c>
      <c r="AW34" s="295">
        <f t="shared" si="17"/>
        <v>91966.92</v>
      </c>
      <c r="BF34" s="263" t="s">
        <v>791</v>
      </c>
      <c r="BG34" s="296" t="s">
        <v>792</v>
      </c>
      <c r="BH34" s="210" t="s">
        <v>426</v>
      </c>
      <c r="BI34" s="212" t="s">
        <v>426</v>
      </c>
      <c r="BJ34" s="264">
        <v>2000153131</v>
      </c>
      <c r="BK34" s="264">
        <v>0</v>
      </c>
      <c r="BL34" s="264">
        <v>0</v>
      </c>
      <c r="BM34" s="264">
        <f t="shared" si="19"/>
        <v>2084159.562502</v>
      </c>
      <c r="BN34" s="264">
        <f t="shared" si="20"/>
        <v>0</v>
      </c>
      <c r="BO34" s="264">
        <f t="shared" si="21"/>
        <v>0</v>
      </c>
      <c r="BY34" s="210" t="s">
        <v>789</v>
      </c>
      <c r="BZ34" s="210" t="s">
        <v>790</v>
      </c>
      <c r="CA34" s="210" t="s">
        <v>426</v>
      </c>
      <c r="CB34" s="210" t="s">
        <v>426</v>
      </c>
      <c r="CC34" s="212" t="s">
        <v>513</v>
      </c>
      <c r="CD34" s="211">
        <v>3167999214</v>
      </c>
      <c r="CE34" s="211">
        <v>0</v>
      </c>
      <c r="CF34" s="211">
        <v>0</v>
      </c>
      <c r="CG34" s="211">
        <f t="shared" si="23"/>
        <v>3301055.1809880002</v>
      </c>
      <c r="CH34" s="211">
        <f t="shared" si="24"/>
        <v>0</v>
      </c>
      <c r="CI34" s="211">
        <f t="shared" si="25"/>
        <v>0</v>
      </c>
      <c r="CR34" s="212" t="s">
        <v>787</v>
      </c>
      <c r="CS34" s="212" t="s">
        <v>788</v>
      </c>
      <c r="CT34" s="212" t="s">
        <v>426</v>
      </c>
      <c r="CU34" s="212" t="s">
        <v>426</v>
      </c>
      <c r="CV34" s="211">
        <v>5646832011</v>
      </c>
      <c r="CW34" s="211">
        <v>0</v>
      </c>
      <c r="CX34" s="211">
        <v>0</v>
      </c>
      <c r="CY34" s="211">
        <f t="shared" si="27"/>
        <v>5883998.9554620003</v>
      </c>
      <c r="CZ34" s="211">
        <f t="shared" si="28"/>
        <v>0</v>
      </c>
      <c r="DA34" s="211">
        <f t="shared" si="29"/>
        <v>0</v>
      </c>
      <c r="DK34" s="210" t="s">
        <v>787</v>
      </c>
      <c r="DL34" s="212" t="s">
        <v>788</v>
      </c>
      <c r="DM34" s="210" t="s">
        <v>426</v>
      </c>
      <c r="DN34" s="212" t="s">
        <v>426</v>
      </c>
      <c r="DO34" s="211">
        <v>5659545556</v>
      </c>
      <c r="DP34" s="211">
        <v>0</v>
      </c>
      <c r="DQ34" s="211">
        <v>0</v>
      </c>
      <c r="DR34" s="211">
        <f t="shared" si="31"/>
        <v>5897246.4693520004</v>
      </c>
      <c r="DS34" s="211">
        <f t="shared" si="32"/>
        <v>0</v>
      </c>
      <c r="DT34" s="211">
        <f t="shared" si="33"/>
        <v>0</v>
      </c>
      <c r="EE34" s="210" t="s">
        <v>787</v>
      </c>
      <c r="EF34" s="212" t="s">
        <v>788</v>
      </c>
      <c r="EG34" s="212" t="s">
        <v>426</v>
      </c>
      <c r="EH34" s="212" t="s">
        <v>426</v>
      </c>
      <c r="EI34" s="211">
        <v>5949945556</v>
      </c>
      <c r="EJ34" s="211">
        <v>0</v>
      </c>
      <c r="EK34" s="211">
        <v>0</v>
      </c>
      <c r="EL34" s="258">
        <f t="shared" si="35"/>
        <v>6199843.2693520002</v>
      </c>
      <c r="EM34" s="258">
        <f t="shared" si="36"/>
        <v>0</v>
      </c>
      <c r="EN34" s="258">
        <f t="shared" si="37"/>
        <v>0</v>
      </c>
      <c r="EV34" s="257"/>
      <c r="EY34" s="210" t="s">
        <v>787</v>
      </c>
      <c r="EZ34" s="212" t="s">
        <v>788</v>
      </c>
      <c r="FA34" s="212" t="s">
        <v>426</v>
      </c>
      <c r="FB34" s="212" t="s">
        <v>426</v>
      </c>
      <c r="FC34" s="211">
        <v>7286138773</v>
      </c>
      <c r="FD34" s="211">
        <v>0</v>
      </c>
      <c r="FE34" s="211">
        <v>0</v>
      </c>
      <c r="FF34" s="257">
        <f t="shared" si="39"/>
        <v>7286138.773</v>
      </c>
      <c r="FG34" s="257">
        <f t="shared" si="40"/>
        <v>0</v>
      </c>
      <c r="FH34" s="257">
        <f t="shared" si="41"/>
        <v>0</v>
      </c>
      <c r="FR34" s="262" t="s">
        <v>787</v>
      </c>
      <c r="FS34" s="204" t="s">
        <v>788</v>
      </c>
      <c r="FT34" s="204" t="s">
        <v>426</v>
      </c>
      <c r="FU34" s="204" t="s">
        <v>426</v>
      </c>
      <c r="FV34" s="257">
        <v>7286138773</v>
      </c>
      <c r="FW34" s="257">
        <v>0</v>
      </c>
      <c r="FX34" s="257">
        <v>0</v>
      </c>
      <c r="FY34" s="226">
        <f t="shared" si="43"/>
        <v>7286138.773</v>
      </c>
      <c r="FZ34" s="226">
        <f t="shared" si="44"/>
        <v>0</v>
      </c>
      <c r="GA34" s="226">
        <f t="shared" si="45"/>
        <v>0</v>
      </c>
      <c r="GK34" s="204" t="s">
        <v>785</v>
      </c>
      <c r="GL34" s="204" t="s">
        <v>786</v>
      </c>
      <c r="GM34" s="204" t="s">
        <v>426</v>
      </c>
      <c r="GN34" s="204" t="s">
        <v>426</v>
      </c>
      <c r="GO34" s="257">
        <v>0</v>
      </c>
      <c r="GP34" s="257">
        <v>747840161</v>
      </c>
      <c r="GQ34" s="257">
        <v>747840161</v>
      </c>
      <c r="GR34" s="257">
        <f t="shared" si="47"/>
        <v>0</v>
      </c>
      <c r="GS34" s="257">
        <f t="shared" si="48"/>
        <v>747840.16099999996</v>
      </c>
      <c r="GT34" s="257">
        <f t="shared" si="49"/>
        <v>747840.16099999996</v>
      </c>
      <c r="HC34" s="204" t="s">
        <v>785</v>
      </c>
      <c r="HD34" s="204" t="s">
        <v>786</v>
      </c>
      <c r="HE34" s="204" t="s">
        <v>426</v>
      </c>
      <c r="HF34" s="204" t="s">
        <v>426</v>
      </c>
      <c r="HG34" s="225">
        <v>0</v>
      </c>
      <c r="HH34" s="225">
        <v>747840161</v>
      </c>
      <c r="HI34" s="225">
        <v>748840161</v>
      </c>
      <c r="HJ34" s="225">
        <f t="shared" si="51"/>
        <v>0</v>
      </c>
      <c r="HK34" s="225">
        <f t="shared" si="52"/>
        <v>747840.16099999996</v>
      </c>
      <c r="HL34" s="225">
        <f t="shared" si="53"/>
        <v>748840.16099999996</v>
      </c>
    </row>
    <row r="35" spans="1:220" ht="15" customHeight="1" x14ac:dyDescent="0.2">
      <c r="A35" s="210" t="s">
        <v>430</v>
      </c>
      <c r="B35" s="212" t="s">
        <v>446</v>
      </c>
      <c r="C35" s="210" t="s">
        <v>426</v>
      </c>
      <c r="D35" s="212" t="s">
        <v>426</v>
      </c>
      <c r="E35" s="211">
        <v>0</v>
      </c>
      <c r="F35" s="211">
        <v>41091952</v>
      </c>
      <c r="G35" s="211">
        <v>0</v>
      </c>
      <c r="H35" s="211">
        <f t="shared" si="7"/>
        <v>0</v>
      </c>
      <c r="I35" s="211">
        <f t="shared" si="8"/>
        <v>42817.813984</v>
      </c>
      <c r="J35" s="211">
        <f t="shared" si="9"/>
        <v>0</v>
      </c>
      <c r="T35" s="292" t="s">
        <v>797</v>
      </c>
      <c r="U35" s="293" t="s">
        <v>798</v>
      </c>
      <c r="V35" s="292" t="s">
        <v>426</v>
      </c>
      <c r="W35" s="293" t="s">
        <v>426</v>
      </c>
      <c r="X35" s="294">
        <v>0</v>
      </c>
      <c r="Y35" s="294">
        <v>1161550591</v>
      </c>
      <c r="Z35" s="294">
        <v>1161550591</v>
      </c>
      <c r="AA35" s="258">
        <f t="shared" si="11"/>
        <v>0</v>
      </c>
      <c r="AB35" s="258">
        <f t="shared" si="12"/>
        <v>1210335.7158220001</v>
      </c>
      <c r="AC35" s="258">
        <f t="shared" si="13"/>
        <v>1210335.7158220001</v>
      </c>
      <c r="AM35" s="212" t="s">
        <v>793</v>
      </c>
      <c r="AN35" s="212" t="s">
        <v>794</v>
      </c>
      <c r="AO35" s="212" t="s">
        <v>426</v>
      </c>
      <c r="AP35" s="212" t="s">
        <v>426</v>
      </c>
      <c r="AQ35" s="212" t="s">
        <v>513</v>
      </c>
      <c r="AR35" s="295">
        <v>1767372802</v>
      </c>
      <c r="AS35" s="295">
        <v>0</v>
      </c>
      <c r="AT35" s="295">
        <v>0</v>
      </c>
      <c r="AU35" s="295">
        <f t="shared" si="15"/>
        <v>1841602.4596839999</v>
      </c>
      <c r="AV35" s="295">
        <f t="shared" si="16"/>
        <v>0</v>
      </c>
      <c r="AW35" s="295">
        <f t="shared" si="17"/>
        <v>0</v>
      </c>
      <c r="BF35" s="263" t="s">
        <v>791</v>
      </c>
      <c r="BG35" s="296" t="s">
        <v>792</v>
      </c>
      <c r="BH35" s="210" t="s">
        <v>426</v>
      </c>
      <c r="BI35" s="212" t="s">
        <v>426</v>
      </c>
      <c r="BJ35" s="264">
        <v>0</v>
      </c>
      <c r="BK35" s="264">
        <v>326216770</v>
      </c>
      <c r="BL35" s="264">
        <v>326216770</v>
      </c>
      <c r="BM35" s="264">
        <f t="shared" si="19"/>
        <v>0</v>
      </c>
      <c r="BN35" s="264">
        <f t="shared" si="20"/>
        <v>339917.87434000004</v>
      </c>
      <c r="BO35" s="264">
        <f t="shared" si="21"/>
        <v>339917.87434000004</v>
      </c>
      <c r="BY35" s="210" t="s">
        <v>789</v>
      </c>
      <c r="BZ35" s="210" t="s">
        <v>790</v>
      </c>
      <c r="CA35" s="210" t="s">
        <v>426</v>
      </c>
      <c r="CB35" s="210" t="s">
        <v>426</v>
      </c>
      <c r="CC35" s="212" t="s">
        <v>513</v>
      </c>
      <c r="CD35" s="211">
        <v>0</v>
      </c>
      <c r="CE35" s="211">
        <v>1066032340</v>
      </c>
      <c r="CF35" s="211">
        <v>406146000</v>
      </c>
      <c r="CG35" s="211">
        <f t="shared" si="23"/>
        <v>0</v>
      </c>
      <c r="CH35" s="211">
        <f t="shared" si="24"/>
        <v>1110805.6982800001</v>
      </c>
      <c r="CI35" s="211">
        <f t="shared" si="25"/>
        <v>423204.13200000004</v>
      </c>
      <c r="CR35" s="212" t="s">
        <v>787</v>
      </c>
      <c r="CS35" s="212" t="s">
        <v>788</v>
      </c>
      <c r="CT35" s="212" t="s">
        <v>426</v>
      </c>
      <c r="CU35" s="212" t="s">
        <v>426</v>
      </c>
      <c r="CV35" s="211">
        <v>0</v>
      </c>
      <c r="CW35" s="211">
        <v>4169517895</v>
      </c>
      <c r="CX35" s="211">
        <v>4096244895</v>
      </c>
      <c r="CY35" s="211">
        <f t="shared" si="27"/>
        <v>0</v>
      </c>
      <c r="CZ35" s="211">
        <f t="shared" si="28"/>
        <v>4344637.64659</v>
      </c>
      <c r="DA35" s="211">
        <f t="shared" si="29"/>
        <v>4268287.18059</v>
      </c>
      <c r="DK35" s="210" t="s">
        <v>787</v>
      </c>
      <c r="DL35" s="212" t="s">
        <v>788</v>
      </c>
      <c r="DM35" s="210" t="s">
        <v>426</v>
      </c>
      <c r="DN35" s="212" t="s">
        <v>426</v>
      </c>
      <c r="DO35" s="211">
        <v>0</v>
      </c>
      <c r="DP35" s="211">
        <v>4440646756</v>
      </c>
      <c r="DQ35" s="211">
        <v>4367373756</v>
      </c>
      <c r="DR35" s="211">
        <f t="shared" si="31"/>
        <v>0</v>
      </c>
      <c r="DS35" s="211">
        <f t="shared" si="32"/>
        <v>4627153.9197519999</v>
      </c>
      <c r="DT35" s="211">
        <f t="shared" si="33"/>
        <v>4550803.4537519999</v>
      </c>
      <c r="EE35" s="210" t="s">
        <v>787</v>
      </c>
      <c r="EF35" s="212" t="s">
        <v>788</v>
      </c>
      <c r="EG35" s="212" t="s">
        <v>426</v>
      </c>
      <c r="EH35" s="212" t="s">
        <v>426</v>
      </c>
      <c r="EI35" s="211">
        <v>0</v>
      </c>
      <c r="EJ35" s="211">
        <v>4631339408</v>
      </c>
      <c r="EK35" s="211">
        <v>4447846408</v>
      </c>
      <c r="EL35" s="258">
        <f t="shared" si="35"/>
        <v>0</v>
      </c>
      <c r="EM35" s="258">
        <f t="shared" si="36"/>
        <v>4825855.6631359998</v>
      </c>
      <c r="EN35" s="258">
        <f t="shared" si="37"/>
        <v>4634655.9571359996</v>
      </c>
      <c r="EV35" s="257"/>
      <c r="EY35" s="210" t="s">
        <v>787</v>
      </c>
      <c r="EZ35" s="212" t="s">
        <v>788</v>
      </c>
      <c r="FA35" s="212" t="s">
        <v>426</v>
      </c>
      <c r="FB35" s="212" t="s">
        <v>426</v>
      </c>
      <c r="FC35" s="211">
        <v>0</v>
      </c>
      <c r="FD35" s="211">
        <v>4636412408</v>
      </c>
      <c r="FE35" s="211">
        <v>4772297408</v>
      </c>
      <c r="FF35" s="257">
        <f t="shared" si="39"/>
        <v>0</v>
      </c>
      <c r="FG35" s="257">
        <f t="shared" si="40"/>
        <v>4636412.4079999998</v>
      </c>
      <c r="FH35" s="257">
        <f t="shared" si="41"/>
        <v>4772297.4079999998</v>
      </c>
      <c r="FR35" s="262" t="s">
        <v>787</v>
      </c>
      <c r="FS35" s="204" t="s">
        <v>788</v>
      </c>
      <c r="FT35" s="204" t="s">
        <v>426</v>
      </c>
      <c r="FU35" s="204" t="s">
        <v>426</v>
      </c>
      <c r="FV35" s="257">
        <v>0</v>
      </c>
      <c r="FW35" s="257">
        <v>5490868977</v>
      </c>
      <c r="FX35" s="257">
        <v>5346195809</v>
      </c>
      <c r="FY35" s="226">
        <f t="shared" si="43"/>
        <v>0</v>
      </c>
      <c r="FZ35" s="226">
        <f t="shared" si="44"/>
        <v>5490868.977</v>
      </c>
      <c r="GA35" s="226">
        <f t="shared" si="45"/>
        <v>5346195.8090000004</v>
      </c>
      <c r="GK35" s="204" t="s">
        <v>787</v>
      </c>
      <c r="GL35" s="204" t="s">
        <v>788</v>
      </c>
      <c r="GM35" s="204" t="s">
        <v>426</v>
      </c>
      <c r="GN35" s="204" t="s">
        <v>426</v>
      </c>
      <c r="GO35" s="257">
        <v>7795912954</v>
      </c>
      <c r="GP35" s="257">
        <v>0</v>
      </c>
      <c r="GQ35" s="257">
        <v>0</v>
      </c>
      <c r="GR35" s="257">
        <f t="shared" si="47"/>
        <v>7795912.9539999999</v>
      </c>
      <c r="GS35" s="257">
        <f t="shared" si="48"/>
        <v>0</v>
      </c>
      <c r="GT35" s="257">
        <f t="shared" si="49"/>
        <v>0</v>
      </c>
      <c r="HC35" s="204" t="s">
        <v>787</v>
      </c>
      <c r="HD35" s="204" t="s">
        <v>788</v>
      </c>
      <c r="HE35" s="204" t="s">
        <v>426</v>
      </c>
      <c r="HF35" s="204" t="s">
        <v>426</v>
      </c>
      <c r="HG35" s="225">
        <v>7583567392</v>
      </c>
      <c r="HH35" s="225">
        <v>0</v>
      </c>
      <c r="HI35" s="225">
        <v>0</v>
      </c>
      <c r="HJ35" s="225">
        <f t="shared" si="51"/>
        <v>7583567.392</v>
      </c>
      <c r="HK35" s="225">
        <f t="shared" si="52"/>
        <v>0</v>
      </c>
      <c r="HL35" s="225">
        <f t="shared" si="53"/>
        <v>0</v>
      </c>
    </row>
    <row r="36" spans="1:220" ht="15" customHeight="1" x14ac:dyDescent="0.2">
      <c r="A36" s="210" t="s">
        <v>839</v>
      </c>
      <c r="B36" s="212" t="s">
        <v>840</v>
      </c>
      <c r="C36" s="210" t="s">
        <v>426</v>
      </c>
      <c r="D36" s="212" t="s">
        <v>426</v>
      </c>
      <c r="E36" s="211">
        <v>3933000000</v>
      </c>
      <c r="F36" s="211">
        <v>0</v>
      </c>
      <c r="G36" s="211">
        <v>0</v>
      </c>
      <c r="H36" s="211">
        <f t="shared" si="7"/>
        <v>4098186</v>
      </c>
      <c r="I36" s="211">
        <f t="shared" si="8"/>
        <v>0</v>
      </c>
      <c r="J36" s="211">
        <f t="shared" si="9"/>
        <v>0</v>
      </c>
      <c r="T36" s="292" t="s">
        <v>799</v>
      </c>
      <c r="U36" s="293" t="s">
        <v>800</v>
      </c>
      <c r="V36" s="292" t="s">
        <v>426</v>
      </c>
      <c r="W36" s="293" t="s">
        <v>426</v>
      </c>
      <c r="X36" s="294">
        <v>9719640000</v>
      </c>
      <c r="Y36" s="294">
        <v>0</v>
      </c>
      <c r="Z36" s="294">
        <v>0</v>
      </c>
      <c r="AA36" s="258">
        <f t="shared" si="11"/>
        <v>10127864.880000001</v>
      </c>
      <c r="AB36" s="258">
        <f t="shared" si="12"/>
        <v>0</v>
      </c>
      <c r="AC36" s="258">
        <f t="shared" si="13"/>
        <v>0</v>
      </c>
      <c r="AM36" s="212" t="s">
        <v>793</v>
      </c>
      <c r="AN36" s="212" t="s">
        <v>794</v>
      </c>
      <c r="AO36" s="212" t="s">
        <v>426</v>
      </c>
      <c r="AP36" s="212" t="s">
        <v>426</v>
      </c>
      <c r="AQ36" s="212" t="s">
        <v>513</v>
      </c>
      <c r="AR36" s="295">
        <v>0</v>
      </c>
      <c r="AS36" s="295">
        <v>105220000</v>
      </c>
      <c r="AT36" s="295">
        <v>105220000</v>
      </c>
      <c r="AU36" s="295">
        <f t="shared" si="15"/>
        <v>0</v>
      </c>
      <c r="AV36" s="295">
        <f t="shared" si="16"/>
        <v>109639.24</v>
      </c>
      <c r="AW36" s="295">
        <f t="shared" si="17"/>
        <v>109639.24</v>
      </c>
      <c r="BF36" s="263" t="s">
        <v>793</v>
      </c>
      <c r="BG36" s="296" t="s">
        <v>794</v>
      </c>
      <c r="BH36" s="210" t="s">
        <v>426</v>
      </c>
      <c r="BI36" s="212" t="s">
        <v>426</v>
      </c>
      <c r="BJ36" s="264">
        <v>1767372802</v>
      </c>
      <c r="BK36" s="264">
        <v>0</v>
      </c>
      <c r="BL36" s="264">
        <v>0</v>
      </c>
      <c r="BM36" s="264">
        <f t="shared" si="19"/>
        <v>1841602.4596839999</v>
      </c>
      <c r="BN36" s="264">
        <f t="shared" si="20"/>
        <v>0</v>
      </c>
      <c r="BO36" s="264">
        <f t="shared" si="21"/>
        <v>0</v>
      </c>
      <c r="BY36" s="210" t="s">
        <v>791</v>
      </c>
      <c r="BZ36" s="210" t="s">
        <v>792</v>
      </c>
      <c r="CA36" s="210" t="s">
        <v>426</v>
      </c>
      <c r="CB36" s="210" t="s">
        <v>426</v>
      </c>
      <c r="CC36" s="212" t="s">
        <v>513</v>
      </c>
      <c r="CD36" s="211">
        <v>2200153131</v>
      </c>
      <c r="CE36" s="211">
        <v>0</v>
      </c>
      <c r="CF36" s="211">
        <v>0</v>
      </c>
      <c r="CG36" s="211">
        <f t="shared" si="23"/>
        <v>2292559.562502</v>
      </c>
      <c r="CH36" s="211">
        <f t="shared" si="24"/>
        <v>0</v>
      </c>
      <c r="CI36" s="211">
        <f t="shared" si="25"/>
        <v>0</v>
      </c>
      <c r="CR36" s="212" t="s">
        <v>789</v>
      </c>
      <c r="CS36" s="212" t="s">
        <v>790</v>
      </c>
      <c r="CT36" s="212" t="s">
        <v>426</v>
      </c>
      <c r="CU36" s="212" t="s">
        <v>426</v>
      </c>
      <c r="CV36" s="211">
        <v>3167999214</v>
      </c>
      <c r="CW36" s="211">
        <v>0</v>
      </c>
      <c r="CX36" s="211">
        <v>0</v>
      </c>
      <c r="CY36" s="211">
        <f t="shared" si="27"/>
        <v>3301055.1809880002</v>
      </c>
      <c r="CZ36" s="211">
        <f t="shared" si="28"/>
        <v>0</v>
      </c>
      <c r="DA36" s="211">
        <f t="shared" si="29"/>
        <v>0</v>
      </c>
      <c r="DK36" s="210" t="s">
        <v>789</v>
      </c>
      <c r="DL36" s="212" t="s">
        <v>790</v>
      </c>
      <c r="DM36" s="210" t="s">
        <v>426</v>
      </c>
      <c r="DN36" s="212" t="s">
        <v>426</v>
      </c>
      <c r="DO36" s="211">
        <v>3344419214</v>
      </c>
      <c r="DP36" s="211">
        <v>0</v>
      </c>
      <c r="DQ36" s="211">
        <v>0</v>
      </c>
      <c r="DR36" s="211">
        <f t="shared" si="31"/>
        <v>3484884.8209880004</v>
      </c>
      <c r="DS36" s="211">
        <f t="shared" si="32"/>
        <v>0</v>
      </c>
      <c r="DT36" s="211">
        <f t="shared" si="33"/>
        <v>0</v>
      </c>
      <c r="EE36" s="210" t="s">
        <v>789</v>
      </c>
      <c r="EF36" s="212" t="s">
        <v>790</v>
      </c>
      <c r="EG36" s="212" t="s">
        <v>426</v>
      </c>
      <c r="EH36" s="212" t="s">
        <v>426</v>
      </c>
      <c r="EI36" s="211">
        <v>6277101139</v>
      </c>
      <c r="EJ36" s="211">
        <v>0</v>
      </c>
      <c r="EK36" s="211">
        <v>0</v>
      </c>
      <c r="EL36" s="258">
        <f t="shared" si="35"/>
        <v>6540739.3868380003</v>
      </c>
      <c r="EM36" s="258">
        <f t="shared" si="36"/>
        <v>0</v>
      </c>
      <c r="EN36" s="258">
        <f t="shared" si="37"/>
        <v>0</v>
      </c>
      <c r="EV36" s="257"/>
      <c r="EY36" s="210" t="s">
        <v>789</v>
      </c>
      <c r="EZ36" s="212" t="s">
        <v>790</v>
      </c>
      <c r="FA36" s="212" t="s">
        <v>426</v>
      </c>
      <c r="FB36" s="212" t="s">
        <v>426</v>
      </c>
      <c r="FC36" s="211">
        <v>6277101139</v>
      </c>
      <c r="FD36" s="211">
        <v>0</v>
      </c>
      <c r="FE36" s="211">
        <v>0</v>
      </c>
      <c r="FF36" s="257">
        <f t="shared" si="39"/>
        <v>6277101.1390000004</v>
      </c>
      <c r="FG36" s="257">
        <f t="shared" si="40"/>
        <v>0</v>
      </c>
      <c r="FH36" s="257">
        <f t="shared" si="41"/>
        <v>0</v>
      </c>
      <c r="FR36" s="262" t="s">
        <v>789</v>
      </c>
      <c r="FS36" s="204" t="s">
        <v>790</v>
      </c>
      <c r="FT36" s="204" t="s">
        <v>426</v>
      </c>
      <c r="FU36" s="204" t="s">
        <v>426</v>
      </c>
      <c r="FV36" s="257">
        <v>6277101139</v>
      </c>
      <c r="FW36" s="257">
        <v>0</v>
      </c>
      <c r="FX36" s="257">
        <v>0</v>
      </c>
      <c r="FY36" s="226">
        <f t="shared" si="43"/>
        <v>6277101.1390000004</v>
      </c>
      <c r="FZ36" s="226">
        <f t="shared" si="44"/>
        <v>0</v>
      </c>
      <c r="GA36" s="226">
        <f t="shared" si="45"/>
        <v>0</v>
      </c>
      <c r="GK36" s="204" t="s">
        <v>787</v>
      </c>
      <c r="GL36" s="204" t="s">
        <v>788</v>
      </c>
      <c r="GM36" s="204" t="s">
        <v>426</v>
      </c>
      <c r="GN36" s="204" t="s">
        <v>426</v>
      </c>
      <c r="GO36" s="257">
        <v>0</v>
      </c>
      <c r="GP36" s="257">
        <v>5697619846</v>
      </c>
      <c r="GQ36" s="257">
        <v>5534754846</v>
      </c>
      <c r="GR36" s="257">
        <f t="shared" si="47"/>
        <v>0</v>
      </c>
      <c r="GS36" s="257">
        <f t="shared" si="48"/>
        <v>5697619.8459999999</v>
      </c>
      <c r="GT36" s="257">
        <f t="shared" si="49"/>
        <v>5534754.8459999999</v>
      </c>
      <c r="HC36" s="204" t="s">
        <v>787</v>
      </c>
      <c r="HD36" s="204" t="s">
        <v>788</v>
      </c>
      <c r="HE36" s="204" t="s">
        <v>426</v>
      </c>
      <c r="HF36" s="204" t="s">
        <v>426</v>
      </c>
      <c r="HG36" s="225">
        <v>0</v>
      </c>
      <c r="HH36" s="225">
        <v>7583567392</v>
      </c>
      <c r="HI36" s="225">
        <v>7583567392</v>
      </c>
      <c r="HJ36" s="225">
        <f t="shared" si="51"/>
        <v>0</v>
      </c>
      <c r="HK36" s="225">
        <f t="shared" si="52"/>
        <v>7583567.392</v>
      </c>
      <c r="HL36" s="225">
        <f t="shared" si="53"/>
        <v>7583567.392</v>
      </c>
    </row>
    <row r="37" spans="1:220" ht="15" customHeight="1" x14ac:dyDescent="0.2">
      <c r="A37" s="210" t="s">
        <v>431</v>
      </c>
      <c r="B37" s="212" t="s">
        <v>127</v>
      </c>
      <c r="C37" s="210" t="s">
        <v>426</v>
      </c>
      <c r="D37" s="212" t="s">
        <v>426</v>
      </c>
      <c r="E37" s="211">
        <v>10100</v>
      </c>
      <c r="F37" s="211">
        <v>0</v>
      </c>
      <c r="G37" s="211">
        <v>0</v>
      </c>
      <c r="H37" s="211">
        <f t="shared" si="7"/>
        <v>10.5242</v>
      </c>
      <c r="I37" s="211">
        <f t="shared" si="8"/>
        <v>0</v>
      </c>
      <c r="J37" s="211">
        <f t="shared" si="9"/>
        <v>0</v>
      </c>
      <c r="T37" s="292" t="s">
        <v>427</v>
      </c>
      <c r="U37" s="293" t="s">
        <v>445</v>
      </c>
      <c r="V37" s="292" t="s">
        <v>426</v>
      </c>
      <c r="W37" s="293" t="s">
        <v>426</v>
      </c>
      <c r="X37" s="294">
        <v>17089021000</v>
      </c>
      <c r="Y37" s="294">
        <v>0</v>
      </c>
      <c r="Z37" s="294">
        <v>0</v>
      </c>
      <c r="AA37" s="258">
        <f t="shared" si="11"/>
        <v>17806759.881999999</v>
      </c>
      <c r="AB37" s="258">
        <f t="shared" si="12"/>
        <v>0</v>
      </c>
      <c r="AC37" s="258">
        <f t="shared" si="13"/>
        <v>0</v>
      </c>
      <c r="AM37" s="212" t="s">
        <v>795</v>
      </c>
      <c r="AN37" s="212" t="s">
        <v>796</v>
      </c>
      <c r="AO37" s="212" t="s">
        <v>426</v>
      </c>
      <c r="AP37" s="212" t="s">
        <v>426</v>
      </c>
      <c r="AQ37" s="212" t="s">
        <v>513</v>
      </c>
      <c r="AR37" s="295">
        <v>25451323184</v>
      </c>
      <c r="AS37" s="295">
        <v>0</v>
      </c>
      <c r="AT37" s="295">
        <v>0</v>
      </c>
      <c r="AU37" s="295">
        <f t="shared" si="15"/>
        <v>26520278.757728003</v>
      </c>
      <c r="AV37" s="295">
        <f t="shared" si="16"/>
        <v>0</v>
      </c>
      <c r="AW37" s="295">
        <f t="shared" si="17"/>
        <v>0</v>
      </c>
      <c r="BF37" s="263" t="s">
        <v>793</v>
      </c>
      <c r="BG37" s="296" t="s">
        <v>794</v>
      </c>
      <c r="BH37" s="210" t="s">
        <v>426</v>
      </c>
      <c r="BI37" s="212" t="s">
        <v>426</v>
      </c>
      <c r="BJ37" s="264">
        <v>0</v>
      </c>
      <c r="BK37" s="264">
        <v>138798220</v>
      </c>
      <c r="BL37" s="264">
        <v>123565625</v>
      </c>
      <c r="BM37" s="264">
        <f t="shared" si="19"/>
        <v>0</v>
      </c>
      <c r="BN37" s="264">
        <f t="shared" si="20"/>
        <v>144627.74524000002</v>
      </c>
      <c r="BO37" s="264">
        <f t="shared" si="21"/>
        <v>128755.38125000001</v>
      </c>
      <c r="BY37" s="210" t="s">
        <v>791</v>
      </c>
      <c r="BZ37" s="210" t="s">
        <v>792</v>
      </c>
      <c r="CA37" s="210" t="s">
        <v>426</v>
      </c>
      <c r="CB37" s="210" t="s">
        <v>426</v>
      </c>
      <c r="CC37" s="212" t="s">
        <v>513</v>
      </c>
      <c r="CD37" s="211">
        <v>0</v>
      </c>
      <c r="CE37" s="211">
        <v>873801770</v>
      </c>
      <c r="CF37" s="211">
        <v>762201770</v>
      </c>
      <c r="CG37" s="211">
        <f t="shared" si="23"/>
        <v>0</v>
      </c>
      <c r="CH37" s="211">
        <f t="shared" si="24"/>
        <v>910501.44434000005</v>
      </c>
      <c r="CI37" s="211">
        <f t="shared" si="25"/>
        <v>794214.24434000009</v>
      </c>
      <c r="CR37" s="212" t="s">
        <v>789</v>
      </c>
      <c r="CS37" s="212" t="s">
        <v>790</v>
      </c>
      <c r="CT37" s="212" t="s">
        <v>426</v>
      </c>
      <c r="CU37" s="212" t="s">
        <v>426</v>
      </c>
      <c r="CV37" s="211">
        <v>0</v>
      </c>
      <c r="CW37" s="211">
        <v>1066032340</v>
      </c>
      <c r="CX37" s="211">
        <v>1066032340</v>
      </c>
      <c r="CY37" s="211">
        <f t="shared" si="27"/>
        <v>0</v>
      </c>
      <c r="CZ37" s="211">
        <f t="shared" si="28"/>
        <v>1110805.6982800001</v>
      </c>
      <c r="DA37" s="211">
        <f t="shared" si="29"/>
        <v>1110805.6982800001</v>
      </c>
      <c r="DK37" s="210" t="s">
        <v>789</v>
      </c>
      <c r="DL37" s="212" t="s">
        <v>790</v>
      </c>
      <c r="DM37" s="210" t="s">
        <v>426</v>
      </c>
      <c r="DN37" s="212" t="s">
        <v>426</v>
      </c>
      <c r="DO37" s="211">
        <v>0</v>
      </c>
      <c r="DP37" s="211">
        <v>1066032340</v>
      </c>
      <c r="DQ37" s="211">
        <v>1066032340</v>
      </c>
      <c r="DR37" s="211">
        <f t="shared" si="31"/>
        <v>0</v>
      </c>
      <c r="DS37" s="211">
        <f t="shared" si="32"/>
        <v>1110805.6982800001</v>
      </c>
      <c r="DT37" s="211">
        <f t="shared" si="33"/>
        <v>1110805.6982800001</v>
      </c>
      <c r="EE37" s="210" t="s">
        <v>789</v>
      </c>
      <c r="EF37" s="212" t="s">
        <v>790</v>
      </c>
      <c r="EG37" s="212" t="s">
        <v>426</v>
      </c>
      <c r="EH37" s="212" t="s">
        <v>426</v>
      </c>
      <c r="EI37" s="211">
        <v>0</v>
      </c>
      <c r="EJ37" s="211">
        <v>1066032340</v>
      </c>
      <c r="EK37" s="211">
        <v>1066032340</v>
      </c>
      <c r="EL37" s="258">
        <f t="shared" si="35"/>
        <v>0</v>
      </c>
      <c r="EM37" s="258">
        <f t="shared" si="36"/>
        <v>1110805.6982800001</v>
      </c>
      <c r="EN37" s="258">
        <f t="shared" si="37"/>
        <v>1110805.6982800001</v>
      </c>
      <c r="EV37" s="257"/>
      <c r="EY37" s="210" t="s">
        <v>789</v>
      </c>
      <c r="EZ37" s="212" t="s">
        <v>790</v>
      </c>
      <c r="FA37" s="212" t="s">
        <v>426</v>
      </c>
      <c r="FB37" s="212" t="s">
        <v>426</v>
      </c>
      <c r="FC37" s="211">
        <v>0</v>
      </c>
      <c r="FD37" s="211">
        <v>1136718340</v>
      </c>
      <c r="FE37" s="211">
        <v>2640982552</v>
      </c>
      <c r="FF37" s="257">
        <f t="shared" si="39"/>
        <v>0</v>
      </c>
      <c r="FG37" s="257">
        <f t="shared" si="40"/>
        <v>1136718.3400000001</v>
      </c>
      <c r="FH37" s="257">
        <f t="shared" si="41"/>
        <v>2640982.5520000001</v>
      </c>
      <c r="FR37" s="262" t="s">
        <v>789</v>
      </c>
      <c r="FS37" s="204" t="s">
        <v>790</v>
      </c>
      <c r="FT37" s="204" t="s">
        <v>426</v>
      </c>
      <c r="FU37" s="204" t="s">
        <v>426</v>
      </c>
      <c r="FV37" s="257">
        <v>0</v>
      </c>
      <c r="FW37" s="257">
        <v>5573664477</v>
      </c>
      <c r="FX37" s="257">
        <v>5573664477</v>
      </c>
      <c r="FY37" s="226">
        <f t="shared" si="43"/>
        <v>0</v>
      </c>
      <c r="FZ37" s="226">
        <f t="shared" si="44"/>
        <v>5573664.477</v>
      </c>
      <c r="GA37" s="226">
        <f t="shared" si="45"/>
        <v>5573664.477</v>
      </c>
      <c r="GK37" s="204" t="s">
        <v>789</v>
      </c>
      <c r="GL37" s="204" t="s">
        <v>790</v>
      </c>
      <c r="GM37" s="204" t="s">
        <v>426</v>
      </c>
      <c r="GN37" s="204" t="s">
        <v>426</v>
      </c>
      <c r="GO37" s="257">
        <v>6277101139</v>
      </c>
      <c r="GP37" s="257">
        <v>0</v>
      </c>
      <c r="GQ37" s="257">
        <v>0</v>
      </c>
      <c r="GR37" s="257">
        <f t="shared" si="47"/>
        <v>6277101.1390000004</v>
      </c>
      <c r="GS37" s="257">
        <f t="shared" si="48"/>
        <v>0</v>
      </c>
      <c r="GT37" s="257">
        <f t="shared" si="49"/>
        <v>0</v>
      </c>
      <c r="HC37" s="204" t="s">
        <v>789</v>
      </c>
      <c r="HD37" s="204" t="s">
        <v>790</v>
      </c>
      <c r="HE37" s="204" t="s">
        <v>426</v>
      </c>
      <c r="HF37" s="204" t="s">
        <v>426</v>
      </c>
      <c r="HG37" s="225">
        <v>6096884277</v>
      </c>
      <c r="HH37" s="225">
        <v>0</v>
      </c>
      <c r="HI37" s="225">
        <v>0</v>
      </c>
      <c r="HJ37" s="225">
        <f t="shared" si="51"/>
        <v>6096884.2769999998</v>
      </c>
      <c r="HK37" s="225">
        <f t="shared" si="52"/>
        <v>0</v>
      </c>
      <c r="HL37" s="225">
        <f t="shared" si="53"/>
        <v>0</v>
      </c>
    </row>
    <row r="38" spans="1:220" ht="15" customHeight="1" x14ac:dyDescent="0.2">
      <c r="A38" s="210" t="s">
        <v>431</v>
      </c>
      <c r="B38" s="212" t="s">
        <v>127</v>
      </c>
      <c r="C38" s="210" t="s">
        <v>426</v>
      </c>
      <c r="D38" s="212" t="s">
        <v>426</v>
      </c>
      <c r="E38" s="211">
        <v>0</v>
      </c>
      <c r="F38" s="211">
        <v>15276251603</v>
      </c>
      <c r="G38" s="211">
        <v>15276251603</v>
      </c>
      <c r="H38" s="211">
        <f t="shared" si="7"/>
        <v>0</v>
      </c>
      <c r="I38" s="211">
        <f t="shared" si="8"/>
        <v>15917854.170326</v>
      </c>
      <c r="J38" s="211">
        <f t="shared" si="9"/>
        <v>15917854.170326</v>
      </c>
      <c r="T38" s="292" t="s">
        <v>430</v>
      </c>
      <c r="U38" s="293" t="s">
        <v>446</v>
      </c>
      <c r="V38" s="292" t="s">
        <v>426</v>
      </c>
      <c r="W38" s="293" t="s">
        <v>426</v>
      </c>
      <c r="X38" s="294">
        <v>8937547000</v>
      </c>
      <c r="Y38" s="294">
        <v>0</v>
      </c>
      <c r="Z38" s="294">
        <v>0</v>
      </c>
      <c r="AA38" s="258">
        <f t="shared" si="11"/>
        <v>9312923.9739999995</v>
      </c>
      <c r="AB38" s="258">
        <f t="shared" si="12"/>
        <v>0</v>
      </c>
      <c r="AC38" s="258">
        <f t="shared" si="13"/>
        <v>0</v>
      </c>
      <c r="AM38" s="212" t="s">
        <v>797</v>
      </c>
      <c r="AN38" s="212" t="s">
        <v>798</v>
      </c>
      <c r="AO38" s="212" t="s">
        <v>426</v>
      </c>
      <c r="AP38" s="212" t="s">
        <v>426</v>
      </c>
      <c r="AQ38" s="212" t="s">
        <v>513</v>
      </c>
      <c r="AR38" s="295">
        <v>19095077658</v>
      </c>
      <c r="AS38" s="295">
        <v>0</v>
      </c>
      <c r="AT38" s="295">
        <v>0</v>
      </c>
      <c r="AU38" s="295">
        <f t="shared" si="15"/>
        <v>19897070.919636</v>
      </c>
      <c r="AV38" s="295">
        <f t="shared" si="16"/>
        <v>0</v>
      </c>
      <c r="AW38" s="295">
        <f t="shared" si="17"/>
        <v>0</v>
      </c>
      <c r="BF38" s="263" t="s">
        <v>795</v>
      </c>
      <c r="BG38" s="296" t="s">
        <v>796</v>
      </c>
      <c r="BH38" s="210" t="s">
        <v>426</v>
      </c>
      <c r="BI38" s="212" t="s">
        <v>426</v>
      </c>
      <c r="BJ38" s="264">
        <v>25451323184</v>
      </c>
      <c r="BK38" s="264">
        <v>0</v>
      </c>
      <c r="BL38" s="264">
        <v>0</v>
      </c>
      <c r="BM38" s="264">
        <f t="shared" si="19"/>
        <v>26520278.757728003</v>
      </c>
      <c r="BN38" s="264">
        <f t="shared" si="20"/>
        <v>0</v>
      </c>
      <c r="BO38" s="264">
        <f t="shared" si="21"/>
        <v>0</v>
      </c>
      <c r="BY38" s="210" t="s">
        <v>793</v>
      </c>
      <c r="BZ38" s="210" t="s">
        <v>794</v>
      </c>
      <c r="CA38" s="210" t="s">
        <v>426</v>
      </c>
      <c r="CB38" s="210" t="s">
        <v>426</v>
      </c>
      <c r="CC38" s="212" t="s">
        <v>513</v>
      </c>
      <c r="CD38" s="211">
        <v>1567372802</v>
      </c>
      <c r="CE38" s="211">
        <v>0</v>
      </c>
      <c r="CF38" s="211">
        <v>0</v>
      </c>
      <c r="CG38" s="211">
        <f t="shared" si="23"/>
        <v>1633202.4596839999</v>
      </c>
      <c r="CH38" s="211">
        <f t="shared" si="24"/>
        <v>0</v>
      </c>
      <c r="CI38" s="211">
        <f t="shared" si="25"/>
        <v>0</v>
      </c>
      <c r="CR38" s="212" t="s">
        <v>791</v>
      </c>
      <c r="CS38" s="212" t="s">
        <v>792</v>
      </c>
      <c r="CT38" s="212" t="s">
        <v>426</v>
      </c>
      <c r="CU38" s="212" t="s">
        <v>426</v>
      </c>
      <c r="CV38" s="211">
        <v>2200153131</v>
      </c>
      <c r="CW38" s="211">
        <v>0</v>
      </c>
      <c r="CX38" s="211">
        <v>0</v>
      </c>
      <c r="CY38" s="211">
        <f t="shared" si="27"/>
        <v>2292559.562502</v>
      </c>
      <c r="CZ38" s="211">
        <f t="shared" si="28"/>
        <v>0</v>
      </c>
      <c r="DA38" s="211">
        <f t="shared" si="29"/>
        <v>0</v>
      </c>
      <c r="DK38" s="210" t="s">
        <v>791</v>
      </c>
      <c r="DL38" s="212" t="s">
        <v>792</v>
      </c>
      <c r="DM38" s="210" t="s">
        <v>426</v>
      </c>
      <c r="DN38" s="212" t="s">
        <v>426</v>
      </c>
      <c r="DO38" s="211">
        <v>2473025849</v>
      </c>
      <c r="DP38" s="211">
        <v>0</v>
      </c>
      <c r="DQ38" s="211">
        <v>0</v>
      </c>
      <c r="DR38" s="211">
        <f t="shared" si="31"/>
        <v>2576892.9346580002</v>
      </c>
      <c r="DS38" s="211">
        <f t="shared" si="32"/>
        <v>0</v>
      </c>
      <c r="DT38" s="211">
        <f t="shared" si="33"/>
        <v>0</v>
      </c>
      <c r="EE38" s="210" t="s">
        <v>791</v>
      </c>
      <c r="EF38" s="212" t="s">
        <v>792</v>
      </c>
      <c r="EG38" s="212" t="s">
        <v>426</v>
      </c>
      <c r="EH38" s="212" t="s">
        <v>426</v>
      </c>
      <c r="EI38" s="211">
        <v>2647031001</v>
      </c>
      <c r="EJ38" s="211">
        <v>0</v>
      </c>
      <c r="EK38" s="211">
        <v>0</v>
      </c>
      <c r="EL38" s="258">
        <f t="shared" si="35"/>
        <v>2758206.3030420002</v>
      </c>
      <c r="EM38" s="258">
        <f t="shared" si="36"/>
        <v>0</v>
      </c>
      <c r="EN38" s="258">
        <f t="shared" si="37"/>
        <v>0</v>
      </c>
      <c r="EV38" s="257"/>
      <c r="EY38" s="210" t="s">
        <v>791</v>
      </c>
      <c r="EZ38" s="212" t="s">
        <v>792</v>
      </c>
      <c r="FA38" s="212" t="s">
        <v>426</v>
      </c>
      <c r="FB38" s="212" t="s">
        <v>426</v>
      </c>
      <c r="FC38" s="211">
        <v>3081761891</v>
      </c>
      <c r="FD38" s="211">
        <v>0</v>
      </c>
      <c r="FE38" s="211">
        <v>0</v>
      </c>
      <c r="FF38" s="257">
        <f t="shared" si="39"/>
        <v>3081761.8909999998</v>
      </c>
      <c r="FG38" s="257">
        <f t="shared" si="40"/>
        <v>0</v>
      </c>
      <c r="FH38" s="257">
        <f t="shared" si="41"/>
        <v>0</v>
      </c>
      <c r="FR38" s="262" t="s">
        <v>791</v>
      </c>
      <c r="FS38" s="204" t="s">
        <v>792</v>
      </c>
      <c r="FT38" s="204" t="s">
        <v>426</v>
      </c>
      <c r="FU38" s="204" t="s">
        <v>426</v>
      </c>
      <c r="FV38" s="257">
        <v>3081761891</v>
      </c>
      <c r="FW38" s="257">
        <v>0</v>
      </c>
      <c r="FX38" s="257">
        <v>0</v>
      </c>
      <c r="FY38" s="226">
        <f t="shared" si="43"/>
        <v>3081761.8909999998</v>
      </c>
      <c r="FZ38" s="226">
        <f t="shared" si="44"/>
        <v>0</v>
      </c>
      <c r="GA38" s="226">
        <f t="shared" si="45"/>
        <v>0</v>
      </c>
      <c r="GK38" s="204" t="s">
        <v>789</v>
      </c>
      <c r="GL38" s="204" t="s">
        <v>790</v>
      </c>
      <c r="GM38" s="204" t="s">
        <v>426</v>
      </c>
      <c r="GN38" s="204" t="s">
        <v>426</v>
      </c>
      <c r="GO38" s="257">
        <v>0</v>
      </c>
      <c r="GP38" s="257">
        <v>6096884277</v>
      </c>
      <c r="GQ38" s="257">
        <v>6096884277</v>
      </c>
      <c r="GR38" s="257">
        <f t="shared" si="47"/>
        <v>0</v>
      </c>
      <c r="GS38" s="257">
        <f t="shared" si="48"/>
        <v>6096884.2769999998</v>
      </c>
      <c r="GT38" s="257">
        <f t="shared" si="49"/>
        <v>6096884.2769999998</v>
      </c>
      <c r="HC38" s="204" t="s">
        <v>789</v>
      </c>
      <c r="HD38" s="204" t="s">
        <v>790</v>
      </c>
      <c r="HE38" s="204" t="s">
        <v>426</v>
      </c>
      <c r="HF38" s="204" t="s">
        <v>426</v>
      </c>
      <c r="HG38" s="225">
        <v>0</v>
      </c>
      <c r="HH38" s="225">
        <v>6096884277</v>
      </c>
      <c r="HI38" s="225">
        <v>6096884277</v>
      </c>
      <c r="HJ38" s="225">
        <f t="shared" si="51"/>
        <v>0</v>
      </c>
      <c r="HK38" s="225">
        <f t="shared" si="52"/>
        <v>6096884.2769999998</v>
      </c>
      <c r="HL38" s="225">
        <f t="shared" si="53"/>
        <v>6096884.2769999998</v>
      </c>
    </row>
    <row r="39" spans="1:220" ht="15" customHeight="1" x14ac:dyDescent="0.2">
      <c r="T39" s="292" t="s">
        <v>430</v>
      </c>
      <c r="U39" s="293" t="s">
        <v>446</v>
      </c>
      <c r="V39" s="292" t="s">
        <v>426</v>
      </c>
      <c r="W39" s="293" t="s">
        <v>426</v>
      </c>
      <c r="X39" s="294">
        <v>0</v>
      </c>
      <c r="Y39" s="294">
        <v>159075452</v>
      </c>
      <c r="Z39" s="294">
        <v>149403452</v>
      </c>
      <c r="AA39" s="258">
        <f t="shared" si="11"/>
        <v>0</v>
      </c>
      <c r="AB39" s="258">
        <f t="shared" si="12"/>
        <v>165756.62098400001</v>
      </c>
      <c r="AC39" s="258">
        <f t="shared" si="13"/>
        <v>155678.39698399999</v>
      </c>
      <c r="AM39" s="212" t="s">
        <v>797</v>
      </c>
      <c r="AN39" s="212" t="s">
        <v>798</v>
      </c>
      <c r="AO39" s="212" t="s">
        <v>426</v>
      </c>
      <c r="AP39" s="212" t="s">
        <v>426</v>
      </c>
      <c r="AQ39" s="212" t="s">
        <v>513</v>
      </c>
      <c r="AR39" s="295">
        <v>0</v>
      </c>
      <c r="AS39" s="295">
        <v>3968116698</v>
      </c>
      <c r="AT39" s="295">
        <v>3219509243</v>
      </c>
      <c r="AU39" s="295">
        <f t="shared" si="15"/>
        <v>0</v>
      </c>
      <c r="AV39" s="295">
        <f t="shared" si="16"/>
        <v>4134777.599316</v>
      </c>
      <c r="AW39" s="295">
        <f t="shared" si="17"/>
        <v>3354728.6312059998</v>
      </c>
      <c r="BF39" s="263" t="s">
        <v>795</v>
      </c>
      <c r="BG39" s="296" t="s">
        <v>796</v>
      </c>
      <c r="BH39" s="210" t="s">
        <v>426</v>
      </c>
      <c r="BI39" s="212" t="s">
        <v>426</v>
      </c>
      <c r="BJ39" s="264">
        <v>0</v>
      </c>
      <c r="BK39" s="264">
        <v>292620000</v>
      </c>
      <c r="BL39" s="264">
        <v>0</v>
      </c>
      <c r="BM39" s="264">
        <f t="shared" si="19"/>
        <v>0</v>
      </c>
      <c r="BN39" s="264">
        <f t="shared" si="20"/>
        <v>304910.04000000004</v>
      </c>
      <c r="BO39" s="264">
        <f t="shared" si="21"/>
        <v>0</v>
      </c>
      <c r="BY39" s="210" t="s">
        <v>793</v>
      </c>
      <c r="BZ39" s="210" t="s">
        <v>794</v>
      </c>
      <c r="CA39" s="210" t="s">
        <v>426</v>
      </c>
      <c r="CB39" s="210" t="s">
        <v>426</v>
      </c>
      <c r="CC39" s="212" t="s">
        <v>513</v>
      </c>
      <c r="CD39" s="211">
        <v>0</v>
      </c>
      <c r="CE39" s="211">
        <v>198714720</v>
      </c>
      <c r="CF39" s="211">
        <v>138798220</v>
      </c>
      <c r="CG39" s="211">
        <f t="shared" si="23"/>
        <v>0</v>
      </c>
      <c r="CH39" s="211">
        <f t="shared" si="24"/>
        <v>207060.73824000001</v>
      </c>
      <c r="CI39" s="211">
        <f t="shared" si="25"/>
        <v>144627.74524000002</v>
      </c>
      <c r="CR39" s="212" t="s">
        <v>791</v>
      </c>
      <c r="CS39" s="212" t="s">
        <v>792</v>
      </c>
      <c r="CT39" s="212" t="s">
        <v>426</v>
      </c>
      <c r="CU39" s="212" t="s">
        <v>426</v>
      </c>
      <c r="CV39" s="211">
        <v>0</v>
      </c>
      <c r="CW39" s="211">
        <v>873801770</v>
      </c>
      <c r="CX39" s="211">
        <v>873801770</v>
      </c>
      <c r="CY39" s="211">
        <f t="shared" si="27"/>
        <v>0</v>
      </c>
      <c r="CZ39" s="211">
        <f t="shared" si="28"/>
        <v>910501.44434000005</v>
      </c>
      <c r="DA39" s="211">
        <f t="shared" si="29"/>
        <v>910501.44434000005</v>
      </c>
      <c r="DK39" s="210" t="s">
        <v>791</v>
      </c>
      <c r="DL39" s="212" t="s">
        <v>792</v>
      </c>
      <c r="DM39" s="210" t="s">
        <v>426</v>
      </c>
      <c r="DN39" s="212" t="s">
        <v>426</v>
      </c>
      <c r="DO39" s="211">
        <v>0</v>
      </c>
      <c r="DP39" s="211">
        <v>1243504895</v>
      </c>
      <c r="DQ39" s="211">
        <v>1243504895</v>
      </c>
      <c r="DR39" s="211">
        <f t="shared" si="31"/>
        <v>0</v>
      </c>
      <c r="DS39" s="211">
        <f t="shared" si="32"/>
        <v>1295732.1005900002</v>
      </c>
      <c r="DT39" s="211">
        <f t="shared" si="33"/>
        <v>1295732.1005900002</v>
      </c>
      <c r="EE39" s="210" t="s">
        <v>791</v>
      </c>
      <c r="EF39" s="212" t="s">
        <v>792</v>
      </c>
      <c r="EG39" s="212" t="s">
        <v>426</v>
      </c>
      <c r="EH39" s="212" t="s">
        <v>426</v>
      </c>
      <c r="EI39" s="211">
        <v>0</v>
      </c>
      <c r="EJ39" s="211">
        <v>1898727322</v>
      </c>
      <c r="EK39" s="211">
        <v>1832341895</v>
      </c>
      <c r="EL39" s="258">
        <f t="shared" si="35"/>
        <v>0</v>
      </c>
      <c r="EM39" s="258">
        <f t="shared" si="36"/>
        <v>1978473.869524</v>
      </c>
      <c r="EN39" s="258">
        <f t="shared" si="37"/>
        <v>1909300.25459</v>
      </c>
      <c r="EV39" s="257"/>
      <c r="EY39" s="210" t="s">
        <v>791</v>
      </c>
      <c r="EZ39" s="212" t="s">
        <v>792</v>
      </c>
      <c r="FA39" s="212" t="s">
        <v>426</v>
      </c>
      <c r="FB39" s="212" t="s">
        <v>426</v>
      </c>
      <c r="FC39" s="211">
        <v>0</v>
      </c>
      <c r="FD39" s="211">
        <v>1948261895</v>
      </c>
      <c r="FE39" s="211">
        <v>1988716882</v>
      </c>
      <c r="FF39" s="257">
        <f t="shared" si="39"/>
        <v>0</v>
      </c>
      <c r="FG39" s="257">
        <f t="shared" si="40"/>
        <v>1948261.895</v>
      </c>
      <c r="FH39" s="257">
        <f t="shared" si="41"/>
        <v>1988716.882</v>
      </c>
      <c r="FR39" s="262" t="s">
        <v>791</v>
      </c>
      <c r="FS39" s="204" t="s">
        <v>792</v>
      </c>
      <c r="FT39" s="204" t="s">
        <v>426</v>
      </c>
      <c r="FU39" s="204" t="s">
        <v>426</v>
      </c>
      <c r="FV39" s="257">
        <v>0</v>
      </c>
      <c r="FW39" s="257">
        <v>2388876314</v>
      </c>
      <c r="FX39" s="257">
        <v>2348257287</v>
      </c>
      <c r="FY39" s="226">
        <f t="shared" si="43"/>
        <v>0</v>
      </c>
      <c r="FZ39" s="226">
        <f t="shared" si="44"/>
        <v>2388876.3139999998</v>
      </c>
      <c r="GA39" s="226">
        <f t="shared" si="45"/>
        <v>2348257.287</v>
      </c>
      <c r="GK39" s="204" t="s">
        <v>791</v>
      </c>
      <c r="GL39" s="204" t="s">
        <v>792</v>
      </c>
      <c r="GM39" s="204" t="s">
        <v>426</v>
      </c>
      <c r="GN39" s="204" t="s">
        <v>426</v>
      </c>
      <c r="GO39" s="257">
        <v>3081761891</v>
      </c>
      <c r="GP39" s="257">
        <v>0</v>
      </c>
      <c r="GQ39" s="257">
        <v>0</v>
      </c>
      <c r="GR39" s="257">
        <f t="shared" si="47"/>
        <v>3081761.8909999998</v>
      </c>
      <c r="GS39" s="257">
        <f t="shared" si="48"/>
        <v>0</v>
      </c>
      <c r="GT39" s="257">
        <f t="shared" si="49"/>
        <v>0</v>
      </c>
      <c r="HC39" s="204" t="s">
        <v>791</v>
      </c>
      <c r="HD39" s="204" t="s">
        <v>792</v>
      </c>
      <c r="HE39" s="204" t="s">
        <v>426</v>
      </c>
      <c r="HF39" s="204" t="s">
        <v>426</v>
      </c>
      <c r="HG39" s="225">
        <v>2826341293</v>
      </c>
      <c r="HH39" s="225">
        <v>0</v>
      </c>
      <c r="HI39" s="225">
        <v>0</v>
      </c>
      <c r="HJ39" s="225">
        <f t="shared" si="51"/>
        <v>2826341.2930000001</v>
      </c>
      <c r="HK39" s="225">
        <f t="shared" si="52"/>
        <v>0</v>
      </c>
      <c r="HL39" s="225">
        <f t="shared" si="53"/>
        <v>0</v>
      </c>
    </row>
    <row r="40" spans="1:220" ht="15" customHeight="1" x14ac:dyDescent="0.2">
      <c r="T40" s="292" t="s">
        <v>839</v>
      </c>
      <c r="U40" s="293" t="s">
        <v>840</v>
      </c>
      <c r="V40" s="292" t="s">
        <v>426</v>
      </c>
      <c r="W40" s="293" t="s">
        <v>426</v>
      </c>
      <c r="X40" s="294">
        <v>3933000000</v>
      </c>
      <c r="Y40" s="294">
        <v>0</v>
      </c>
      <c r="Z40" s="294">
        <v>0</v>
      </c>
      <c r="AA40" s="258">
        <f t="shared" si="11"/>
        <v>4098186</v>
      </c>
      <c r="AB40" s="258">
        <f t="shared" si="12"/>
        <v>0</v>
      </c>
      <c r="AC40" s="258">
        <f t="shared" si="13"/>
        <v>0</v>
      </c>
      <c r="AM40" s="212" t="s">
        <v>799</v>
      </c>
      <c r="AN40" s="212" t="s">
        <v>800</v>
      </c>
      <c r="AO40" s="212" t="s">
        <v>426</v>
      </c>
      <c r="AP40" s="212" t="s">
        <v>426</v>
      </c>
      <c r="AQ40" s="212" t="s">
        <v>513</v>
      </c>
      <c r="AR40" s="295">
        <v>9719640000</v>
      </c>
      <c r="AS40" s="295">
        <v>0</v>
      </c>
      <c r="AT40" s="295">
        <v>0</v>
      </c>
      <c r="AU40" s="295">
        <f t="shared" si="15"/>
        <v>10127864.880000001</v>
      </c>
      <c r="AV40" s="295">
        <f t="shared" si="16"/>
        <v>0</v>
      </c>
      <c r="AW40" s="295">
        <f t="shared" si="17"/>
        <v>0</v>
      </c>
      <c r="BF40" s="263" t="s">
        <v>797</v>
      </c>
      <c r="BG40" s="296" t="s">
        <v>798</v>
      </c>
      <c r="BH40" s="210" t="s">
        <v>426</v>
      </c>
      <c r="BI40" s="212" t="s">
        <v>426</v>
      </c>
      <c r="BJ40" s="264">
        <v>19095077658</v>
      </c>
      <c r="BK40" s="264">
        <v>0</v>
      </c>
      <c r="BL40" s="264">
        <v>0</v>
      </c>
      <c r="BM40" s="264">
        <f t="shared" si="19"/>
        <v>19897070.919636</v>
      </c>
      <c r="BN40" s="264">
        <f t="shared" si="20"/>
        <v>0</v>
      </c>
      <c r="BO40" s="264">
        <f t="shared" si="21"/>
        <v>0</v>
      </c>
      <c r="BY40" s="210" t="s">
        <v>795</v>
      </c>
      <c r="BZ40" s="210" t="s">
        <v>796</v>
      </c>
      <c r="CA40" s="210" t="s">
        <v>426</v>
      </c>
      <c r="CB40" s="210" t="s">
        <v>426</v>
      </c>
      <c r="CC40" s="212" t="s">
        <v>513</v>
      </c>
      <c r="CD40" s="211">
        <v>25451323184</v>
      </c>
      <c r="CE40" s="211">
        <v>0</v>
      </c>
      <c r="CF40" s="211">
        <v>0</v>
      </c>
      <c r="CG40" s="211">
        <f t="shared" si="23"/>
        <v>26520278.757728003</v>
      </c>
      <c r="CH40" s="211">
        <f t="shared" si="24"/>
        <v>0</v>
      </c>
      <c r="CI40" s="211">
        <f t="shared" si="25"/>
        <v>0</v>
      </c>
      <c r="CR40" s="212" t="s">
        <v>793</v>
      </c>
      <c r="CS40" s="212" t="s">
        <v>794</v>
      </c>
      <c r="CT40" s="212" t="s">
        <v>426</v>
      </c>
      <c r="CU40" s="212" t="s">
        <v>426</v>
      </c>
      <c r="CV40" s="211">
        <v>1567372802</v>
      </c>
      <c r="CW40" s="211">
        <v>0</v>
      </c>
      <c r="CX40" s="211">
        <v>0</v>
      </c>
      <c r="CY40" s="211">
        <f t="shared" si="27"/>
        <v>1633202.4596839999</v>
      </c>
      <c r="CZ40" s="211">
        <f t="shared" si="28"/>
        <v>0</v>
      </c>
      <c r="DA40" s="211">
        <f t="shared" si="29"/>
        <v>0</v>
      </c>
      <c r="DK40" s="210" t="s">
        <v>793</v>
      </c>
      <c r="DL40" s="212" t="s">
        <v>794</v>
      </c>
      <c r="DM40" s="210" t="s">
        <v>426</v>
      </c>
      <c r="DN40" s="212" t="s">
        <v>426</v>
      </c>
      <c r="DO40" s="211">
        <v>1341536962</v>
      </c>
      <c r="DP40" s="211">
        <v>0</v>
      </c>
      <c r="DQ40" s="211">
        <v>0</v>
      </c>
      <c r="DR40" s="211">
        <f t="shared" si="31"/>
        <v>1397881.514404</v>
      </c>
      <c r="DS40" s="211">
        <f t="shared" si="32"/>
        <v>0</v>
      </c>
      <c r="DT40" s="211">
        <f t="shared" si="33"/>
        <v>0</v>
      </c>
      <c r="EE40" s="210" t="s">
        <v>793</v>
      </c>
      <c r="EF40" s="212" t="s">
        <v>794</v>
      </c>
      <c r="EG40" s="212" t="s">
        <v>426</v>
      </c>
      <c r="EH40" s="212" t="s">
        <v>426</v>
      </c>
      <c r="EI40" s="211">
        <v>1916315352</v>
      </c>
      <c r="EJ40" s="211">
        <v>0</v>
      </c>
      <c r="EK40" s="211">
        <v>0</v>
      </c>
      <c r="EL40" s="258">
        <f t="shared" si="35"/>
        <v>1996800.5967840001</v>
      </c>
      <c r="EM40" s="258">
        <f t="shared" si="36"/>
        <v>0</v>
      </c>
      <c r="EN40" s="258">
        <f t="shared" si="37"/>
        <v>0</v>
      </c>
      <c r="EV40" s="257"/>
      <c r="EY40" s="210" t="s">
        <v>793</v>
      </c>
      <c r="EZ40" s="212" t="s">
        <v>794</v>
      </c>
      <c r="FA40" s="212" t="s">
        <v>426</v>
      </c>
      <c r="FB40" s="212" t="s">
        <v>426</v>
      </c>
      <c r="FC40" s="211">
        <v>2622597793</v>
      </c>
      <c r="FD40" s="211">
        <v>0</v>
      </c>
      <c r="FE40" s="211">
        <v>0</v>
      </c>
      <c r="FF40" s="257">
        <f t="shared" si="39"/>
        <v>2622597.7930000001</v>
      </c>
      <c r="FG40" s="257">
        <f t="shared" si="40"/>
        <v>0</v>
      </c>
      <c r="FH40" s="257">
        <f t="shared" si="41"/>
        <v>0</v>
      </c>
      <c r="FR40" s="262" t="s">
        <v>793</v>
      </c>
      <c r="FS40" s="204" t="s">
        <v>794</v>
      </c>
      <c r="FT40" s="204" t="s">
        <v>426</v>
      </c>
      <c r="FU40" s="204" t="s">
        <v>426</v>
      </c>
      <c r="FV40" s="257">
        <v>2622597793</v>
      </c>
      <c r="FW40" s="257">
        <v>0</v>
      </c>
      <c r="FX40" s="257">
        <v>0</v>
      </c>
      <c r="FY40" s="226">
        <f t="shared" si="43"/>
        <v>2622597.7930000001</v>
      </c>
      <c r="FZ40" s="226">
        <f t="shared" si="44"/>
        <v>0</v>
      </c>
      <c r="GA40" s="226">
        <f t="shared" si="45"/>
        <v>0</v>
      </c>
      <c r="GK40" s="204" t="s">
        <v>791</v>
      </c>
      <c r="GL40" s="204" t="s">
        <v>792</v>
      </c>
      <c r="GM40" s="204" t="s">
        <v>426</v>
      </c>
      <c r="GN40" s="204" t="s">
        <v>426</v>
      </c>
      <c r="GO40" s="257">
        <v>0</v>
      </c>
      <c r="GP40" s="257">
        <v>2388876314</v>
      </c>
      <c r="GQ40" s="257">
        <v>2357757287</v>
      </c>
      <c r="GR40" s="257">
        <f t="shared" si="47"/>
        <v>0</v>
      </c>
      <c r="GS40" s="257">
        <f t="shared" si="48"/>
        <v>2388876.3139999998</v>
      </c>
      <c r="GT40" s="257">
        <f t="shared" si="49"/>
        <v>2357757.287</v>
      </c>
      <c r="HC40" s="204" t="s">
        <v>791</v>
      </c>
      <c r="HD40" s="204" t="s">
        <v>792</v>
      </c>
      <c r="HE40" s="204" t="s">
        <v>426</v>
      </c>
      <c r="HF40" s="204" t="s">
        <v>426</v>
      </c>
      <c r="HG40" s="225">
        <v>0</v>
      </c>
      <c r="HH40" s="225">
        <v>2826341293</v>
      </c>
      <c r="HI40" s="225">
        <v>2826341293</v>
      </c>
      <c r="HJ40" s="225">
        <f t="shared" si="51"/>
        <v>0</v>
      </c>
      <c r="HK40" s="225">
        <f t="shared" si="52"/>
        <v>2826341.2930000001</v>
      </c>
      <c r="HL40" s="225">
        <f t="shared" si="53"/>
        <v>2826341.2930000001</v>
      </c>
    </row>
    <row r="41" spans="1:220" ht="15" customHeight="1" x14ac:dyDescent="0.2">
      <c r="T41" s="292" t="s">
        <v>431</v>
      </c>
      <c r="U41" s="293" t="s">
        <v>127</v>
      </c>
      <c r="V41" s="292" t="s">
        <v>426</v>
      </c>
      <c r="W41" s="293" t="s">
        <v>426</v>
      </c>
      <c r="X41" s="294">
        <v>10100</v>
      </c>
      <c r="Y41" s="294">
        <v>0</v>
      </c>
      <c r="Z41" s="294">
        <v>0</v>
      </c>
      <c r="AA41" s="258">
        <f t="shared" si="11"/>
        <v>10.5242</v>
      </c>
      <c r="AB41" s="258">
        <f t="shared" si="12"/>
        <v>0</v>
      </c>
      <c r="AC41" s="258">
        <f t="shared" si="13"/>
        <v>0</v>
      </c>
      <c r="AM41" s="212" t="s">
        <v>427</v>
      </c>
      <c r="AN41" s="212" t="s">
        <v>445</v>
      </c>
      <c r="AO41" s="212" t="s">
        <v>426</v>
      </c>
      <c r="AP41" s="212" t="s">
        <v>426</v>
      </c>
      <c r="AQ41" s="212" t="s">
        <v>513</v>
      </c>
      <c r="AR41" s="295">
        <v>17089021000</v>
      </c>
      <c r="AS41" s="295">
        <v>0</v>
      </c>
      <c r="AT41" s="295">
        <v>0</v>
      </c>
      <c r="AU41" s="295">
        <f t="shared" si="15"/>
        <v>17806759.881999999</v>
      </c>
      <c r="AV41" s="295">
        <f t="shared" si="16"/>
        <v>0</v>
      </c>
      <c r="AW41" s="295">
        <f t="shared" si="17"/>
        <v>0</v>
      </c>
      <c r="BF41" s="263" t="s">
        <v>797</v>
      </c>
      <c r="BG41" s="296" t="s">
        <v>798</v>
      </c>
      <c r="BH41" s="210" t="s">
        <v>426</v>
      </c>
      <c r="BI41" s="212" t="s">
        <v>426</v>
      </c>
      <c r="BJ41" s="264">
        <v>0</v>
      </c>
      <c r="BK41" s="264">
        <v>5264105171</v>
      </c>
      <c r="BL41" s="264">
        <v>3958492562</v>
      </c>
      <c r="BM41" s="264">
        <f t="shared" si="19"/>
        <v>0</v>
      </c>
      <c r="BN41" s="264">
        <f t="shared" si="20"/>
        <v>5485197.5881820004</v>
      </c>
      <c r="BO41" s="264">
        <f t="shared" si="21"/>
        <v>4124749.2496040002</v>
      </c>
      <c r="BY41" s="210" t="s">
        <v>795</v>
      </c>
      <c r="BZ41" s="210" t="s">
        <v>796</v>
      </c>
      <c r="CA41" s="210" t="s">
        <v>426</v>
      </c>
      <c r="CB41" s="210" t="s">
        <v>426</v>
      </c>
      <c r="CC41" s="212" t="s">
        <v>513</v>
      </c>
      <c r="CD41" s="211">
        <v>0</v>
      </c>
      <c r="CE41" s="211">
        <v>292620000</v>
      </c>
      <c r="CF41" s="211">
        <v>292620000</v>
      </c>
      <c r="CG41" s="211">
        <f t="shared" si="23"/>
        <v>0</v>
      </c>
      <c r="CH41" s="211">
        <f t="shared" si="24"/>
        <v>304910.04000000004</v>
      </c>
      <c r="CI41" s="211">
        <f t="shared" si="25"/>
        <v>304910.04000000004</v>
      </c>
      <c r="CR41" s="212" t="s">
        <v>793</v>
      </c>
      <c r="CS41" s="212" t="s">
        <v>794</v>
      </c>
      <c r="CT41" s="212" t="s">
        <v>426</v>
      </c>
      <c r="CU41" s="212" t="s">
        <v>426</v>
      </c>
      <c r="CV41" s="211">
        <v>0</v>
      </c>
      <c r="CW41" s="211">
        <v>440348290</v>
      </c>
      <c r="CX41" s="211">
        <v>440348290</v>
      </c>
      <c r="CY41" s="211">
        <f t="shared" si="27"/>
        <v>0</v>
      </c>
      <c r="CZ41" s="211">
        <f t="shared" si="28"/>
        <v>458842.91817999998</v>
      </c>
      <c r="DA41" s="211">
        <f t="shared" si="29"/>
        <v>458842.91817999998</v>
      </c>
      <c r="DK41" s="210" t="s">
        <v>793</v>
      </c>
      <c r="DL41" s="212" t="s">
        <v>794</v>
      </c>
      <c r="DM41" s="210" t="s">
        <v>426</v>
      </c>
      <c r="DN41" s="212" t="s">
        <v>426</v>
      </c>
      <c r="DO41" s="211">
        <v>0</v>
      </c>
      <c r="DP41" s="211">
        <v>763648290</v>
      </c>
      <c r="DQ41" s="211">
        <v>440348290</v>
      </c>
      <c r="DR41" s="211">
        <f t="shared" si="31"/>
        <v>0</v>
      </c>
      <c r="DS41" s="211">
        <f t="shared" si="32"/>
        <v>795721.51818000001</v>
      </c>
      <c r="DT41" s="211">
        <f t="shared" si="33"/>
        <v>458842.91817999998</v>
      </c>
      <c r="EE41" s="210" t="s">
        <v>793</v>
      </c>
      <c r="EF41" s="212" t="s">
        <v>794</v>
      </c>
      <c r="EG41" s="212" t="s">
        <v>426</v>
      </c>
      <c r="EH41" s="212" t="s">
        <v>426</v>
      </c>
      <c r="EI41" s="211">
        <v>0</v>
      </c>
      <c r="EJ41" s="211">
        <v>934442415</v>
      </c>
      <c r="EK41" s="211">
        <v>874982415</v>
      </c>
      <c r="EL41" s="258">
        <f t="shared" si="35"/>
        <v>0</v>
      </c>
      <c r="EM41" s="258">
        <f t="shared" si="36"/>
        <v>973688.99643000006</v>
      </c>
      <c r="EN41" s="258">
        <f t="shared" si="37"/>
        <v>911731.67643000011</v>
      </c>
      <c r="EV41" s="257"/>
      <c r="EY41" s="210" t="s">
        <v>793</v>
      </c>
      <c r="EZ41" s="212" t="s">
        <v>794</v>
      </c>
      <c r="FA41" s="212" t="s">
        <v>426</v>
      </c>
      <c r="FB41" s="212" t="s">
        <v>426</v>
      </c>
      <c r="FC41" s="211">
        <v>0</v>
      </c>
      <c r="FD41" s="211">
        <v>874982415</v>
      </c>
      <c r="FE41" s="211">
        <v>934442415</v>
      </c>
      <c r="FF41" s="257">
        <f t="shared" si="39"/>
        <v>0</v>
      </c>
      <c r="FG41" s="257">
        <f t="shared" si="40"/>
        <v>874982.41500000004</v>
      </c>
      <c r="FH41" s="257">
        <f t="shared" si="41"/>
        <v>934442.41500000004</v>
      </c>
      <c r="FR41" s="262" t="s">
        <v>793</v>
      </c>
      <c r="FS41" s="204" t="s">
        <v>794</v>
      </c>
      <c r="FT41" s="204" t="s">
        <v>426</v>
      </c>
      <c r="FU41" s="204" t="s">
        <v>426</v>
      </c>
      <c r="FV41" s="257">
        <v>0</v>
      </c>
      <c r="FW41" s="257">
        <v>1112358915</v>
      </c>
      <c r="FX41" s="257">
        <v>1052898915</v>
      </c>
      <c r="FY41" s="226">
        <f t="shared" si="43"/>
        <v>0</v>
      </c>
      <c r="FZ41" s="226">
        <f t="shared" si="44"/>
        <v>1112358.915</v>
      </c>
      <c r="GA41" s="226">
        <f t="shared" si="45"/>
        <v>1052898.915</v>
      </c>
      <c r="GK41" s="204" t="s">
        <v>793</v>
      </c>
      <c r="GL41" s="204" t="s">
        <v>794</v>
      </c>
      <c r="GM41" s="204" t="s">
        <v>426</v>
      </c>
      <c r="GN41" s="204" t="s">
        <v>426</v>
      </c>
      <c r="GO41" s="257">
        <v>3305150603</v>
      </c>
      <c r="GP41" s="257">
        <v>0</v>
      </c>
      <c r="GQ41" s="257">
        <v>0</v>
      </c>
      <c r="GR41" s="257">
        <f t="shared" si="47"/>
        <v>3305150.6030000001</v>
      </c>
      <c r="GS41" s="257">
        <f t="shared" si="48"/>
        <v>0</v>
      </c>
      <c r="GT41" s="257">
        <f t="shared" si="49"/>
        <v>0</v>
      </c>
      <c r="HC41" s="204" t="s">
        <v>793</v>
      </c>
      <c r="HD41" s="204" t="s">
        <v>794</v>
      </c>
      <c r="HE41" s="204" t="s">
        <v>426</v>
      </c>
      <c r="HF41" s="204" t="s">
        <v>426</v>
      </c>
      <c r="HG41" s="225">
        <v>2820166520</v>
      </c>
      <c r="HH41" s="225">
        <v>0</v>
      </c>
      <c r="HI41" s="225">
        <v>0</v>
      </c>
      <c r="HJ41" s="225">
        <f t="shared" si="51"/>
        <v>2820166.52</v>
      </c>
      <c r="HK41" s="225">
        <f t="shared" si="52"/>
        <v>0</v>
      </c>
      <c r="HL41" s="225">
        <f t="shared" si="53"/>
        <v>0</v>
      </c>
    </row>
    <row r="42" spans="1:220" ht="15" customHeight="1" x14ac:dyDescent="0.2">
      <c r="T42" s="292" t="s">
        <v>431</v>
      </c>
      <c r="U42" s="293" t="s">
        <v>127</v>
      </c>
      <c r="V42" s="292" t="s">
        <v>426</v>
      </c>
      <c r="W42" s="293" t="s">
        <v>426</v>
      </c>
      <c r="X42" s="294">
        <v>0</v>
      </c>
      <c r="Y42" s="294">
        <v>15276251603</v>
      </c>
      <c r="Z42" s="294">
        <v>15276251603</v>
      </c>
      <c r="AA42" s="258">
        <f t="shared" si="11"/>
        <v>0</v>
      </c>
      <c r="AB42" s="258">
        <f t="shared" si="12"/>
        <v>15917854.170326</v>
      </c>
      <c r="AC42" s="258">
        <f t="shared" si="13"/>
        <v>15917854.170326</v>
      </c>
      <c r="AM42" s="212" t="s">
        <v>430</v>
      </c>
      <c r="AN42" s="212" t="s">
        <v>446</v>
      </c>
      <c r="AO42" s="212" t="s">
        <v>426</v>
      </c>
      <c r="AP42" s="212" t="s">
        <v>426</v>
      </c>
      <c r="AQ42" s="212" t="s">
        <v>513</v>
      </c>
      <c r="AR42" s="295">
        <v>8937547000</v>
      </c>
      <c r="AS42" s="295">
        <v>0</v>
      </c>
      <c r="AT42" s="295">
        <v>0</v>
      </c>
      <c r="AU42" s="295">
        <f t="shared" si="15"/>
        <v>9312923.9739999995</v>
      </c>
      <c r="AV42" s="295">
        <f t="shared" si="16"/>
        <v>0</v>
      </c>
      <c r="AW42" s="295">
        <f t="shared" si="17"/>
        <v>0</v>
      </c>
      <c r="BF42" s="263" t="s">
        <v>799</v>
      </c>
      <c r="BG42" s="296" t="s">
        <v>800</v>
      </c>
      <c r="BH42" s="210" t="s">
        <v>426</v>
      </c>
      <c r="BI42" s="212" t="s">
        <v>426</v>
      </c>
      <c r="BJ42" s="264">
        <v>9719640000</v>
      </c>
      <c r="BK42" s="264">
        <v>0</v>
      </c>
      <c r="BL42" s="264">
        <v>0</v>
      </c>
      <c r="BM42" s="264">
        <f t="shared" si="19"/>
        <v>10127864.880000001</v>
      </c>
      <c r="BN42" s="264">
        <f t="shared" si="20"/>
        <v>0</v>
      </c>
      <c r="BO42" s="264">
        <f t="shared" si="21"/>
        <v>0</v>
      </c>
      <c r="BY42" s="210" t="s">
        <v>797</v>
      </c>
      <c r="BZ42" s="210" t="s">
        <v>798</v>
      </c>
      <c r="CA42" s="210" t="s">
        <v>426</v>
      </c>
      <c r="CB42" s="210" t="s">
        <v>426</v>
      </c>
      <c r="CC42" s="212" t="s">
        <v>513</v>
      </c>
      <c r="CD42" s="211">
        <v>19686055658</v>
      </c>
      <c r="CE42" s="211">
        <v>0</v>
      </c>
      <c r="CF42" s="211">
        <v>0</v>
      </c>
      <c r="CG42" s="211">
        <f t="shared" si="23"/>
        <v>20512869.995636001</v>
      </c>
      <c r="CH42" s="211">
        <f t="shared" si="24"/>
        <v>0</v>
      </c>
      <c r="CI42" s="211">
        <f t="shared" si="25"/>
        <v>0</v>
      </c>
      <c r="CR42" s="212" t="s">
        <v>795</v>
      </c>
      <c r="CS42" s="212" t="s">
        <v>796</v>
      </c>
      <c r="CT42" s="212" t="s">
        <v>426</v>
      </c>
      <c r="CU42" s="212" t="s">
        <v>426</v>
      </c>
      <c r="CV42" s="211">
        <v>25451323184</v>
      </c>
      <c r="CW42" s="211">
        <v>0</v>
      </c>
      <c r="CX42" s="211">
        <v>0</v>
      </c>
      <c r="CY42" s="211">
        <f t="shared" si="27"/>
        <v>26520278.757728003</v>
      </c>
      <c r="CZ42" s="211">
        <f t="shared" si="28"/>
        <v>0</v>
      </c>
      <c r="DA42" s="211">
        <f t="shared" si="29"/>
        <v>0</v>
      </c>
      <c r="DK42" s="210" t="s">
        <v>795</v>
      </c>
      <c r="DL42" s="212" t="s">
        <v>796</v>
      </c>
      <c r="DM42" s="210" t="s">
        <v>426</v>
      </c>
      <c r="DN42" s="212" t="s">
        <v>426</v>
      </c>
      <c r="DO42" s="211">
        <v>25451323184</v>
      </c>
      <c r="DP42" s="211">
        <v>0</v>
      </c>
      <c r="DQ42" s="211">
        <v>0</v>
      </c>
      <c r="DR42" s="211">
        <f t="shared" si="31"/>
        <v>26520278.757728003</v>
      </c>
      <c r="DS42" s="211">
        <f t="shared" si="32"/>
        <v>0</v>
      </c>
      <c r="DT42" s="211">
        <f t="shared" si="33"/>
        <v>0</v>
      </c>
      <c r="EE42" s="210" t="s">
        <v>795</v>
      </c>
      <c r="EF42" s="212" t="s">
        <v>796</v>
      </c>
      <c r="EG42" s="212" t="s">
        <v>426</v>
      </c>
      <c r="EH42" s="212" t="s">
        <v>426</v>
      </c>
      <c r="EI42" s="211">
        <v>25451323184</v>
      </c>
      <c r="EJ42" s="211">
        <v>0</v>
      </c>
      <c r="EK42" s="211">
        <v>0</v>
      </c>
      <c r="EL42" s="258">
        <f t="shared" si="35"/>
        <v>26520278.757728003</v>
      </c>
      <c r="EM42" s="258">
        <f t="shared" si="36"/>
        <v>0</v>
      </c>
      <c r="EN42" s="258">
        <f t="shared" si="37"/>
        <v>0</v>
      </c>
      <c r="EV42" s="257"/>
      <c r="EY42" s="210" t="s">
        <v>795</v>
      </c>
      <c r="EZ42" s="212" t="s">
        <v>796</v>
      </c>
      <c r="FA42" s="212" t="s">
        <v>426</v>
      </c>
      <c r="FB42" s="212" t="s">
        <v>426</v>
      </c>
      <c r="FC42" s="211">
        <v>15355478136</v>
      </c>
      <c r="FD42" s="211">
        <v>0</v>
      </c>
      <c r="FE42" s="211">
        <v>0</v>
      </c>
      <c r="FF42" s="257">
        <f t="shared" si="39"/>
        <v>15355478.136</v>
      </c>
      <c r="FG42" s="257">
        <f t="shared" si="40"/>
        <v>0</v>
      </c>
      <c r="FH42" s="257">
        <f t="shared" si="41"/>
        <v>0</v>
      </c>
      <c r="FR42" s="262" t="s">
        <v>795</v>
      </c>
      <c r="FS42" s="204" t="s">
        <v>796</v>
      </c>
      <c r="FT42" s="204" t="s">
        <v>426</v>
      </c>
      <c r="FU42" s="204" t="s">
        <v>426</v>
      </c>
      <c r="FV42" s="257">
        <v>15355478136</v>
      </c>
      <c r="FW42" s="257">
        <v>0</v>
      </c>
      <c r="FX42" s="257">
        <v>0</v>
      </c>
      <c r="FY42" s="226">
        <f t="shared" si="43"/>
        <v>15355478.136</v>
      </c>
      <c r="FZ42" s="226">
        <f t="shared" si="44"/>
        <v>0</v>
      </c>
      <c r="GA42" s="226">
        <f t="shared" si="45"/>
        <v>0</v>
      </c>
      <c r="GK42" s="204" t="s">
        <v>793</v>
      </c>
      <c r="GL42" s="204" t="s">
        <v>794</v>
      </c>
      <c r="GM42" s="204" t="s">
        <v>426</v>
      </c>
      <c r="GN42" s="204" t="s">
        <v>426</v>
      </c>
      <c r="GO42" s="257">
        <v>0</v>
      </c>
      <c r="GP42" s="257">
        <v>1141336020</v>
      </c>
      <c r="GQ42" s="257">
        <v>1125429770</v>
      </c>
      <c r="GR42" s="257">
        <f t="shared" si="47"/>
        <v>0</v>
      </c>
      <c r="GS42" s="257">
        <f t="shared" si="48"/>
        <v>1141336.02</v>
      </c>
      <c r="GT42" s="257">
        <f t="shared" si="49"/>
        <v>1125429.77</v>
      </c>
      <c r="HC42" s="204" t="s">
        <v>793</v>
      </c>
      <c r="HD42" s="204" t="s">
        <v>794</v>
      </c>
      <c r="HE42" s="204" t="s">
        <v>426</v>
      </c>
      <c r="HF42" s="204" t="s">
        <v>426</v>
      </c>
      <c r="HG42" s="225">
        <v>0</v>
      </c>
      <c r="HH42" s="225">
        <v>2820166520</v>
      </c>
      <c r="HI42" s="225">
        <v>2820166520</v>
      </c>
      <c r="HJ42" s="225">
        <f t="shared" si="51"/>
        <v>0</v>
      </c>
      <c r="HK42" s="225">
        <f t="shared" si="52"/>
        <v>2820166.52</v>
      </c>
      <c r="HL42" s="225">
        <f t="shared" si="53"/>
        <v>2820166.52</v>
      </c>
    </row>
    <row r="43" spans="1:220" ht="15" customHeight="1" x14ac:dyDescent="0.2">
      <c r="AM43" s="212" t="s">
        <v>430</v>
      </c>
      <c r="AN43" s="212" t="s">
        <v>446</v>
      </c>
      <c r="AO43" s="212" t="s">
        <v>426</v>
      </c>
      <c r="AP43" s="212" t="s">
        <v>426</v>
      </c>
      <c r="AQ43" s="212" t="s">
        <v>513</v>
      </c>
      <c r="AR43" s="295">
        <v>0</v>
      </c>
      <c r="AS43" s="295">
        <v>523119107</v>
      </c>
      <c r="AT43" s="295">
        <v>523119107</v>
      </c>
      <c r="AU43" s="295">
        <f t="shared" si="15"/>
        <v>0</v>
      </c>
      <c r="AV43" s="295">
        <f t="shared" si="16"/>
        <v>545090.10949400009</v>
      </c>
      <c r="AW43" s="295">
        <f t="shared" si="17"/>
        <v>545090.10949400009</v>
      </c>
      <c r="BF43" s="210" t="s">
        <v>799</v>
      </c>
      <c r="BG43" s="296" t="s">
        <v>800</v>
      </c>
      <c r="BH43" s="210" t="s">
        <v>426</v>
      </c>
      <c r="BI43" s="212" t="s">
        <v>426</v>
      </c>
      <c r="BJ43" s="211">
        <v>0</v>
      </c>
      <c r="BK43" s="211">
        <v>1222430468</v>
      </c>
      <c r="BL43" s="211">
        <v>0</v>
      </c>
      <c r="BM43" s="264">
        <f t="shared" si="19"/>
        <v>0</v>
      </c>
      <c r="BN43" s="264">
        <f t="shared" si="20"/>
        <v>1273772.5476560001</v>
      </c>
      <c r="BO43" s="264">
        <f t="shared" si="21"/>
        <v>0</v>
      </c>
      <c r="BY43" s="210" t="s">
        <v>797</v>
      </c>
      <c r="BZ43" s="210" t="s">
        <v>798</v>
      </c>
      <c r="CA43" s="210" t="s">
        <v>426</v>
      </c>
      <c r="CB43" s="210" t="s">
        <v>426</v>
      </c>
      <c r="CC43" s="212" t="s">
        <v>513</v>
      </c>
      <c r="CD43" s="211">
        <v>0</v>
      </c>
      <c r="CE43" s="211">
        <v>6523457180</v>
      </c>
      <c r="CF43" s="211">
        <v>5820850175</v>
      </c>
      <c r="CG43" s="211">
        <f t="shared" si="23"/>
        <v>0</v>
      </c>
      <c r="CH43" s="211">
        <f t="shared" si="24"/>
        <v>6797442.3815599997</v>
      </c>
      <c r="CI43" s="211">
        <f t="shared" si="25"/>
        <v>6065325.8823499996</v>
      </c>
      <c r="CR43" s="212" t="s">
        <v>795</v>
      </c>
      <c r="CS43" s="212" t="s">
        <v>796</v>
      </c>
      <c r="CT43" s="212" t="s">
        <v>426</v>
      </c>
      <c r="CU43" s="212" t="s">
        <v>426</v>
      </c>
      <c r="CV43" s="211">
        <v>0</v>
      </c>
      <c r="CW43" s="211">
        <v>678013109</v>
      </c>
      <c r="CX43" s="211">
        <v>382620000</v>
      </c>
      <c r="CY43" s="211">
        <f t="shared" si="27"/>
        <v>0</v>
      </c>
      <c r="CZ43" s="211">
        <f t="shared" si="28"/>
        <v>706489.65957800008</v>
      </c>
      <c r="DA43" s="211">
        <f t="shared" si="29"/>
        <v>398690.04000000004</v>
      </c>
      <c r="DK43" s="210" t="s">
        <v>795</v>
      </c>
      <c r="DL43" s="212" t="s">
        <v>796</v>
      </c>
      <c r="DM43" s="210" t="s">
        <v>426</v>
      </c>
      <c r="DN43" s="212" t="s">
        <v>426</v>
      </c>
      <c r="DO43" s="211">
        <v>0</v>
      </c>
      <c r="DP43" s="211">
        <v>678013109</v>
      </c>
      <c r="DQ43" s="211">
        <v>678013109</v>
      </c>
      <c r="DR43" s="211">
        <f t="shared" si="31"/>
        <v>0</v>
      </c>
      <c r="DS43" s="211">
        <f t="shared" si="32"/>
        <v>706489.65957800008</v>
      </c>
      <c r="DT43" s="211">
        <f t="shared" si="33"/>
        <v>706489.65957800008</v>
      </c>
      <c r="EE43" s="210" t="s">
        <v>795</v>
      </c>
      <c r="EF43" s="212" t="s">
        <v>796</v>
      </c>
      <c r="EG43" s="212" t="s">
        <v>426</v>
      </c>
      <c r="EH43" s="212" t="s">
        <v>426</v>
      </c>
      <c r="EI43" s="211">
        <v>0</v>
      </c>
      <c r="EJ43" s="211">
        <v>1978975924</v>
      </c>
      <c r="EK43" s="211">
        <v>1866684487</v>
      </c>
      <c r="EL43" s="258">
        <f t="shared" si="35"/>
        <v>0</v>
      </c>
      <c r="EM43" s="258">
        <f t="shared" si="36"/>
        <v>2062092.9128080001</v>
      </c>
      <c r="EN43" s="258">
        <f t="shared" si="37"/>
        <v>1945085.2354540001</v>
      </c>
      <c r="EV43" s="257"/>
      <c r="EY43" s="210" t="s">
        <v>795</v>
      </c>
      <c r="EZ43" s="212" t="s">
        <v>796</v>
      </c>
      <c r="FA43" s="212" t="s">
        <v>426</v>
      </c>
      <c r="FB43" s="212" t="s">
        <v>426</v>
      </c>
      <c r="FC43" s="211">
        <v>0</v>
      </c>
      <c r="FD43" s="211">
        <v>2919666950</v>
      </c>
      <c r="FE43" s="211">
        <v>2919666950</v>
      </c>
      <c r="FF43" s="257">
        <f t="shared" si="39"/>
        <v>0</v>
      </c>
      <c r="FG43" s="257">
        <f t="shared" si="40"/>
        <v>2919666.95</v>
      </c>
      <c r="FH43" s="257">
        <f t="shared" si="41"/>
        <v>2919666.95</v>
      </c>
      <c r="FR43" s="262" t="s">
        <v>795</v>
      </c>
      <c r="FS43" s="204" t="s">
        <v>796</v>
      </c>
      <c r="FT43" s="204" t="s">
        <v>426</v>
      </c>
      <c r="FU43" s="204" t="s">
        <v>426</v>
      </c>
      <c r="FV43" s="257">
        <v>0</v>
      </c>
      <c r="FW43" s="257">
        <v>6360108842</v>
      </c>
      <c r="FX43" s="257">
        <v>5534951065</v>
      </c>
      <c r="FY43" s="226">
        <f t="shared" si="43"/>
        <v>0</v>
      </c>
      <c r="FZ43" s="226">
        <f t="shared" si="44"/>
        <v>6360108.8420000002</v>
      </c>
      <c r="GA43" s="226">
        <f t="shared" si="45"/>
        <v>5534951.0650000004</v>
      </c>
      <c r="GK43" s="204" t="s">
        <v>795</v>
      </c>
      <c r="GL43" s="204" t="s">
        <v>796</v>
      </c>
      <c r="GM43" s="204" t="s">
        <v>426</v>
      </c>
      <c r="GN43" s="204" t="s">
        <v>426</v>
      </c>
      <c r="GO43" s="257">
        <v>9672611685</v>
      </c>
      <c r="GP43" s="257">
        <v>0</v>
      </c>
      <c r="GQ43" s="257">
        <v>0</v>
      </c>
      <c r="GR43" s="257">
        <f t="shared" si="47"/>
        <v>9672611.6850000005</v>
      </c>
      <c r="GS43" s="257">
        <f t="shared" si="48"/>
        <v>0</v>
      </c>
      <c r="GT43" s="257">
        <f t="shared" si="49"/>
        <v>0</v>
      </c>
      <c r="HC43" s="204" t="s">
        <v>795</v>
      </c>
      <c r="HD43" s="204" t="s">
        <v>796</v>
      </c>
      <c r="HE43" s="204" t="s">
        <v>426</v>
      </c>
      <c r="HF43" s="204" t="s">
        <v>426</v>
      </c>
      <c r="HG43" s="225">
        <v>9619759034</v>
      </c>
      <c r="HH43" s="225">
        <v>0</v>
      </c>
      <c r="HI43" s="225">
        <v>0</v>
      </c>
      <c r="HJ43" s="225">
        <f t="shared" si="51"/>
        <v>9619759.034</v>
      </c>
      <c r="HK43" s="225">
        <f t="shared" si="52"/>
        <v>0</v>
      </c>
      <c r="HL43" s="225">
        <f t="shared" si="53"/>
        <v>0</v>
      </c>
    </row>
    <row r="44" spans="1:220" ht="15" customHeight="1" x14ac:dyDescent="0.2">
      <c r="AM44" s="212" t="s">
        <v>839</v>
      </c>
      <c r="AN44" s="212" t="s">
        <v>840</v>
      </c>
      <c r="AO44" s="212" t="s">
        <v>426</v>
      </c>
      <c r="AP44" s="212" t="s">
        <v>426</v>
      </c>
      <c r="AQ44" s="212" t="s">
        <v>513</v>
      </c>
      <c r="AR44" s="295">
        <v>3933000000</v>
      </c>
      <c r="AS44" s="295">
        <v>0</v>
      </c>
      <c r="AT44" s="295">
        <v>0</v>
      </c>
      <c r="AU44" s="295">
        <f t="shared" si="15"/>
        <v>4098186</v>
      </c>
      <c r="AV44" s="295">
        <f t="shared" si="16"/>
        <v>0</v>
      </c>
      <c r="AW44" s="295">
        <f t="shared" si="17"/>
        <v>0</v>
      </c>
      <c r="BF44" s="210" t="s">
        <v>427</v>
      </c>
      <c r="BG44" s="296" t="s">
        <v>445</v>
      </c>
      <c r="BH44" s="210" t="s">
        <v>426</v>
      </c>
      <c r="BI44" s="212" t="s">
        <v>426</v>
      </c>
      <c r="BJ44" s="211">
        <v>17089021000</v>
      </c>
      <c r="BK44" s="211">
        <v>0</v>
      </c>
      <c r="BL44" s="211">
        <v>0</v>
      </c>
      <c r="BM44" s="264">
        <f t="shared" si="19"/>
        <v>17806759.881999999</v>
      </c>
      <c r="BN44" s="264">
        <f t="shared" si="20"/>
        <v>0</v>
      </c>
      <c r="BO44" s="264">
        <f t="shared" si="21"/>
        <v>0</v>
      </c>
      <c r="BY44" s="210" t="s">
        <v>799</v>
      </c>
      <c r="BZ44" s="210" t="s">
        <v>800</v>
      </c>
      <c r="CA44" s="210" t="s">
        <v>426</v>
      </c>
      <c r="CB44" s="210" t="s">
        <v>426</v>
      </c>
      <c r="CC44" s="212" t="s">
        <v>513</v>
      </c>
      <c r="CD44" s="211">
        <v>9719640000</v>
      </c>
      <c r="CE44" s="211">
        <v>0</v>
      </c>
      <c r="CF44" s="211">
        <v>0</v>
      </c>
      <c r="CG44" s="211">
        <f t="shared" si="23"/>
        <v>10127864.880000001</v>
      </c>
      <c r="CH44" s="211">
        <f t="shared" si="24"/>
        <v>0</v>
      </c>
      <c r="CI44" s="211">
        <f t="shared" si="25"/>
        <v>0</v>
      </c>
      <c r="CR44" s="212" t="s">
        <v>797</v>
      </c>
      <c r="CS44" s="212" t="s">
        <v>798</v>
      </c>
      <c r="CT44" s="212" t="s">
        <v>426</v>
      </c>
      <c r="CU44" s="212" t="s">
        <v>426</v>
      </c>
      <c r="CV44" s="211">
        <v>19686055658</v>
      </c>
      <c r="CW44" s="211">
        <v>0</v>
      </c>
      <c r="CX44" s="211">
        <v>0</v>
      </c>
      <c r="CY44" s="211">
        <f t="shared" si="27"/>
        <v>20512869.995636001</v>
      </c>
      <c r="CZ44" s="211">
        <f t="shared" si="28"/>
        <v>0</v>
      </c>
      <c r="DA44" s="211">
        <f t="shared" si="29"/>
        <v>0</v>
      </c>
      <c r="DK44" s="210" t="s">
        <v>797</v>
      </c>
      <c r="DL44" s="212" t="s">
        <v>798</v>
      </c>
      <c r="DM44" s="210" t="s">
        <v>426</v>
      </c>
      <c r="DN44" s="212" t="s">
        <v>426</v>
      </c>
      <c r="DO44" s="211">
        <v>22536269235</v>
      </c>
      <c r="DP44" s="211">
        <v>0</v>
      </c>
      <c r="DQ44" s="211">
        <v>0</v>
      </c>
      <c r="DR44" s="211">
        <f t="shared" si="31"/>
        <v>23482792.54287</v>
      </c>
      <c r="DS44" s="211">
        <f t="shared" si="32"/>
        <v>0</v>
      </c>
      <c r="DT44" s="211">
        <f t="shared" si="33"/>
        <v>0</v>
      </c>
      <c r="EE44" s="210" t="s">
        <v>797</v>
      </c>
      <c r="EF44" s="212" t="s">
        <v>798</v>
      </c>
      <c r="EG44" s="212" t="s">
        <v>426</v>
      </c>
      <c r="EH44" s="212" t="s">
        <v>426</v>
      </c>
      <c r="EI44" s="211">
        <v>27542893768</v>
      </c>
      <c r="EJ44" s="211">
        <v>0</v>
      </c>
      <c r="EK44" s="211">
        <v>0</v>
      </c>
      <c r="EL44" s="258">
        <f t="shared" si="35"/>
        <v>28699695.306256</v>
      </c>
      <c r="EM44" s="258">
        <f t="shared" si="36"/>
        <v>0</v>
      </c>
      <c r="EN44" s="258">
        <f t="shared" si="37"/>
        <v>0</v>
      </c>
      <c r="EV44" s="257"/>
      <c r="EY44" s="210" t="s">
        <v>797</v>
      </c>
      <c r="EZ44" s="212" t="s">
        <v>798</v>
      </c>
      <c r="FA44" s="212" t="s">
        <v>426</v>
      </c>
      <c r="FB44" s="212" t="s">
        <v>426</v>
      </c>
      <c r="FC44" s="211">
        <v>35161532268</v>
      </c>
      <c r="FD44" s="211">
        <v>0</v>
      </c>
      <c r="FE44" s="211">
        <v>0</v>
      </c>
      <c r="FF44" s="257">
        <f t="shared" si="39"/>
        <v>35161532.267999999</v>
      </c>
      <c r="FG44" s="257">
        <f t="shared" si="40"/>
        <v>0</v>
      </c>
      <c r="FH44" s="257">
        <f t="shared" si="41"/>
        <v>0</v>
      </c>
      <c r="FR44" s="262" t="s">
        <v>797</v>
      </c>
      <c r="FS44" s="204" t="s">
        <v>798</v>
      </c>
      <c r="FT44" s="204" t="s">
        <v>426</v>
      </c>
      <c r="FU44" s="204" t="s">
        <v>426</v>
      </c>
      <c r="FV44" s="257">
        <v>35161532268</v>
      </c>
      <c r="FW44" s="257">
        <v>0</v>
      </c>
      <c r="FX44" s="257">
        <v>0</v>
      </c>
      <c r="FY44" s="226">
        <f t="shared" si="43"/>
        <v>35161532.267999999</v>
      </c>
      <c r="FZ44" s="226">
        <f t="shared" si="44"/>
        <v>0</v>
      </c>
      <c r="GA44" s="226">
        <f t="shared" si="45"/>
        <v>0</v>
      </c>
      <c r="GK44" s="204" t="s">
        <v>795</v>
      </c>
      <c r="GL44" s="204" t="s">
        <v>796</v>
      </c>
      <c r="GM44" s="204" t="s">
        <v>426</v>
      </c>
      <c r="GN44" s="204" t="s">
        <v>426</v>
      </c>
      <c r="GO44" s="257">
        <v>0</v>
      </c>
      <c r="GP44" s="257">
        <v>7274314617</v>
      </c>
      <c r="GQ44" s="257">
        <v>6295764593</v>
      </c>
      <c r="GR44" s="257">
        <f t="shared" si="47"/>
        <v>0</v>
      </c>
      <c r="GS44" s="257">
        <f t="shared" si="48"/>
        <v>7274314.6169999996</v>
      </c>
      <c r="GT44" s="257">
        <f t="shared" si="49"/>
        <v>6295764.5930000003</v>
      </c>
      <c r="HC44" s="204" t="s">
        <v>795</v>
      </c>
      <c r="HD44" s="204" t="s">
        <v>796</v>
      </c>
      <c r="HE44" s="204" t="s">
        <v>426</v>
      </c>
      <c r="HF44" s="204" t="s">
        <v>426</v>
      </c>
      <c r="HG44" s="225">
        <v>0</v>
      </c>
      <c r="HH44" s="225">
        <v>9619759034</v>
      </c>
      <c r="HI44" s="225">
        <v>9619759034</v>
      </c>
      <c r="HJ44" s="225">
        <f t="shared" si="51"/>
        <v>0</v>
      </c>
      <c r="HK44" s="225">
        <f t="shared" si="52"/>
        <v>9619759.034</v>
      </c>
      <c r="HL44" s="225">
        <f t="shared" si="53"/>
        <v>9619759.034</v>
      </c>
    </row>
    <row r="45" spans="1:220" ht="15" customHeight="1" x14ac:dyDescent="0.2">
      <c r="AM45" s="212" t="s">
        <v>431</v>
      </c>
      <c r="AN45" s="212" t="s">
        <v>127</v>
      </c>
      <c r="AO45" s="212" t="s">
        <v>426</v>
      </c>
      <c r="AP45" s="212" t="s">
        <v>426</v>
      </c>
      <c r="AQ45" s="212" t="s">
        <v>513</v>
      </c>
      <c r="AR45" s="295">
        <v>10100</v>
      </c>
      <c r="AS45" s="295">
        <v>0</v>
      </c>
      <c r="AT45" s="295">
        <v>0</v>
      </c>
      <c r="AU45" s="295">
        <f t="shared" si="15"/>
        <v>10.5242</v>
      </c>
      <c r="AV45" s="295">
        <f t="shared" si="16"/>
        <v>0</v>
      </c>
      <c r="AW45" s="295">
        <f t="shared" si="17"/>
        <v>0</v>
      </c>
      <c r="BF45" s="210" t="s">
        <v>430</v>
      </c>
      <c r="BG45" s="296" t="s">
        <v>446</v>
      </c>
      <c r="BH45" s="210" t="s">
        <v>426</v>
      </c>
      <c r="BI45" s="212" t="s">
        <v>426</v>
      </c>
      <c r="BJ45" s="211">
        <v>8937547000</v>
      </c>
      <c r="BK45" s="211">
        <v>0</v>
      </c>
      <c r="BL45" s="211">
        <v>0</v>
      </c>
      <c r="BM45" s="264">
        <f t="shared" si="19"/>
        <v>9312923.9739999995</v>
      </c>
      <c r="BN45" s="264">
        <f t="shared" si="20"/>
        <v>0</v>
      </c>
      <c r="BO45" s="264">
        <f t="shared" si="21"/>
        <v>0</v>
      </c>
      <c r="BY45" s="210" t="s">
        <v>799</v>
      </c>
      <c r="BZ45" s="210" t="s">
        <v>800</v>
      </c>
      <c r="CA45" s="210" t="s">
        <v>426</v>
      </c>
      <c r="CB45" s="210" t="s">
        <v>426</v>
      </c>
      <c r="CC45" s="212" t="s">
        <v>513</v>
      </c>
      <c r="CD45" s="211">
        <v>0</v>
      </c>
      <c r="CE45" s="211">
        <v>1264918674</v>
      </c>
      <c r="CF45" s="211">
        <v>0</v>
      </c>
      <c r="CG45" s="211">
        <f t="shared" si="23"/>
        <v>0</v>
      </c>
      <c r="CH45" s="211">
        <f t="shared" si="24"/>
        <v>1318045.2583080002</v>
      </c>
      <c r="CI45" s="211">
        <f t="shared" si="25"/>
        <v>0</v>
      </c>
      <c r="CR45" s="212" t="s">
        <v>797</v>
      </c>
      <c r="CS45" s="212" t="s">
        <v>798</v>
      </c>
      <c r="CT45" s="212" t="s">
        <v>426</v>
      </c>
      <c r="CU45" s="212" t="s">
        <v>426</v>
      </c>
      <c r="CV45" s="211">
        <v>0</v>
      </c>
      <c r="CW45" s="211">
        <v>7796142909</v>
      </c>
      <c r="CX45" s="211">
        <v>6845257905</v>
      </c>
      <c r="CY45" s="211">
        <f t="shared" si="27"/>
        <v>0</v>
      </c>
      <c r="CZ45" s="211">
        <f t="shared" si="28"/>
        <v>8123580.9111780003</v>
      </c>
      <c r="DA45" s="211">
        <f t="shared" si="29"/>
        <v>7132758.7370100003</v>
      </c>
      <c r="DK45" s="210" t="s">
        <v>797</v>
      </c>
      <c r="DL45" s="212" t="s">
        <v>798</v>
      </c>
      <c r="DM45" s="210" t="s">
        <v>426</v>
      </c>
      <c r="DN45" s="212" t="s">
        <v>426</v>
      </c>
      <c r="DO45" s="211">
        <v>0</v>
      </c>
      <c r="DP45" s="211">
        <v>9495709804</v>
      </c>
      <c r="DQ45" s="211">
        <v>8772081193</v>
      </c>
      <c r="DR45" s="211">
        <f t="shared" si="31"/>
        <v>0</v>
      </c>
      <c r="DS45" s="211">
        <f t="shared" si="32"/>
        <v>9894529.6157680005</v>
      </c>
      <c r="DT45" s="211">
        <f t="shared" si="33"/>
        <v>9140508.6031059995</v>
      </c>
      <c r="EE45" s="210" t="s">
        <v>797</v>
      </c>
      <c r="EF45" s="212" t="s">
        <v>798</v>
      </c>
      <c r="EG45" s="212" t="s">
        <v>426</v>
      </c>
      <c r="EH45" s="212" t="s">
        <v>426</v>
      </c>
      <c r="EI45" s="211">
        <v>0</v>
      </c>
      <c r="EJ45" s="211">
        <v>14106471037</v>
      </c>
      <c r="EK45" s="211">
        <v>12447285304</v>
      </c>
      <c r="EL45" s="258">
        <f t="shared" si="35"/>
        <v>0</v>
      </c>
      <c r="EM45" s="258">
        <f t="shared" si="36"/>
        <v>14698942.820554001</v>
      </c>
      <c r="EN45" s="258">
        <f t="shared" si="37"/>
        <v>12970071.286768001</v>
      </c>
      <c r="EV45" s="257"/>
      <c r="EY45" s="210" t="s">
        <v>797</v>
      </c>
      <c r="EZ45" s="212" t="s">
        <v>798</v>
      </c>
      <c r="FA45" s="212" t="s">
        <v>426</v>
      </c>
      <c r="FB45" s="212" t="s">
        <v>426</v>
      </c>
      <c r="FC45" s="211">
        <v>0</v>
      </c>
      <c r="FD45" s="211">
        <v>15246286077</v>
      </c>
      <c r="FE45" s="211">
        <v>17302730093</v>
      </c>
      <c r="FF45" s="257">
        <f t="shared" si="39"/>
        <v>0</v>
      </c>
      <c r="FG45" s="257">
        <f t="shared" si="40"/>
        <v>15246286.077</v>
      </c>
      <c r="FH45" s="257">
        <f t="shared" si="41"/>
        <v>17302730.092999998</v>
      </c>
      <c r="FR45" s="262" t="s">
        <v>797</v>
      </c>
      <c r="FS45" s="204" t="s">
        <v>798</v>
      </c>
      <c r="FT45" s="204" t="s">
        <v>426</v>
      </c>
      <c r="FU45" s="204" t="s">
        <v>426</v>
      </c>
      <c r="FV45" s="257">
        <v>0</v>
      </c>
      <c r="FW45" s="257">
        <v>21420560609</v>
      </c>
      <c r="FX45" s="257">
        <v>17958356920</v>
      </c>
      <c r="FY45" s="226">
        <f t="shared" si="43"/>
        <v>0</v>
      </c>
      <c r="FZ45" s="226">
        <f t="shared" si="44"/>
        <v>21420560.609000001</v>
      </c>
      <c r="GA45" s="226">
        <f t="shared" si="45"/>
        <v>17958356.920000002</v>
      </c>
      <c r="GK45" s="204" t="s">
        <v>797</v>
      </c>
      <c r="GL45" s="204" t="s">
        <v>798</v>
      </c>
      <c r="GM45" s="204" t="s">
        <v>426</v>
      </c>
      <c r="GN45" s="204" t="s">
        <v>426</v>
      </c>
      <c r="GO45" s="257">
        <v>39652071728</v>
      </c>
      <c r="GP45" s="257">
        <v>0</v>
      </c>
      <c r="GQ45" s="257">
        <v>0</v>
      </c>
      <c r="GR45" s="257">
        <f t="shared" si="47"/>
        <v>39652071.728</v>
      </c>
      <c r="GS45" s="257">
        <f t="shared" si="48"/>
        <v>0</v>
      </c>
      <c r="GT45" s="257">
        <f t="shared" si="49"/>
        <v>0</v>
      </c>
      <c r="HC45" s="204" t="s">
        <v>797</v>
      </c>
      <c r="HD45" s="204" t="s">
        <v>798</v>
      </c>
      <c r="HE45" s="204" t="s">
        <v>426</v>
      </c>
      <c r="HF45" s="204" t="s">
        <v>426</v>
      </c>
      <c r="HG45" s="225">
        <v>40837891484</v>
      </c>
      <c r="HH45" s="225">
        <v>0</v>
      </c>
      <c r="HI45" s="225">
        <v>0</v>
      </c>
      <c r="HJ45" s="225">
        <f t="shared" si="51"/>
        <v>40837891.483999997</v>
      </c>
      <c r="HK45" s="225">
        <f t="shared" si="52"/>
        <v>0</v>
      </c>
      <c r="HL45" s="225">
        <f t="shared" si="53"/>
        <v>0</v>
      </c>
    </row>
    <row r="46" spans="1:220" ht="15" customHeight="1" x14ac:dyDescent="0.2">
      <c r="AM46" s="212" t="s">
        <v>431</v>
      </c>
      <c r="AN46" s="212" t="s">
        <v>127</v>
      </c>
      <c r="AO46" s="212" t="s">
        <v>426</v>
      </c>
      <c r="AP46" s="212" t="s">
        <v>426</v>
      </c>
      <c r="AQ46" s="212" t="s">
        <v>513</v>
      </c>
      <c r="AR46" s="295">
        <v>0</v>
      </c>
      <c r="AS46" s="295">
        <v>15276251603</v>
      </c>
      <c r="AT46" s="295">
        <v>15276251603</v>
      </c>
      <c r="AU46" s="295">
        <f t="shared" si="15"/>
        <v>0</v>
      </c>
      <c r="AV46" s="295">
        <f t="shared" si="16"/>
        <v>15917854.170326</v>
      </c>
      <c r="AW46" s="295">
        <f t="shared" si="17"/>
        <v>15917854.170326</v>
      </c>
      <c r="BF46" s="210" t="s">
        <v>430</v>
      </c>
      <c r="BG46" s="296" t="s">
        <v>446</v>
      </c>
      <c r="BH46" s="210" t="s">
        <v>426</v>
      </c>
      <c r="BI46" s="212" t="s">
        <v>426</v>
      </c>
      <c r="BJ46" s="211">
        <v>0</v>
      </c>
      <c r="BK46" s="211">
        <v>1974031309</v>
      </c>
      <c r="BL46" s="211">
        <v>1635103138</v>
      </c>
      <c r="BM46" s="264">
        <f t="shared" si="19"/>
        <v>0</v>
      </c>
      <c r="BN46" s="264">
        <f t="shared" si="20"/>
        <v>2056940.6239779999</v>
      </c>
      <c r="BO46" s="264">
        <f t="shared" si="21"/>
        <v>1703777.469796</v>
      </c>
      <c r="BY46" s="210" t="s">
        <v>427</v>
      </c>
      <c r="BZ46" s="210" t="s">
        <v>445</v>
      </c>
      <c r="CA46" s="210" t="s">
        <v>426</v>
      </c>
      <c r="CB46" s="210" t="s">
        <v>426</v>
      </c>
      <c r="CC46" s="212" t="s">
        <v>513</v>
      </c>
      <c r="CD46" s="211">
        <v>17089021000</v>
      </c>
      <c r="CE46" s="211">
        <v>0</v>
      </c>
      <c r="CF46" s="211">
        <v>0</v>
      </c>
      <c r="CG46" s="211">
        <f t="shared" si="23"/>
        <v>17806759.881999999</v>
      </c>
      <c r="CH46" s="211">
        <f t="shared" si="24"/>
        <v>0</v>
      </c>
      <c r="CI46" s="211">
        <f t="shared" si="25"/>
        <v>0</v>
      </c>
      <c r="CR46" s="212" t="s">
        <v>799</v>
      </c>
      <c r="CS46" s="212" t="s">
        <v>800</v>
      </c>
      <c r="CT46" s="212" t="s">
        <v>426</v>
      </c>
      <c r="CU46" s="212" t="s">
        <v>426</v>
      </c>
      <c r="CV46" s="211">
        <v>9719640000</v>
      </c>
      <c r="CW46" s="211">
        <v>0</v>
      </c>
      <c r="CX46" s="211">
        <v>0</v>
      </c>
      <c r="CY46" s="211">
        <f t="shared" si="27"/>
        <v>10127864.880000001</v>
      </c>
      <c r="CZ46" s="211">
        <f t="shared" si="28"/>
        <v>0</v>
      </c>
      <c r="DA46" s="211">
        <f t="shared" si="29"/>
        <v>0</v>
      </c>
      <c r="DK46" s="210" t="s">
        <v>799</v>
      </c>
      <c r="DL46" s="212" t="s">
        <v>800</v>
      </c>
      <c r="DM46" s="210" t="s">
        <v>426</v>
      </c>
      <c r="DN46" s="212" t="s">
        <v>426</v>
      </c>
      <c r="DO46" s="211">
        <v>9719640000</v>
      </c>
      <c r="DP46" s="211">
        <v>0</v>
      </c>
      <c r="DQ46" s="211">
        <v>0</v>
      </c>
      <c r="DR46" s="211">
        <f t="shared" si="31"/>
        <v>10127864.880000001</v>
      </c>
      <c r="DS46" s="211">
        <f t="shared" si="32"/>
        <v>0</v>
      </c>
      <c r="DT46" s="211">
        <f t="shared" si="33"/>
        <v>0</v>
      </c>
      <c r="EE46" s="210" t="s">
        <v>799</v>
      </c>
      <c r="EF46" s="212" t="s">
        <v>800</v>
      </c>
      <c r="EG46" s="212" t="s">
        <v>426</v>
      </c>
      <c r="EH46" s="212" t="s">
        <v>426</v>
      </c>
      <c r="EI46" s="211">
        <v>9719640000</v>
      </c>
      <c r="EJ46" s="211">
        <v>0</v>
      </c>
      <c r="EK46" s="211">
        <v>0</v>
      </c>
      <c r="EL46" s="258">
        <f t="shared" si="35"/>
        <v>10127864.880000001</v>
      </c>
      <c r="EM46" s="258">
        <f t="shared" si="36"/>
        <v>0</v>
      </c>
      <c r="EN46" s="258">
        <f t="shared" si="37"/>
        <v>0</v>
      </c>
      <c r="EV46" s="257"/>
      <c r="EY46" s="210" t="s">
        <v>799</v>
      </c>
      <c r="EZ46" s="212" t="s">
        <v>800</v>
      </c>
      <c r="FA46" s="212" t="s">
        <v>426</v>
      </c>
      <c r="FB46" s="212" t="s">
        <v>426</v>
      </c>
      <c r="FC46" s="211">
        <v>9719640000</v>
      </c>
      <c r="FD46" s="211">
        <v>0</v>
      </c>
      <c r="FE46" s="211">
        <v>0</v>
      </c>
      <c r="FF46" s="257">
        <f t="shared" si="39"/>
        <v>9719640</v>
      </c>
      <c r="FG46" s="257">
        <f t="shared" si="40"/>
        <v>0</v>
      </c>
      <c r="FH46" s="257">
        <f t="shared" si="41"/>
        <v>0</v>
      </c>
      <c r="FR46" s="262" t="s">
        <v>799</v>
      </c>
      <c r="FS46" s="204" t="s">
        <v>800</v>
      </c>
      <c r="FT46" s="204" t="s">
        <v>426</v>
      </c>
      <c r="FU46" s="204" t="s">
        <v>426</v>
      </c>
      <c r="FV46" s="257">
        <v>9719640000</v>
      </c>
      <c r="FW46" s="257">
        <v>0</v>
      </c>
      <c r="FX46" s="257">
        <v>0</v>
      </c>
      <c r="FY46" s="226">
        <f t="shared" si="43"/>
        <v>9719640</v>
      </c>
      <c r="FZ46" s="226">
        <f t="shared" si="44"/>
        <v>0</v>
      </c>
      <c r="GA46" s="226">
        <f t="shared" si="45"/>
        <v>0</v>
      </c>
      <c r="GK46" s="204" t="s">
        <v>797</v>
      </c>
      <c r="GL46" s="204" t="s">
        <v>798</v>
      </c>
      <c r="GM46" s="204" t="s">
        <v>426</v>
      </c>
      <c r="GN46" s="204" t="s">
        <v>426</v>
      </c>
      <c r="GO46" s="257">
        <v>0</v>
      </c>
      <c r="GP46" s="257">
        <v>21822256824</v>
      </c>
      <c r="GQ46" s="257">
        <v>20086115845</v>
      </c>
      <c r="GR46" s="257">
        <f t="shared" si="47"/>
        <v>0</v>
      </c>
      <c r="GS46" s="257">
        <f t="shared" si="48"/>
        <v>21822256.824000001</v>
      </c>
      <c r="GT46" s="257">
        <f t="shared" si="49"/>
        <v>20086115.844999999</v>
      </c>
      <c r="HC46" s="204" t="s">
        <v>797</v>
      </c>
      <c r="HD46" s="204" t="s">
        <v>798</v>
      </c>
      <c r="HE46" s="204" t="s">
        <v>426</v>
      </c>
      <c r="HF46" s="204" t="s">
        <v>426</v>
      </c>
      <c r="HG46" s="225">
        <v>0</v>
      </c>
      <c r="HH46" s="225">
        <v>40834962669</v>
      </c>
      <c r="HI46" s="225">
        <v>40834962669</v>
      </c>
      <c r="HJ46" s="225">
        <f t="shared" si="51"/>
        <v>0</v>
      </c>
      <c r="HK46" s="225">
        <f t="shared" si="52"/>
        <v>40834962.669</v>
      </c>
      <c r="HL46" s="225">
        <f t="shared" si="53"/>
        <v>40834962.669</v>
      </c>
    </row>
    <row r="47" spans="1:220" ht="15" customHeight="1" x14ac:dyDescent="0.2">
      <c r="AU47" s="266">
        <f>SUM(AU3:AU46)</f>
        <v>290913036.55840003</v>
      </c>
      <c r="AV47" s="266">
        <f>SUM(AV3:AV46)</f>
        <v>134741644.42892</v>
      </c>
      <c r="AW47" s="266">
        <f>SUM(AW3:AW46)</f>
        <v>92764402.506515995</v>
      </c>
      <c r="BF47" s="210" t="s">
        <v>839</v>
      </c>
      <c r="BG47" s="296" t="s">
        <v>840</v>
      </c>
      <c r="BH47" s="210" t="s">
        <v>426</v>
      </c>
      <c r="BI47" s="212" t="s">
        <v>426</v>
      </c>
      <c r="BJ47" s="211">
        <v>3933000000</v>
      </c>
      <c r="BK47" s="211">
        <v>0</v>
      </c>
      <c r="BL47" s="211">
        <v>0</v>
      </c>
      <c r="BM47" s="264">
        <f t="shared" si="19"/>
        <v>4098186</v>
      </c>
      <c r="BN47" s="264">
        <f t="shared" si="20"/>
        <v>0</v>
      </c>
      <c r="BO47" s="264">
        <f t="shared" si="21"/>
        <v>0</v>
      </c>
      <c r="BY47" s="210" t="s">
        <v>430</v>
      </c>
      <c r="BZ47" s="210" t="s">
        <v>446</v>
      </c>
      <c r="CA47" s="210" t="s">
        <v>426</v>
      </c>
      <c r="CB47" s="210" t="s">
        <v>426</v>
      </c>
      <c r="CC47" s="212" t="s">
        <v>513</v>
      </c>
      <c r="CD47" s="211">
        <v>8937547000</v>
      </c>
      <c r="CE47" s="211">
        <v>0</v>
      </c>
      <c r="CF47" s="211">
        <v>0</v>
      </c>
      <c r="CG47" s="211">
        <f t="shared" si="23"/>
        <v>9312923.9739999995</v>
      </c>
      <c r="CH47" s="211">
        <f t="shared" si="24"/>
        <v>0</v>
      </c>
      <c r="CI47" s="211">
        <f t="shared" si="25"/>
        <v>0</v>
      </c>
      <c r="CR47" s="212" t="s">
        <v>799</v>
      </c>
      <c r="CS47" s="212" t="s">
        <v>800</v>
      </c>
      <c r="CT47" s="212" t="s">
        <v>426</v>
      </c>
      <c r="CU47" s="212" t="s">
        <v>426</v>
      </c>
      <c r="CV47" s="211">
        <v>0</v>
      </c>
      <c r="CW47" s="211">
        <v>1264918674</v>
      </c>
      <c r="CX47" s="211">
        <v>0</v>
      </c>
      <c r="CY47" s="211">
        <f t="shared" si="27"/>
        <v>0</v>
      </c>
      <c r="CZ47" s="211">
        <f t="shared" si="28"/>
        <v>1318045.2583080002</v>
      </c>
      <c r="DA47" s="211">
        <f t="shared" si="29"/>
        <v>0</v>
      </c>
      <c r="DK47" s="210" t="s">
        <v>799</v>
      </c>
      <c r="DL47" s="212" t="s">
        <v>800</v>
      </c>
      <c r="DM47" s="210" t="s">
        <v>426</v>
      </c>
      <c r="DN47" s="212" t="s">
        <v>426</v>
      </c>
      <c r="DO47" s="211">
        <v>0</v>
      </c>
      <c r="DP47" s="211">
        <v>1264918674</v>
      </c>
      <c r="DQ47" s="211">
        <v>42488206</v>
      </c>
      <c r="DR47" s="211">
        <f t="shared" si="31"/>
        <v>0</v>
      </c>
      <c r="DS47" s="211">
        <f t="shared" si="32"/>
        <v>1318045.2583080002</v>
      </c>
      <c r="DT47" s="211">
        <f t="shared" si="33"/>
        <v>44272.710652000002</v>
      </c>
      <c r="EE47" s="210" t="s">
        <v>799</v>
      </c>
      <c r="EF47" s="212" t="s">
        <v>800</v>
      </c>
      <c r="EG47" s="212" t="s">
        <v>426</v>
      </c>
      <c r="EH47" s="212" t="s">
        <v>426</v>
      </c>
      <c r="EI47" s="211">
        <v>0</v>
      </c>
      <c r="EJ47" s="211">
        <v>1264918674</v>
      </c>
      <c r="EK47" s="211">
        <v>42488206</v>
      </c>
      <c r="EL47" s="258">
        <f t="shared" si="35"/>
        <v>0</v>
      </c>
      <c r="EM47" s="258">
        <f t="shared" si="36"/>
        <v>1318045.2583080002</v>
      </c>
      <c r="EN47" s="258">
        <f t="shared" si="37"/>
        <v>44272.710652000002</v>
      </c>
      <c r="EV47" s="257"/>
      <c r="EY47" s="210" t="s">
        <v>799</v>
      </c>
      <c r="EZ47" s="212" t="s">
        <v>800</v>
      </c>
      <c r="FA47" s="212" t="s">
        <v>426</v>
      </c>
      <c r="FB47" s="212" t="s">
        <v>426</v>
      </c>
      <c r="FC47" s="211">
        <v>0</v>
      </c>
      <c r="FD47" s="211">
        <v>42488206</v>
      </c>
      <c r="FE47" s="211">
        <v>1264918674</v>
      </c>
      <c r="FF47" s="257">
        <f t="shared" si="39"/>
        <v>0</v>
      </c>
      <c r="FG47" s="257">
        <f t="shared" si="40"/>
        <v>42488.205999999998</v>
      </c>
      <c r="FH47" s="257">
        <f t="shared" si="41"/>
        <v>1264918.6740000001</v>
      </c>
      <c r="FR47" s="262" t="s">
        <v>799</v>
      </c>
      <c r="FS47" s="204" t="s">
        <v>800</v>
      </c>
      <c r="FT47" s="204" t="s">
        <v>426</v>
      </c>
      <c r="FU47" s="204" t="s">
        <v>426</v>
      </c>
      <c r="FV47" s="257">
        <v>0</v>
      </c>
      <c r="FW47" s="257">
        <v>790942157</v>
      </c>
      <c r="FX47" s="257">
        <v>490942157</v>
      </c>
      <c r="FY47" s="226">
        <f t="shared" si="43"/>
        <v>0</v>
      </c>
      <c r="FZ47" s="226">
        <f t="shared" si="44"/>
        <v>790942.15700000001</v>
      </c>
      <c r="GA47" s="226">
        <f t="shared" si="45"/>
        <v>490942.15700000001</v>
      </c>
      <c r="GK47" s="204" t="s">
        <v>799</v>
      </c>
      <c r="GL47" s="204" t="s">
        <v>800</v>
      </c>
      <c r="GM47" s="204" t="s">
        <v>426</v>
      </c>
      <c r="GN47" s="204" t="s">
        <v>426</v>
      </c>
      <c r="GO47" s="257">
        <v>9719640000</v>
      </c>
      <c r="GP47" s="257">
        <v>0</v>
      </c>
      <c r="GQ47" s="257">
        <v>0</v>
      </c>
      <c r="GR47" s="257">
        <f t="shared" si="47"/>
        <v>9719640</v>
      </c>
      <c r="GS47" s="257">
        <f t="shared" si="48"/>
        <v>0</v>
      </c>
      <c r="GT47" s="257">
        <f t="shared" si="49"/>
        <v>0</v>
      </c>
      <c r="HC47" s="204" t="s">
        <v>799</v>
      </c>
      <c r="HD47" s="204" t="s">
        <v>800</v>
      </c>
      <c r="HE47" s="204" t="s">
        <v>426</v>
      </c>
      <c r="HF47" s="204" t="s">
        <v>426</v>
      </c>
      <c r="HG47" s="225">
        <v>9719640000</v>
      </c>
      <c r="HH47" s="225">
        <v>0</v>
      </c>
      <c r="HI47" s="225">
        <v>0</v>
      </c>
      <c r="HJ47" s="225">
        <f t="shared" si="51"/>
        <v>9719640</v>
      </c>
      <c r="HK47" s="225">
        <f t="shared" si="52"/>
        <v>0</v>
      </c>
      <c r="HL47" s="225">
        <f t="shared" si="53"/>
        <v>0</v>
      </c>
    </row>
    <row r="48" spans="1:220" ht="15" customHeight="1" x14ac:dyDescent="0.2">
      <c r="BF48" s="210" t="s">
        <v>431</v>
      </c>
      <c r="BG48" s="296" t="s">
        <v>127</v>
      </c>
      <c r="BH48" s="210" t="s">
        <v>426</v>
      </c>
      <c r="BI48" s="212" t="s">
        <v>426</v>
      </c>
      <c r="BJ48" s="211">
        <f>10100</f>
        <v>10100</v>
      </c>
      <c r="BK48" s="211">
        <v>0</v>
      </c>
      <c r="BL48" s="211">
        <v>0</v>
      </c>
      <c r="BM48" s="264">
        <f>+BJ48/$BM$1*$BN$1+BM49-10</f>
        <v>15917855.212400001</v>
      </c>
      <c r="BN48" s="264">
        <f t="shared" si="20"/>
        <v>0</v>
      </c>
      <c r="BO48" s="264">
        <f t="shared" si="21"/>
        <v>0</v>
      </c>
      <c r="BY48" s="210" t="s">
        <v>430</v>
      </c>
      <c r="BZ48" s="210" t="s">
        <v>446</v>
      </c>
      <c r="CA48" s="210" t="s">
        <v>426</v>
      </c>
      <c r="CB48" s="210" t="s">
        <v>426</v>
      </c>
      <c r="CC48" s="212" t="s">
        <v>513</v>
      </c>
      <c r="CD48" s="211">
        <v>0</v>
      </c>
      <c r="CE48" s="211">
        <v>2951093101</v>
      </c>
      <c r="CF48" s="211">
        <v>2951093101</v>
      </c>
      <c r="CG48" s="211">
        <f t="shared" si="23"/>
        <v>0</v>
      </c>
      <c r="CH48" s="211">
        <f t="shared" si="24"/>
        <v>3075039.0112419999</v>
      </c>
      <c r="CI48" s="211">
        <f t="shared" si="25"/>
        <v>3075039.0112419999</v>
      </c>
      <c r="CR48" s="212" t="s">
        <v>427</v>
      </c>
      <c r="CS48" s="212" t="s">
        <v>445</v>
      </c>
      <c r="CT48" s="212" t="s">
        <v>426</v>
      </c>
      <c r="CU48" s="212" t="s">
        <v>426</v>
      </c>
      <c r="CV48" s="211">
        <v>17089021000</v>
      </c>
      <c r="CW48" s="211">
        <v>0</v>
      </c>
      <c r="CX48" s="211">
        <v>0</v>
      </c>
      <c r="CY48" s="211">
        <f t="shared" si="27"/>
        <v>17806759.881999999</v>
      </c>
      <c r="CZ48" s="211">
        <f t="shared" si="28"/>
        <v>0</v>
      </c>
      <c r="DA48" s="211">
        <f t="shared" si="29"/>
        <v>0</v>
      </c>
      <c r="DK48" s="210" t="s">
        <v>427</v>
      </c>
      <c r="DL48" s="212" t="s">
        <v>445</v>
      </c>
      <c r="DM48" s="210" t="s">
        <v>426</v>
      </c>
      <c r="DN48" s="212" t="s">
        <v>426</v>
      </c>
      <c r="DO48" s="211">
        <v>17089021000</v>
      </c>
      <c r="DP48" s="211">
        <v>0</v>
      </c>
      <c r="DQ48" s="211">
        <v>0</v>
      </c>
      <c r="DR48" s="211">
        <f t="shared" si="31"/>
        <v>17806759.881999999</v>
      </c>
      <c r="DS48" s="211">
        <f t="shared" si="32"/>
        <v>0</v>
      </c>
      <c r="DT48" s="211">
        <f t="shared" si="33"/>
        <v>0</v>
      </c>
      <c r="EE48" s="210" t="s">
        <v>427</v>
      </c>
      <c r="EF48" s="212" t="s">
        <v>445</v>
      </c>
      <c r="EG48" s="212" t="s">
        <v>426</v>
      </c>
      <c r="EH48" s="212" t="s">
        <v>426</v>
      </c>
      <c r="EI48" s="211">
        <v>17089021000</v>
      </c>
      <c r="EJ48" s="211">
        <v>0</v>
      </c>
      <c r="EK48" s="211">
        <v>0</v>
      </c>
      <c r="EL48" s="258">
        <f t="shared" si="35"/>
        <v>17806759.881999999</v>
      </c>
      <c r="EM48" s="258">
        <f t="shared" si="36"/>
        <v>0</v>
      </c>
      <c r="EN48" s="258">
        <f t="shared" si="37"/>
        <v>0</v>
      </c>
      <c r="EV48" s="257"/>
      <c r="EY48" s="210" t="s">
        <v>427</v>
      </c>
      <c r="EZ48" s="212" t="s">
        <v>445</v>
      </c>
      <c r="FA48" s="212" t="s">
        <v>426</v>
      </c>
      <c r="FB48" s="212" t="s">
        <v>426</v>
      </c>
      <c r="FC48" s="211">
        <v>17089021000</v>
      </c>
      <c r="FD48" s="211">
        <v>0</v>
      </c>
      <c r="FE48" s="211">
        <v>0</v>
      </c>
      <c r="FF48" s="257">
        <f t="shared" si="39"/>
        <v>17089021</v>
      </c>
      <c r="FG48" s="257">
        <f t="shared" si="40"/>
        <v>0</v>
      </c>
      <c r="FH48" s="257">
        <f t="shared" si="41"/>
        <v>0</v>
      </c>
      <c r="FR48" s="262" t="s">
        <v>427</v>
      </c>
      <c r="FS48" s="204" t="s">
        <v>445</v>
      </c>
      <c r="FT48" s="204" t="s">
        <v>426</v>
      </c>
      <c r="FU48" s="204" t="s">
        <v>426</v>
      </c>
      <c r="FV48" s="257">
        <v>17089021000</v>
      </c>
      <c r="FW48" s="257">
        <v>0</v>
      </c>
      <c r="FX48" s="257">
        <v>0</v>
      </c>
      <c r="FY48" s="226">
        <f t="shared" si="43"/>
        <v>17089021</v>
      </c>
      <c r="FZ48" s="226">
        <f t="shared" si="44"/>
        <v>0</v>
      </c>
      <c r="GA48" s="226">
        <f t="shared" si="45"/>
        <v>0</v>
      </c>
      <c r="GK48" s="204" t="s">
        <v>799</v>
      </c>
      <c r="GL48" s="204" t="s">
        <v>800</v>
      </c>
      <c r="GM48" s="204" t="s">
        <v>426</v>
      </c>
      <c r="GN48" s="204" t="s">
        <v>426</v>
      </c>
      <c r="GO48" s="257">
        <v>0</v>
      </c>
      <c r="GP48" s="257">
        <v>5958904157</v>
      </c>
      <c r="GQ48" s="257">
        <v>5958904157</v>
      </c>
      <c r="GR48" s="257">
        <f t="shared" si="47"/>
        <v>0</v>
      </c>
      <c r="GS48" s="257">
        <f t="shared" si="48"/>
        <v>5958904.1569999997</v>
      </c>
      <c r="GT48" s="257">
        <f t="shared" si="49"/>
        <v>5958904.1569999997</v>
      </c>
      <c r="HC48" s="204" t="s">
        <v>799</v>
      </c>
      <c r="HD48" s="204" t="s">
        <v>800</v>
      </c>
      <c r="HE48" s="204" t="s">
        <v>426</v>
      </c>
      <c r="HF48" s="204" t="s">
        <v>426</v>
      </c>
      <c r="HG48" s="225">
        <v>0</v>
      </c>
      <c r="HH48" s="225">
        <v>9719640000</v>
      </c>
      <c r="HI48" s="225">
        <v>9719640000</v>
      </c>
      <c r="HJ48" s="225">
        <f t="shared" si="51"/>
        <v>0</v>
      </c>
      <c r="HK48" s="225">
        <f t="shared" si="52"/>
        <v>9719640</v>
      </c>
      <c r="HL48" s="225">
        <f t="shared" si="53"/>
        <v>9719640</v>
      </c>
    </row>
    <row r="49" spans="58:220" ht="15" customHeight="1" x14ac:dyDescent="0.2">
      <c r="BF49" s="210" t="s">
        <v>431</v>
      </c>
      <c r="BG49" s="296" t="s">
        <v>127</v>
      </c>
      <c r="BH49" s="210" t="s">
        <v>426</v>
      </c>
      <c r="BI49" s="212" t="s">
        <v>426</v>
      </c>
      <c r="BJ49" s="211">
        <f>+BJ48+15276242000</f>
        <v>15276252100</v>
      </c>
      <c r="BK49" s="211">
        <v>15276251603</v>
      </c>
      <c r="BL49" s="211">
        <v>15276251603</v>
      </c>
      <c r="BM49" s="264">
        <f t="shared" si="19"/>
        <v>15917854.688200001</v>
      </c>
      <c r="BN49" s="264">
        <f t="shared" si="20"/>
        <v>15917854.170326</v>
      </c>
      <c r="BO49" s="264">
        <f t="shared" si="21"/>
        <v>15917854.170326</v>
      </c>
      <c r="BY49" s="210" t="s">
        <v>839</v>
      </c>
      <c r="BZ49" s="210" t="s">
        <v>840</v>
      </c>
      <c r="CA49" s="210" t="s">
        <v>426</v>
      </c>
      <c r="CB49" s="210" t="s">
        <v>426</v>
      </c>
      <c r="CC49" s="212" t="s">
        <v>513</v>
      </c>
      <c r="CD49" s="211">
        <v>3933000000</v>
      </c>
      <c r="CE49" s="211">
        <v>0</v>
      </c>
      <c r="CF49" s="211">
        <v>0</v>
      </c>
      <c r="CG49" s="211">
        <f t="shared" si="23"/>
        <v>4098186</v>
      </c>
      <c r="CH49" s="211">
        <f t="shared" si="24"/>
        <v>0</v>
      </c>
      <c r="CI49" s="211">
        <f t="shared" si="25"/>
        <v>0</v>
      </c>
      <c r="CR49" s="212" t="s">
        <v>430</v>
      </c>
      <c r="CS49" s="212" t="s">
        <v>446</v>
      </c>
      <c r="CT49" s="212" t="s">
        <v>426</v>
      </c>
      <c r="CU49" s="212" t="s">
        <v>426</v>
      </c>
      <c r="CV49" s="211">
        <v>8937547000</v>
      </c>
      <c r="CW49" s="211">
        <v>0</v>
      </c>
      <c r="CX49" s="211">
        <v>0</v>
      </c>
      <c r="CY49" s="211">
        <f t="shared" si="27"/>
        <v>9312923.9739999995</v>
      </c>
      <c r="CZ49" s="211">
        <f t="shared" si="28"/>
        <v>0</v>
      </c>
      <c r="DA49" s="211">
        <f t="shared" si="29"/>
        <v>0</v>
      </c>
      <c r="DK49" s="210" t="s">
        <v>427</v>
      </c>
      <c r="DL49" s="212" t="s">
        <v>445</v>
      </c>
      <c r="DM49" s="210" t="s">
        <v>426</v>
      </c>
      <c r="DN49" s="212" t="s">
        <v>426</v>
      </c>
      <c r="DO49" s="211">
        <v>0</v>
      </c>
      <c r="DP49" s="211">
        <v>17089021000</v>
      </c>
      <c r="DQ49" s="211">
        <v>17089021000</v>
      </c>
      <c r="DR49" s="211">
        <f t="shared" si="31"/>
        <v>0</v>
      </c>
      <c r="DS49" s="211">
        <f t="shared" si="32"/>
        <v>17806759.881999999</v>
      </c>
      <c r="DT49" s="211">
        <f t="shared" si="33"/>
        <v>17806759.881999999</v>
      </c>
      <c r="EE49" s="210" t="s">
        <v>427</v>
      </c>
      <c r="EF49" s="212" t="s">
        <v>445</v>
      </c>
      <c r="EG49" s="212" t="s">
        <v>426</v>
      </c>
      <c r="EH49" s="212" t="s">
        <v>426</v>
      </c>
      <c r="EI49" s="211">
        <v>0</v>
      </c>
      <c r="EJ49" s="211">
        <v>17089021000</v>
      </c>
      <c r="EK49" s="211">
        <v>17089021000</v>
      </c>
      <c r="EL49" s="258">
        <f t="shared" si="35"/>
        <v>0</v>
      </c>
      <c r="EM49" s="258">
        <f t="shared" si="36"/>
        <v>17806759.881999999</v>
      </c>
      <c r="EN49" s="258">
        <f t="shared" si="37"/>
        <v>17806759.881999999</v>
      </c>
      <c r="EV49" s="257"/>
      <c r="EY49" s="210" t="s">
        <v>427</v>
      </c>
      <c r="EZ49" s="212" t="s">
        <v>445</v>
      </c>
      <c r="FA49" s="212" t="s">
        <v>426</v>
      </c>
      <c r="FB49" s="212" t="s">
        <v>426</v>
      </c>
      <c r="FC49" s="211">
        <v>0</v>
      </c>
      <c r="FD49" s="211">
        <v>17089021000</v>
      </c>
      <c r="FE49" s="211">
        <v>17089021000</v>
      </c>
      <c r="FF49" s="257">
        <f t="shared" si="39"/>
        <v>0</v>
      </c>
      <c r="FG49" s="257">
        <f t="shared" si="40"/>
        <v>17089021</v>
      </c>
      <c r="FH49" s="257">
        <f t="shared" si="41"/>
        <v>17089021</v>
      </c>
      <c r="FR49" s="262" t="s">
        <v>427</v>
      </c>
      <c r="FS49" s="204" t="s">
        <v>445</v>
      </c>
      <c r="FT49" s="204" t="s">
        <v>426</v>
      </c>
      <c r="FU49" s="204" t="s">
        <v>426</v>
      </c>
      <c r="FV49" s="257">
        <v>0</v>
      </c>
      <c r="FW49" s="257">
        <v>17089021000</v>
      </c>
      <c r="FX49" s="257">
        <v>17089021000</v>
      </c>
      <c r="FY49" s="226">
        <f t="shared" si="43"/>
        <v>0</v>
      </c>
      <c r="FZ49" s="226">
        <f t="shared" si="44"/>
        <v>17089021</v>
      </c>
      <c r="GA49" s="226">
        <f t="shared" si="45"/>
        <v>17089021</v>
      </c>
      <c r="GK49" s="204" t="s">
        <v>427</v>
      </c>
      <c r="GL49" s="204" t="s">
        <v>445</v>
      </c>
      <c r="GM49" s="204" t="s">
        <v>426</v>
      </c>
      <c r="GN49" s="204" t="s">
        <v>426</v>
      </c>
      <c r="GO49" s="257">
        <v>17089021000</v>
      </c>
      <c r="GP49" s="257">
        <v>0</v>
      </c>
      <c r="GQ49" s="257">
        <v>0</v>
      </c>
      <c r="GR49" s="257">
        <f t="shared" si="47"/>
        <v>17089021</v>
      </c>
      <c r="GS49" s="257">
        <f t="shared" si="48"/>
        <v>0</v>
      </c>
      <c r="GT49" s="257">
        <f t="shared" si="49"/>
        <v>0</v>
      </c>
      <c r="HC49" s="204" t="s">
        <v>427</v>
      </c>
      <c r="HD49" s="204" t="s">
        <v>445</v>
      </c>
      <c r="HE49" s="204" t="s">
        <v>426</v>
      </c>
      <c r="HF49" s="204" t="s">
        <v>426</v>
      </c>
      <c r="HG49" s="225">
        <v>17089021000</v>
      </c>
      <c r="HH49" s="225">
        <v>0</v>
      </c>
      <c r="HI49" s="225">
        <v>0</v>
      </c>
      <c r="HJ49" s="225">
        <f t="shared" si="51"/>
        <v>17089021</v>
      </c>
      <c r="HK49" s="225">
        <f t="shared" si="52"/>
        <v>0</v>
      </c>
      <c r="HL49" s="225">
        <f t="shared" si="53"/>
        <v>0</v>
      </c>
    </row>
    <row r="50" spans="58:220" ht="15" customHeight="1" x14ac:dyDescent="0.2">
      <c r="BM50" s="266"/>
      <c r="BN50" s="266"/>
      <c r="BO50" s="266"/>
      <c r="BY50" s="210" t="s">
        <v>431</v>
      </c>
      <c r="BZ50" s="210" t="s">
        <v>127</v>
      </c>
      <c r="CA50" s="210" t="s">
        <v>426</v>
      </c>
      <c r="CB50" s="210" t="s">
        <v>426</v>
      </c>
      <c r="CC50" s="212" t="s">
        <v>513</v>
      </c>
      <c r="CD50" s="211">
        <v>15276252100</v>
      </c>
      <c r="CE50" s="211">
        <v>0</v>
      </c>
      <c r="CF50" s="211">
        <v>0</v>
      </c>
      <c r="CG50" s="211">
        <f t="shared" si="23"/>
        <v>15917854.688200001</v>
      </c>
      <c r="CH50" s="211">
        <f t="shared" si="24"/>
        <v>0</v>
      </c>
      <c r="CI50" s="211">
        <f t="shared" si="25"/>
        <v>0</v>
      </c>
      <c r="CR50" s="212" t="s">
        <v>430</v>
      </c>
      <c r="CS50" s="212" t="s">
        <v>446</v>
      </c>
      <c r="CT50" s="212" t="s">
        <v>426</v>
      </c>
      <c r="CU50" s="212" t="s">
        <v>426</v>
      </c>
      <c r="CV50" s="211">
        <v>0</v>
      </c>
      <c r="CW50" s="211">
        <v>4644854321</v>
      </c>
      <c r="CX50" s="211">
        <v>4644854321</v>
      </c>
      <c r="CY50" s="211">
        <f t="shared" si="27"/>
        <v>0</v>
      </c>
      <c r="CZ50" s="211">
        <f t="shared" si="28"/>
        <v>4839938.2024820009</v>
      </c>
      <c r="DA50" s="211">
        <f t="shared" si="29"/>
        <v>4839938.2024820009</v>
      </c>
      <c r="DK50" s="210" t="s">
        <v>430</v>
      </c>
      <c r="DL50" s="212" t="s">
        <v>446</v>
      </c>
      <c r="DM50" s="210" t="s">
        <v>426</v>
      </c>
      <c r="DN50" s="212" t="s">
        <v>426</v>
      </c>
      <c r="DO50" s="211">
        <v>8937547000</v>
      </c>
      <c r="DP50" s="211">
        <v>0</v>
      </c>
      <c r="DQ50" s="211">
        <v>0</v>
      </c>
      <c r="DR50" s="211">
        <f t="shared" si="31"/>
        <v>9312923.9739999995</v>
      </c>
      <c r="DS50" s="211">
        <f t="shared" si="32"/>
        <v>0</v>
      </c>
      <c r="DT50" s="211">
        <f t="shared" si="33"/>
        <v>0</v>
      </c>
      <c r="EE50" s="210" t="s">
        <v>430</v>
      </c>
      <c r="EF50" s="212" t="s">
        <v>446</v>
      </c>
      <c r="EG50" s="212" t="s">
        <v>426</v>
      </c>
      <c r="EH50" s="212" t="s">
        <v>426</v>
      </c>
      <c r="EI50" s="211">
        <v>8937547000</v>
      </c>
      <c r="EJ50" s="211">
        <v>0</v>
      </c>
      <c r="EK50" s="211">
        <v>0</v>
      </c>
      <c r="EL50" s="258">
        <f t="shared" si="35"/>
        <v>9312923.9739999995</v>
      </c>
      <c r="EM50" s="258">
        <f t="shared" si="36"/>
        <v>0</v>
      </c>
      <c r="EN50" s="258">
        <f t="shared" si="37"/>
        <v>0</v>
      </c>
      <c r="EV50" s="257"/>
      <c r="EY50" s="210" t="s">
        <v>430</v>
      </c>
      <c r="EZ50" s="212" t="s">
        <v>446</v>
      </c>
      <c r="FA50" s="212" t="s">
        <v>426</v>
      </c>
      <c r="FB50" s="212" t="s">
        <v>426</v>
      </c>
      <c r="FC50" s="211">
        <v>8937547000</v>
      </c>
      <c r="FD50" s="211">
        <v>0</v>
      </c>
      <c r="FE50" s="211">
        <v>0</v>
      </c>
      <c r="FF50" s="257">
        <f t="shared" si="39"/>
        <v>8937547</v>
      </c>
      <c r="FG50" s="257">
        <f t="shared" si="40"/>
        <v>0</v>
      </c>
      <c r="FH50" s="257">
        <f t="shared" si="41"/>
        <v>0</v>
      </c>
      <c r="FR50" s="262" t="s">
        <v>430</v>
      </c>
      <c r="FS50" s="204" t="s">
        <v>446</v>
      </c>
      <c r="FT50" s="204" t="s">
        <v>426</v>
      </c>
      <c r="FU50" s="204" t="s">
        <v>426</v>
      </c>
      <c r="FV50" s="257">
        <v>8937547000</v>
      </c>
      <c r="FW50" s="257">
        <v>0</v>
      </c>
      <c r="FX50" s="257">
        <v>0</v>
      </c>
      <c r="FY50" s="226">
        <f t="shared" si="43"/>
        <v>8937547</v>
      </c>
      <c r="FZ50" s="226">
        <f t="shared" si="44"/>
        <v>0</v>
      </c>
      <c r="GA50" s="226">
        <f t="shared" si="45"/>
        <v>0</v>
      </c>
      <c r="GK50" s="204" t="s">
        <v>427</v>
      </c>
      <c r="GL50" s="204" t="s">
        <v>445</v>
      </c>
      <c r="GM50" s="204" t="s">
        <v>426</v>
      </c>
      <c r="GN50" s="204" t="s">
        <v>426</v>
      </c>
      <c r="GO50" s="257">
        <v>0</v>
      </c>
      <c r="GP50" s="257">
        <v>17089021000</v>
      </c>
      <c r="GQ50" s="257">
        <v>17089021000</v>
      </c>
      <c r="GR50" s="257">
        <f t="shared" si="47"/>
        <v>0</v>
      </c>
      <c r="GS50" s="257">
        <f t="shared" si="48"/>
        <v>17089021</v>
      </c>
      <c r="GT50" s="257">
        <f t="shared" si="49"/>
        <v>17089021</v>
      </c>
      <c r="HC50" s="204" t="s">
        <v>427</v>
      </c>
      <c r="HD50" s="204" t="s">
        <v>445</v>
      </c>
      <c r="HE50" s="204" t="s">
        <v>426</v>
      </c>
      <c r="HF50" s="204" t="s">
        <v>426</v>
      </c>
      <c r="HG50" s="225">
        <v>0</v>
      </c>
      <c r="HH50" s="225">
        <v>17089021000</v>
      </c>
      <c r="HI50" s="225">
        <v>17089021000</v>
      </c>
      <c r="HJ50" s="225">
        <f t="shared" si="51"/>
        <v>0</v>
      </c>
      <c r="HK50" s="225">
        <f t="shared" si="52"/>
        <v>17089021</v>
      </c>
      <c r="HL50" s="225">
        <f t="shared" si="53"/>
        <v>17089021</v>
      </c>
    </row>
    <row r="51" spans="58:220" ht="15" customHeight="1" x14ac:dyDescent="0.2">
      <c r="BY51" s="210" t="s">
        <v>431</v>
      </c>
      <c r="BZ51" s="210" t="s">
        <v>127</v>
      </c>
      <c r="CA51" s="210" t="s">
        <v>426</v>
      </c>
      <c r="CB51" s="210" t="s">
        <v>426</v>
      </c>
      <c r="CC51" s="212" t="s">
        <v>513</v>
      </c>
      <c r="CD51" s="211">
        <v>0</v>
      </c>
      <c r="CE51" s="211">
        <v>15276251603</v>
      </c>
      <c r="CF51" s="211">
        <v>15276251603</v>
      </c>
      <c r="CG51" s="211">
        <f t="shared" si="23"/>
        <v>0</v>
      </c>
      <c r="CH51" s="211">
        <f t="shared" si="24"/>
        <v>15917854.170326</v>
      </c>
      <c r="CI51" s="211">
        <f t="shared" si="25"/>
        <v>15917854.170326</v>
      </c>
      <c r="CR51" s="212" t="s">
        <v>839</v>
      </c>
      <c r="CS51" s="212" t="s">
        <v>840</v>
      </c>
      <c r="CT51" s="212" t="s">
        <v>426</v>
      </c>
      <c r="CU51" s="212" t="s">
        <v>426</v>
      </c>
      <c r="CV51" s="211">
        <v>3933000000</v>
      </c>
      <c r="CW51" s="211">
        <v>0</v>
      </c>
      <c r="CX51" s="211">
        <v>0</v>
      </c>
      <c r="CY51" s="211">
        <f t="shared" si="27"/>
        <v>4098186</v>
      </c>
      <c r="CZ51" s="211">
        <f t="shared" si="28"/>
        <v>0</v>
      </c>
      <c r="DA51" s="211">
        <f t="shared" si="29"/>
        <v>0</v>
      </c>
      <c r="DK51" s="210" t="s">
        <v>430</v>
      </c>
      <c r="DL51" s="212" t="s">
        <v>446</v>
      </c>
      <c r="DM51" s="210" t="s">
        <v>426</v>
      </c>
      <c r="DN51" s="212" t="s">
        <v>426</v>
      </c>
      <c r="DO51" s="211">
        <v>0</v>
      </c>
      <c r="DP51" s="211">
        <v>5159680332</v>
      </c>
      <c r="DQ51" s="211">
        <v>5159680332</v>
      </c>
      <c r="DR51" s="211">
        <f t="shared" si="31"/>
        <v>0</v>
      </c>
      <c r="DS51" s="211">
        <f t="shared" si="32"/>
        <v>5376386.9059440009</v>
      </c>
      <c r="DT51" s="211">
        <f t="shared" si="33"/>
        <v>5376386.9059440009</v>
      </c>
      <c r="EE51" s="210" t="s">
        <v>430</v>
      </c>
      <c r="EF51" s="212" t="s">
        <v>446</v>
      </c>
      <c r="EG51" s="212" t="s">
        <v>426</v>
      </c>
      <c r="EH51" s="212" t="s">
        <v>426</v>
      </c>
      <c r="EI51" s="211">
        <v>0</v>
      </c>
      <c r="EJ51" s="211">
        <v>6463946696</v>
      </c>
      <c r="EK51" s="211">
        <v>6437247280</v>
      </c>
      <c r="EL51" s="258">
        <f t="shared" si="35"/>
        <v>0</v>
      </c>
      <c r="EM51" s="258">
        <f t="shared" si="36"/>
        <v>6735432.4572320003</v>
      </c>
      <c r="EN51" s="258">
        <f t="shared" si="37"/>
        <v>6707611.6657600002</v>
      </c>
      <c r="EV51" s="257"/>
      <c r="EY51" s="210" t="s">
        <v>430</v>
      </c>
      <c r="EZ51" s="212" t="s">
        <v>446</v>
      </c>
      <c r="FA51" s="212" t="s">
        <v>426</v>
      </c>
      <c r="FB51" s="212" t="s">
        <v>426</v>
      </c>
      <c r="FC51" s="211">
        <v>0</v>
      </c>
      <c r="FD51" s="211">
        <v>6457538330</v>
      </c>
      <c r="FE51" s="211">
        <v>6528600560</v>
      </c>
      <c r="FF51" s="257">
        <f t="shared" si="39"/>
        <v>0</v>
      </c>
      <c r="FG51" s="257">
        <f t="shared" si="40"/>
        <v>6457538.3300000001</v>
      </c>
      <c r="FH51" s="257">
        <f t="shared" si="41"/>
        <v>6528600.5599999996</v>
      </c>
      <c r="FR51" s="262" t="s">
        <v>430</v>
      </c>
      <c r="FS51" s="204" t="s">
        <v>446</v>
      </c>
      <c r="FT51" s="204" t="s">
        <v>426</v>
      </c>
      <c r="FU51" s="204" t="s">
        <v>426</v>
      </c>
      <c r="FV51" s="257">
        <v>0</v>
      </c>
      <c r="FW51" s="257">
        <v>6601385540</v>
      </c>
      <c r="FX51" s="257">
        <v>6522547855</v>
      </c>
      <c r="FY51" s="226">
        <f t="shared" si="43"/>
        <v>0</v>
      </c>
      <c r="FZ51" s="226">
        <f t="shared" si="44"/>
        <v>6601385.54</v>
      </c>
      <c r="GA51" s="226">
        <f t="shared" si="45"/>
        <v>6522547.8550000004</v>
      </c>
      <c r="GK51" s="204" t="s">
        <v>430</v>
      </c>
      <c r="GL51" s="204" t="s">
        <v>446</v>
      </c>
      <c r="GM51" s="204" t="s">
        <v>426</v>
      </c>
      <c r="GN51" s="204" t="s">
        <v>426</v>
      </c>
      <c r="GO51" s="257">
        <v>8937547000</v>
      </c>
      <c r="GP51" s="257">
        <v>0</v>
      </c>
      <c r="GQ51" s="257">
        <v>0</v>
      </c>
      <c r="GR51" s="257">
        <f t="shared" si="47"/>
        <v>8937547</v>
      </c>
      <c r="GS51" s="257">
        <f t="shared" si="48"/>
        <v>0</v>
      </c>
      <c r="GT51" s="257">
        <f t="shared" si="49"/>
        <v>0</v>
      </c>
      <c r="HC51" s="204" t="s">
        <v>430</v>
      </c>
      <c r="HD51" s="204" t="s">
        <v>446</v>
      </c>
      <c r="HE51" s="204" t="s">
        <v>426</v>
      </c>
      <c r="HF51" s="204" t="s">
        <v>426</v>
      </c>
      <c r="HG51" s="225">
        <v>8937547000</v>
      </c>
      <c r="HH51" s="225">
        <v>0</v>
      </c>
      <c r="HI51" s="225">
        <v>0</v>
      </c>
      <c r="HJ51" s="225">
        <f t="shared" si="51"/>
        <v>8937547</v>
      </c>
      <c r="HK51" s="225">
        <f t="shared" si="52"/>
        <v>0</v>
      </c>
      <c r="HL51" s="225">
        <f t="shared" si="53"/>
        <v>0</v>
      </c>
    </row>
    <row r="52" spans="58:220" ht="15" customHeight="1" x14ac:dyDescent="0.2">
      <c r="CR52" s="212" t="s">
        <v>431</v>
      </c>
      <c r="CS52" s="212" t="s">
        <v>127</v>
      </c>
      <c r="CT52" s="212" t="s">
        <v>426</v>
      </c>
      <c r="CU52" s="212" t="s">
        <v>426</v>
      </c>
      <c r="CV52" s="211">
        <v>15276252100</v>
      </c>
      <c r="CW52" s="211">
        <v>0</v>
      </c>
      <c r="CX52" s="211">
        <v>0</v>
      </c>
      <c r="CY52" s="211">
        <f t="shared" si="27"/>
        <v>15917854.688200001</v>
      </c>
      <c r="CZ52" s="211">
        <f t="shared" si="28"/>
        <v>0</v>
      </c>
      <c r="DA52" s="211">
        <f t="shared" si="29"/>
        <v>0</v>
      </c>
      <c r="DK52" s="210" t="s">
        <v>839</v>
      </c>
      <c r="DL52" s="212" t="s">
        <v>840</v>
      </c>
      <c r="DM52" s="210" t="s">
        <v>426</v>
      </c>
      <c r="DN52" s="212" t="s">
        <v>426</v>
      </c>
      <c r="DO52" s="211">
        <v>3933000000</v>
      </c>
      <c r="DP52" s="211">
        <v>0</v>
      </c>
      <c r="DQ52" s="211">
        <v>0</v>
      </c>
      <c r="DR52" s="211">
        <f t="shared" si="31"/>
        <v>4098186</v>
      </c>
      <c r="DS52" s="211">
        <f t="shared" si="32"/>
        <v>0</v>
      </c>
      <c r="DT52" s="211">
        <f t="shared" si="33"/>
        <v>0</v>
      </c>
      <c r="EE52" s="210" t="s">
        <v>839</v>
      </c>
      <c r="EF52" s="212" t="s">
        <v>840</v>
      </c>
      <c r="EG52" s="212" t="s">
        <v>426</v>
      </c>
      <c r="EH52" s="212" t="s">
        <v>426</v>
      </c>
      <c r="EI52" s="211">
        <v>3933000000</v>
      </c>
      <c r="EJ52" s="211">
        <v>0</v>
      </c>
      <c r="EK52" s="211">
        <v>0</v>
      </c>
      <c r="EL52" s="258">
        <f t="shared" si="35"/>
        <v>4098186</v>
      </c>
      <c r="EM52" s="258">
        <f t="shared" si="36"/>
        <v>0</v>
      </c>
      <c r="EN52" s="258">
        <f t="shared" si="37"/>
        <v>0</v>
      </c>
      <c r="EV52" s="257">
        <f t="shared" si="38"/>
        <v>0</v>
      </c>
      <c r="EY52" s="210" t="s">
        <v>839</v>
      </c>
      <c r="EZ52" s="212" t="s">
        <v>840</v>
      </c>
      <c r="FA52" s="212" t="s">
        <v>426</v>
      </c>
      <c r="FB52" s="212" t="s">
        <v>426</v>
      </c>
      <c r="FC52" s="211">
        <v>3933000000</v>
      </c>
      <c r="FD52" s="211">
        <v>0</v>
      </c>
      <c r="FE52" s="211">
        <v>0</v>
      </c>
      <c r="FF52" s="257">
        <f t="shared" si="39"/>
        <v>3933000</v>
      </c>
      <c r="FG52" s="257">
        <f t="shared" si="40"/>
        <v>0</v>
      </c>
      <c r="FH52" s="257">
        <f t="shared" si="41"/>
        <v>0</v>
      </c>
      <c r="FR52" s="262" t="s">
        <v>839</v>
      </c>
      <c r="FS52" s="204" t="s">
        <v>840</v>
      </c>
      <c r="FT52" s="204" t="s">
        <v>426</v>
      </c>
      <c r="FU52" s="204" t="s">
        <v>426</v>
      </c>
      <c r="FV52" s="257">
        <v>3933000000</v>
      </c>
      <c r="FW52" s="257">
        <v>0</v>
      </c>
      <c r="FX52" s="257">
        <v>0</v>
      </c>
      <c r="FY52" s="226">
        <f t="shared" si="43"/>
        <v>3933000</v>
      </c>
      <c r="FZ52" s="226">
        <f t="shared" si="44"/>
        <v>0</v>
      </c>
      <c r="GA52" s="226">
        <f t="shared" si="45"/>
        <v>0</v>
      </c>
      <c r="GK52" s="204" t="s">
        <v>430</v>
      </c>
      <c r="GL52" s="204" t="s">
        <v>446</v>
      </c>
      <c r="GM52" s="204" t="s">
        <v>426</v>
      </c>
      <c r="GN52" s="204" t="s">
        <v>426</v>
      </c>
      <c r="GO52" s="257">
        <v>0</v>
      </c>
      <c r="GP52" s="257">
        <v>6617146622</v>
      </c>
      <c r="GQ52" s="257">
        <v>6563126868</v>
      </c>
      <c r="GR52" s="257">
        <f t="shared" si="47"/>
        <v>0</v>
      </c>
      <c r="GS52" s="257">
        <f t="shared" si="48"/>
        <v>6617146.6220000004</v>
      </c>
      <c r="GT52" s="257">
        <f t="shared" si="49"/>
        <v>6563126.8679999998</v>
      </c>
      <c r="HC52" s="204" t="s">
        <v>430</v>
      </c>
      <c r="HD52" s="204" t="s">
        <v>446</v>
      </c>
      <c r="HE52" s="204" t="s">
        <v>426</v>
      </c>
      <c r="HF52" s="204" t="s">
        <v>426</v>
      </c>
      <c r="HG52" s="225">
        <v>0</v>
      </c>
      <c r="HH52" s="225">
        <v>8937547000</v>
      </c>
      <c r="HI52" s="225">
        <v>8937547000</v>
      </c>
      <c r="HJ52" s="225">
        <f t="shared" si="51"/>
        <v>0</v>
      </c>
      <c r="HK52" s="225">
        <f t="shared" si="52"/>
        <v>8937547</v>
      </c>
      <c r="HL52" s="225">
        <f t="shared" si="53"/>
        <v>8937547</v>
      </c>
    </row>
    <row r="53" spans="58:220" ht="15" customHeight="1" x14ac:dyDescent="0.2">
      <c r="CR53" s="212" t="s">
        <v>431</v>
      </c>
      <c r="CS53" s="212" t="s">
        <v>127</v>
      </c>
      <c r="CT53" s="212" t="s">
        <v>426</v>
      </c>
      <c r="CU53" s="212" t="s">
        <v>426</v>
      </c>
      <c r="CV53" s="211">
        <v>0</v>
      </c>
      <c r="CW53" s="211">
        <v>15276251603</v>
      </c>
      <c r="CX53" s="211">
        <v>15276251603</v>
      </c>
      <c r="CY53" s="211">
        <f t="shared" si="27"/>
        <v>0</v>
      </c>
      <c r="CZ53" s="211">
        <f t="shared" si="28"/>
        <v>15917854.170326</v>
      </c>
      <c r="DA53" s="211">
        <f t="shared" si="29"/>
        <v>15917854.170326</v>
      </c>
      <c r="DK53" s="210" t="s">
        <v>839</v>
      </c>
      <c r="DL53" s="212" t="s">
        <v>840</v>
      </c>
      <c r="DM53" s="210" t="s">
        <v>426</v>
      </c>
      <c r="DN53" s="212" t="s">
        <v>426</v>
      </c>
      <c r="DO53" s="211">
        <v>0</v>
      </c>
      <c r="DP53" s="211">
        <v>620990500</v>
      </c>
      <c r="DQ53" s="211">
        <v>0</v>
      </c>
      <c r="DR53" s="211">
        <f t="shared" si="31"/>
        <v>0</v>
      </c>
      <c r="DS53" s="211">
        <f t="shared" si="32"/>
        <v>647072.10100000002</v>
      </c>
      <c r="DT53" s="211">
        <f t="shared" si="33"/>
        <v>0</v>
      </c>
      <c r="EE53" s="210" t="s">
        <v>839</v>
      </c>
      <c r="EF53" s="212" t="s">
        <v>840</v>
      </c>
      <c r="EG53" s="212" t="s">
        <v>426</v>
      </c>
      <c r="EH53" s="212" t="s">
        <v>426</v>
      </c>
      <c r="EI53" s="211">
        <v>0</v>
      </c>
      <c r="EJ53" s="211">
        <v>1241984000</v>
      </c>
      <c r="EK53" s="211">
        <v>1241984000</v>
      </c>
      <c r="EL53" s="258">
        <f t="shared" si="35"/>
        <v>0</v>
      </c>
      <c r="EM53" s="258">
        <f t="shared" si="36"/>
        <v>1294147.328</v>
      </c>
      <c r="EN53" s="258">
        <f t="shared" si="37"/>
        <v>1294147.328</v>
      </c>
      <c r="EV53" s="257">
        <f t="shared" si="38"/>
        <v>0</v>
      </c>
      <c r="EY53" s="210" t="s">
        <v>839</v>
      </c>
      <c r="EZ53" s="212" t="s">
        <v>840</v>
      </c>
      <c r="FA53" s="212" t="s">
        <v>426</v>
      </c>
      <c r="FB53" s="212" t="s">
        <v>426</v>
      </c>
      <c r="FC53" s="211">
        <v>0</v>
      </c>
      <c r="FD53" s="211">
        <v>1241984000</v>
      </c>
      <c r="FE53" s="211">
        <v>1587811643</v>
      </c>
      <c r="FF53" s="257">
        <f t="shared" si="39"/>
        <v>0</v>
      </c>
      <c r="FG53" s="257">
        <f t="shared" si="40"/>
        <v>1241984</v>
      </c>
      <c r="FH53" s="257">
        <f t="shared" si="41"/>
        <v>1587811.6429999999</v>
      </c>
      <c r="FR53" s="262" t="s">
        <v>839</v>
      </c>
      <c r="FS53" s="204" t="s">
        <v>840</v>
      </c>
      <c r="FT53" s="204" t="s">
        <v>426</v>
      </c>
      <c r="FU53" s="204" t="s">
        <v>426</v>
      </c>
      <c r="FV53" s="257">
        <v>0</v>
      </c>
      <c r="FW53" s="257">
        <v>1587811643</v>
      </c>
      <c r="FX53" s="257">
        <v>1587811643</v>
      </c>
      <c r="FY53" s="226">
        <f t="shared" si="43"/>
        <v>0</v>
      </c>
      <c r="FZ53" s="226">
        <f t="shared" si="44"/>
        <v>1587811.6429999999</v>
      </c>
      <c r="GA53" s="226">
        <f t="shared" si="45"/>
        <v>1587811.6429999999</v>
      </c>
      <c r="GK53" s="204" t="s">
        <v>839</v>
      </c>
      <c r="GL53" s="204" t="s">
        <v>840</v>
      </c>
      <c r="GM53" s="204" t="s">
        <v>426</v>
      </c>
      <c r="GN53" s="204" t="s">
        <v>426</v>
      </c>
      <c r="GO53" s="257">
        <v>3933000000</v>
      </c>
      <c r="GP53" s="257">
        <v>0</v>
      </c>
      <c r="GQ53" s="257">
        <v>0</v>
      </c>
      <c r="GR53" s="257">
        <f t="shared" si="47"/>
        <v>3933000</v>
      </c>
      <c r="GS53" s="257">
        <f t="shared" si="48"/>
        <v>0</v>
      </c>
      <c r="GT53" s="257">
        <f t="shared" si="49"/>
        <v>0</v>
      </c>
      <c r="HC53" s="204" t="s">
        <v>839</v>
      </c>
      <c r="HD53" s="204" t="s">
        <v>840</v>
      </c>
      <c r="HE53" s="204" t="s">
        <v>426</v>
      </c>
      <c r="HF53" s="204" t="s">
        <v>426</v>
      </c>
      <c r="HG53" s="225">
        <v>3933000000</v>
      </c>
      <c r="HH53" s="225">
        <v>0</v>
      </c>
      <c r="HI53" s="225">
        <v>0</v>
      </c>
      <c r="HJ53" s="225">
        <f t="shared" si="51"/>
        <v>3933000</v>
      </c>
      <c r="HK53" s="225">
        <f t="shared" si="52"/>
        <v>0</v>
      </c>
      <c r="HL53" s="225">
        <f t="shared" si="53"/>
        <v>0</v>
      </c>
    </row>
    <row r="54" spans="58:220" ht="15" customHeight="1" x14ac:dyDescent="0.2">
      <c r="DK54" s="210" t="s">
        <v>431</v>
      </c>
      <c r="DL54" s="212" t="s">
        <v>127</v>
      </c>
      <c r="DM54" s="210" t="s">
        <v>426</v>
      </c>
      <c r="DN54" s="212" t="s">
        <v>426</v>
      </c>
      <c r="DO54" s="211">
        <v>15276252100</v>
      </c>
      <c r="DP54" s="211">
        <v>0</v>
      </c>
      <c r="DQ54" s="211">
        <v>0</v>
      </c>
      <c r="DR54" s="211">
        <f t="shared" si="31"/>
        <v>15917854.688200001</v>
      </c>
      <c r="DS54" s="211">
        <f t="shared" si="32"/>
        <v>0</v>
      </c>
      <c r="DT54" s="211">
        <f t="shared" si="33"/>
        <v>0</v>
      </c>
      <c r="EE54" s="210" t="s">
        <v>431</v>
      </c>
      <c r="EF54" s="212" t="s">
        <v>127</v>
      </c>
      <c r="EG54" s="212" t="s">
        <v>426</v>
      </c>
      <c r="EH54" s="212" t="s">
        <v>426</v>
      </c>
      <c r="EI54" s="211">
        <v>15276252100</v>
      </c>
      <c r="EJ54" s="211">
        <v>0</v>
      </c>
      <c r="EK54" s="211">
        <v>0</v>
      </c>
      <c r="EL54" s="258">
        <f t="shared" si="35"/>
        <v>15917854.688200001</v>
      </c>
      <c r="EM54" s="258">
        <f t="shared" si="36"/>
        <v>0</v>
      </c>
      <c r="EN54" s="258">
        <f t="shared" si="37"/>
        <v>0</v>
      </c>
      <c r="EV54" s="257">
        <f t="shared" si="38"/>
        <v>0</v>
      </c>
      <c r="EY54" s="210" t="s">
        <v>431</v>
      </c>
      <c r="EZ54" s="212" t="s">
        <v>127</v>
      </c>
      <c r="FA54" s="212" t="s">
        <v>426</v>
      </c>
      <c r="FB54" s="212" t="s">
        <v>426</v>
      </c>
      <c r="FC54" s="211">
        <v>15276252100</v>
      </c>
      <c r="FD54" s="211">
        <v>0</v>
      </c>
      <c r="FE54" s="211">
        <v>0</v>
      </c>
      <c r="FF54" s="257">
        <f t="shared" si="39"/>
        <v>15276252.1</v>
      </c>
      <c r="FG54" s="257">
        <f t="shared" si="40"/>
        <v>0</v>
      </c>
      <c r="FH54" s="257">
        <f t="shared" si="41"/>
        <v>0</v>
      </c>
      <c r="FR54" s="262" t="s">
        <v>431</v>
      </c>
      <c r="FS54" s="204" t="s">
        <v>127</v>
      </c>
      <c r="FT54" s="204" t="s">
        <v>426</v>
      </c>
      <c r="FU54" s="204" t="s">
        <v>426</v>
      </c>
      <c r="FV54" s="257">
        <v>15276252100</v>
      </c>
      <c r="FW54" s="257">
        <v>0</v>
      </c>
      <c r="FX54" s="257">
        <v>0</v>
      </c>
      <c r="FY54" s="226">
        <f t="shared" si="43"/>
        <v>15276252.1</v>
      </c>
      <c r="FZ54" s="226">
        <f t="shared" si="44"/>
        <v>0</v>
      </c>
      <c r="GA54" s="226">
        <f t="shared" si="45"/>
        <v>0</v>
      </c>
      <c r="GK54" s="204" t="s">
        <v>839</v>
      </c>
      <c r="GL54" s="204" t="s">
        <v>840</v>
      </c>
      <c r="GM54" s="204" t="s">
        <v>426</v>
      </c>
      <c r="GN54" s="204" t="s">
        <v>426</v>
      </c>
      <c r="GO54" s="257">
        <v>0</v>
      </c>
      <c r="GP54" s="257">
        <v>1587811643</v>
      </c>
      <c r="GQ54" s="257">
        <v>1587811643</v>
      </c>
      <c r="GR54" s="257">
        <f t="shared" si="47"/>
        <v>0</v>
      </c>
      <c r="GS54" s="257">
        <f t="shared" si="48"/>
        <v>1587811.6429999999</v>
      </c>
      <c r="GT54" s="257">
        <f t="shared" si="49"/>
        <v>1587811.6429999999</v>
      </c>
      <c r="HC54" s="204" t="s">
        <v>839</v>
      </c>
      <c r="HD54" s="204" t="s">
        <v>840</v>
      </c>
      <c r="HE54" s="204" t="s">
        <v>426</v>
      </c>
      <c r="HF54" s="204" t="s">
        <v>426</v>
      </c>
      <c r="HG54" s="225">
        <v>0</v>
      </c>
      <c r="HH54" s="225">
        <v>3857129763</v>
      </c>
      <c r="HI54" s="225">
        <v>3857129763</v>
      </c>
      <c r="HJ54" s="225">
        <f t="shared" si="51"/>
        <v>0</v>
      </c>
      <c r="HK54" s="225">
        <f t="shared" si="52"/>
        <v>3857129.7629999998</v>
      </c>
      <c r="HL54" s="225">
        <f t="shared" si="53"/>
        <v>3857129.7629999998</v>
      </c>
    </row>
    <row r="55" spans="58:220" ht="15" customHeight="1" x14ac:dyDescent="0.2">
      <c r="DK55" s="210" t="s">
        <v>431</v>
      </c>
      <c r="DL55" s="212" t="s">
        <v>127</v>
      </c>
      <c r="DM55" s="210" t="s">
        <v>426</v>
      </c>
      <c r="DN55" s="212" t="s">
        <v>426</v>
      </c>
      <c r="DO55" s="211">
        <v>0</v>
      </c>
      <c r="DP55" s="211">
        <v>15276251603</v>
      </c>
      <c r="DQ55" s="211">
        <v>15276251603</v>
      </c>
      <c r="DR55" s="211">
        <f t="shared" si="31"/>
        <v>0</v>
      </c>
      <c r="DS55" s="211">
        <f t="shared" si="32"/>
        <v>15917854.170326</v>
      </c>
      <c r="DT55" s="211">
        <f t="shared" si="33"/>
        <v>15917854.170326</v>
      </c>
      <c r="EE55" s="210" t="s">
        <v>431</v>
      </c>
      <c r="EF55" s="212" t="s">
        <v>127</v>
      </c>
      <c r="EG55" s="212" t="s">
        <v>426</v>
      </c>
      <c r="EH55" s="212" t="s">
        <v>426</v>
      </c>
      <c r="EI55" s="211">
        <v>0</v>
      </c>
      <c r="EJ55" s="211">
        <v>15276251603</v>
      </c>
      <c r="EK55" s="211">
        <v>15276251603</v>
      </c>
      <c r="EL55" s="258">
        <f t="shared" si="35"/>
        <v>0</v>
      </c>
      <c r="EM55" s="258">
        <f t="shared" si="36"/>
        <v>15917854.170326</v>
      </c>
      <c r="EN55" s="258">
        <f t="shared" si="37"/>
        <v>15917854.170326</v>
      </c>
      <c r="EV55" s="257">
        <f t="shared" si="38"/>
        <v>0</v>
      </c>
      <c r="EY55" s="210" t="s">
        <v>431</v>
      </c>
      <c r="EZ55" s="212" t="s">
        <v>127</v>
      </c>
      <c r="FA55" s="212" t="s">
        <v>426</v>
      </c>
      <c r="FB55" s="212" t="s">
        <v>426</v>
      </c>
      <c r="FC55" s="211">
        <v>0</v>
      </c>
      <c r="FD55" s="211">
        <v>15276251603</v>
      </c>
      <c r="FE55" s="211">
        <v>15276251603</v>
      </c>
      <c r="FF55" s="257">
        <f t="shared" si="39"/>
        <v>0</v>
      </c>
      <c r="FG55" s="257">
        <f t="shared" si="40"/>
        <v>15276251.603</v>
      </c>
      <c r="FH55" s="257">
        <f t="shared" si="41"/>
        <v>15276251.603</v>
      </c>
      <c r="FR55" s="262" t="s">
        <v>431</v>
      </c>
      <c r="FS55" s="204" t="s">
        <v>127</v>
      </c>
      <c r="FT55" s="204" t="s">
        <v>426</v>
      </c>
      <c r="FU55" s="204" t="s">
        <v>426</v>
      </c>
      <c r="FV55" s="257">
        <v>0</v>
      </c>
      <c r="FW55" s="257">
        <v>15276251603</v>
      </c>
      <c r="FX55" s="257">
        <v>15276251603</v>
      </c>
      <c r="FY55" s="226">
        <f t="shared" si="43"/>
        <v>0</v>
      </c>
      <c r="FZ55" s="226">
        <f t="shared" si="44"/>
        <v>15276251.603</v>
      </c>
      <c r="GA55" s="226">
        <f t="shared" si="45"/>
        <v>15276251.603</v>
      </c>
      <c r="GK55" s="204" t="s">
        <v>431</v>
      </c>
      <c r="GL55" s="204" t="s">
        <v>127</v>
      </c>
      <c r="GM55" s="204" t="s">
        <v>426</v>
      </c>
      <c r="GN55" s="204" t="s">
        <v>426</v>
      </c>
      <c r="GO55" s="257">
        <v>15276252100</v>
      </c>
      <c r="GP55" s="257">
        <v>0</v>
      </c>
      <c r="GQ55" s="257">
        <v>0</v>
      </c>
      <c r="GR55" s="257">
        <f t="shared" si="47"/>
        <v>15276252.1</v>
      </c>
      <c r="GS55" s="257">
        <f t="shared" si="48"/>
        <v>0</v>
      </c>
      <c r="GT55" s="257">
        <f t="shared" si="49"/>
        <v>0</v>
      </c>
      <c r="HC55" s="204" t="s">
        <v>431</v>
      </c>
      <c r="HD55" s="204" t="s">
        <v>127</v>
      </c>
      <c r="HE55" s="204" t="s">
        <v>426</v>
      </c>
      <c r="HF55" s="204" t="s">
        <v>426</v>
      </c>
      <c r="HG55" s="225">
        <v>15276252100</v>
      </c>
      <c r="HH55" s="225">
        <v>0</v>
      </c>
      <c r="HI55" s="225">
        <v>0</v>
      </c>
      <c r="HJ55" s="225">
        <f t="shared" si="51"/>
        <v>15276252.1</v>
      </c>
      <c r="HK55" s="225">
        <f t="shared" si="52"/>
        <v>0</v>
      </c>
      <c r="HL55" s="225">
        <f t="shared" si="53"/>
        <v>0</v>
      </c>
    </row>
    <row r="56" spans="58:220" ht="12" x14ac:dyDescent="0.2">
      <c r="EL56" s="258"/>
      <c r="EM56" s="258"/>
      <c r="EN56" s="258"/>
      <c r="FG56" s="257"/>
      <c r="GK56" s="204" t="s">
        <v>431</v>
      </c>
      <c r="GL56" s="204" t="s">
        <v>127</v>
      </c>
      <c r="GM56" s="204" t="s">
        <v>426</v>
      </c>
      <c r="GN56" s="204" t="s">
        <v>426</v>
      </c>
      <c r="GO56" s="257">
        <v>0</v>
      </c>
      <c r="GP56" s="257">
        <v>15276251603</v>
      </c>
      <c r="GQ56" s="257">
        <v>15276251603</v>
      </c>
      <c r="GR56" s="257">
        <f t="shared" si="47"/>
        <v>0</v>
      </c>
      <c r="GS56" s="257">
        <f t="shared" si="48"/>
        <v>15276251.603</v>
      </c>
      <c r="GT56" s="257">
        <f t="shared" si="49"/>
        <v>15276251.603</v>
      </c>
      <c r="HC56" s="204" t="s">
        <v>431</v>
      </c>
      <c r="HD56" s="204" t="s">
        <v>127</v>
      </c>
      <c r="HE56" s="204" t="s">
        <v>426</v>
      </c>
      <c r="HF56" s="204" t="s">
        <v>426</v>
      </c>
      <c r="HG56" s="225">
        <v>0</v>
      </c>
      <c r="HH56" s="225">
        <v>15276251603</v>
      </c>
      <c r="HI56" s="225">
        <v>15276251603</v>
      </c>
      <c r="HJ56" s="225">
        <f t="shared" si="51"/>
        <v>0</v>
      </c>
      <c r="HK56" s="225">
        <f t="shared" si="52"/>
        <v>15276251.603</v>
      </c>
      <c r="HL56" s="225">
        <f t="shared" si="53"/>
        <v>15276251.603</v>
      </c>
    </row>
    <row r="57" spans="58:220" ht="12" x14ac:dyDescent="0.2">
      <c r="EL57" s="258"/>
      <c r="EM57" s="258"/>
      <c r="EN57" s="258"/>
      <c r="FG57" s="257"/>
      <c r="HJ57" s="225"/>
    </row>
  </sheetData>
  <autoFilter ref="A2:J38" xr:uid="{00000000-0009-0000-0000-00000D000000}"/>
  <mergeCells count="23">
    <mergeCell ref="CK1:CN1"/>
    <mergeCell ref="GV1:GY1"/>
    <mergeCell ref="HC1:HJ1"/>
    <mergeCell ref="EQ1:EU1"/>
    <mergeCell ref="EY1:FE1"/>
    <mergeCell ref="DW1:DZ1"/>
    <mergeCell ref="EE1:EH1"/>
    <mergeCell ref="CR1:CX1"/>
    <mergeCell ref="DC1:DG1"/>
    <mergeCell ref="GD1:GG1"/>
    <mergeCell ref="GK1:GR1"/>
    <mergeCell ref="FK1:FN1"/>
    <mergeCell ref="FR1:FU1"/>
    <mergeCell ref="DK1:DR1"/>
    <mergeCell ref="A1:D1"/>
    <mergeCell ref="AE1:AI1"/>
    <mergeCell ref="AM1:AU1"/>
    <mergeCell ref="BR1:BT1"/>
    <mergeCell ref="BY1:CG1"/>
    <mergeCell ref="AY1:BB1"/>
    <mergeCell ref="BF1:BL1"/>
    <mergeCell ref="M1:P1"/>
    <mergeCell ref="T1:Z1"/>
  </mergeCells>
  <pageMargins left="0.7" right="0.7" top="0.75" bottom="0.75" header="0.3" footer="0.3"/>
  <pageSetup paperSize="9" orientation="portrait" r:id="rId1"/>
  <ignoredErrors>
    <ignoredError sqref="FK3:FM19 FR4:FR55 FT3:FT20 BA3:BD5 AY3:AY15 BY3:CI51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BF0DC-0E67-4288-B5D8-9901C095B9DB}">
  <sheetPr>
    <tabColor rgb="FFFF99CC"/>
  </sheetPr>
  <dimension ref="A1:EM71"/>
  <sheetViews>
    <sheetView topLeftCell="DU1" zoomScale="80" zoomScaleNormal="80" workbookViewId="0">
      <selection activeCell="DX24" sqref="DX24"/>
    </sheetView>
  </sheetViews>
  <sheetFormatPr baseColWidth="10" defaultColWidth="5.5703125" defaultRowHeight="12" x14ac:dyDescent="0.25"/>
  <cols>
    <col min="1" max="41" width="0" style="731" hidden="1" customWidth="1"/>
    <col min="42" max="44" width="0" style="730" hidden="1" customWidth="1"/>
    <col min="45" max="57" width="0" style="731" hidden="1" customWidth="1"/>
    <col min="58" max="58" width="0" style="729" hidden="1" customWidth="1"/>
    <col min="59" max="59" width="0" style="731" hidden="1" customWidth="1"/>
    <col min="60" max="60" width="0" style="729" hidden="1" customWidth="1"/>
    <col min="61" max="63" width="0" style="731" hidden="1" customWidth="1"/>
    <col min="64" max="64" width="0" style="894" hidden="1" customWidth="1"/>
    <col min="65" max="94" width="0" style="731" hidden="1" customWidth="1"/>
    <col min="95" max="95" width="0" style="668" hidden="1" customWidth="1"/>
    <col min="96" max="102" width="0" style="731" hidden="1" customWidth="1"/>
    <col min="103" max="103" width="5.5703125" style="731"/>
    <col min="104" max="104" width="11.140625" style="731" hidden="1" customWidth="1"/>
    <col min="105" max="108" width="15.28515625" style="731" hidden="1" customWidth="1"/>
    <col min="109" max="109" width="15.42578125" style="731" hidden="1" customWidth="1"/>
    <col min="110" max="111" width="0" style="731" hidden="1" customWidth="1"/>
    <col min="112" max="112" width="8.42578125" style="731" hidden="1" customWidth="1"/>
    <col min="113" max="113" width="15.28515625" style="731" hidden="1" customWidth="1"/>
    <col min="114" max="114" width="10.42578125" style="731" hidden="1" customWidth="1"/>
    <col min="115" max="115" width="15.85546875" style="731" hidden="1" customWidth="1"/>
    <col min="116" max="118" width="10.42578125" style="1028" hidden="1" customWidth="1"/>
    <col min="119" max="121" width="15.28515625" style="731" hidden="1" customWidth="1"/>
    <col min="122" max="122" width="0" style="731" hidden="1" customWidth="1"/>
    <col min="123" max="124" width="5.5703125" style="731"/>
    <col min="125" max="125" width="9.7109375" style="731" customWidth="1"/>
    <col min="126" max="126" width="28.28515625" style="731" customWidth="1"/>
    <col min="127" max="127" width="14.42578125" style="668" customWidth="1"/>
    <col min="128" max="128" width="24" style="731" customWidth="1"/>
    <col min="129" max="130" width="14.42578125" style="731" customWidth="1"/>
    <col min="131" max="132" width="5.5703125" style="731"/>
    <col min="133" max="133" width="9.28515625" style="731" customWidth="1"/>
    <col min="134" max="134" width="23.7109375" style="731" customWidth="1"/>
    <col min="135" max="135" width="11.85546875" style="668" customWidth="1"/>
    <col min="136" max="136" width="24.140625" style="731" customWidth="1"/>
    <col min="137" max="139" width="11.85546875" style="731" hidden="1" customWidth="1"/>
    <col min="140" max="140" width="15.7109375" style="731" customWidth="1"/>
    <col min="141" max="142" width="15" style="731" customWidth="1"/>
    <col min="143" max="16384" width="5.5703125" style="731"/>
  </cols>
  <sheetData>
    <row r="1" spans="1:143" ht="14.45" customHeight="1" x14ac:dyDescent="0.25">
      <c r="A1" s="1289" t="s">
        <v>1019</v>
      </c>
      <c r="B1" s="1289"/>
      <c r="C1" s="1289"/>
      <c r="D1" s="1289"/>
      <c r="E1" s="1289"/>
      <c r="F1" s="1289"/>
      <c r="G1" s="1289"/>
      <c r="H1" s="886">
        <v>1000</v>
      </c>
      <c r="I1" s="886">
        <v>1</v>
      </c>
      <c r="J1" s="886"/>
      <c r="K1" s="887"/>
      <c r="L1" s="1289" t="s">
        <v>1049</v>
      </c>
      <c r="M1" s="1289"/>
      <c r="N1" s="1289"/>
      <c r="O1" s="1289"/>
      <c r="P1" s="886">
        <v>1000</v>
      </c>
      <c r="Q1" s="886">
        <v>1</v>
      </c>
      <c r="R1" s="887"/>
      <c r="S1" s="1289" t="s">
        <v>1052</v>
      </c>
      <c r="T1" s="1289"/>
      <c r="U1" s="1289"/>
      <c r="V1" s="1289"/>
      <c r="W1" s="1289"/>
      <c r="X1" s="1289"/>
      <c r="Y1" s="1289"/>
      <c r="Z1" s="1289"/>
      <c r="AA1" s="886">
        <v>1000</v>
      </c>
      <c r="AB1" s="886">
        <v>1</v>
      </c>
      <c r="AC1" s="887"/>
      <c r="AD1" s="887"/>
      <c r="AE1" s="1289" t="s">
        <v>6</v>
      </c>
      <c r="AF1" s="1289"/>
      <c r="AG1" s="1289"/>
      <c r="AH1" s="1289"/>
      <c r="AI1" s="886">
        <v>1000</v>
      </c>
      <c r="AJ1" s="886">
        <v>1</v>
      </c>
      <c r="AK1" s="887"/>
      <c r="AL1" s="1289" t="s">
        <v>1063</v>
      </c>
      <c r="AM1" s="1289"/>
      <c r="AN1" s="1289"/>
      <c r="AO1" s="1289"/>
      <c r="AP1" s="1289"/>
      <c r="AQ1" s="1289"/>
      <c r="AR1" s="1289"/>
      <c r="AS1" s="886">
        <v>1000</v>
      </c>
      <c r="AT1" s="886">
        <v>1</v>
      </c>
      <c r="AU1" s="886"/>
      <c r="AV1" s="887"/>
      <c r="AW1" s="887"/>
      <c r="AX1" s="1289" t="s">
        <v>7</v>
      </c>
      <c r="AY1" s="1289"/>
      <c r="AZ1" s="1289"/>
      <c r="BA1" s="1289"/>
      <c r="BB1" s="886">
        <v>1000</v>
      </c>
      <c r="BC1" s="885">
        <v>1</v>
      </c>
      <c r="BE1" s="1288" t="s">
        <v>1072</v>
      </c>
      <c r="BF1" s="1288"/>
      <c r="BG1" s="1288"/>
      <c r="BH1" s="1288"/>
      <c r="BI1" s="1288"/>
      <c r="BJ1" s="1288"/>
      <c r="BK1" s="1288"/>
      <c r="BL1" s="890">
        <v>1000</v>
      </c>
      <c r="BM1" s="890">
        <v>1</v>
      </c>
      <c r="BN1" s="889"/>
      <c r="BP1" s="1288" t="s">
        <v>1075</v>
      </c>
      <c r="BQ1" s="1288"/>
      <c r="BR1" s="1288"/>
      <c r="BS1" s="1288"/>
      <c r="BT1" s="885">
        <v>1000</v>
      </c>
      <c r="BU1" s="885">
        <v>1</v>
      </c>
      <c r="BW1" s="1288" t="s">
        <v>1076</v>
      </c>
      <c r="BX1" s="1288"/>
      <c r="BY1" s="1288"/>
      <c r="BZ1" s="1288"/>
      <c r="CA1" s="1288"/>
      <c r="CB1" s="1288"/>
      <c r="CC1" s="1288"/>
      <c r="CD1" s="890">
        <v>1000</v>
      </c>
      <c r="CE1" s="890">
        <v>1</v>
      </c>
      <c r="CF1" s="890"/>
      <c r="CH1" s="1290" t="s">
        <v>1105</v>
      </c>
      <c r="CI1" s="1288"/>
      <c r="CJ1" s="1288"/>
      <c r="CK1" s="1288"/>
      <c r="CL1" s="890">
        <v>1000</v>
      </c>
      <c r="CM1" s="890">
        <v>1</v>
      </c>
      <c r="CO1" s="1289" t="s">
        <v>1104</v>
      </c>
      <c r="CP1" s="1289"/>
      <c r="CQ1" s="1289"/>
      <c r="CR1" s="1289"/>
      <c r="CS1" s="1289"/>
      <c r="CT1" s="1289"/>
      <c r="CU1" s="1289"/>
      <c r="CV1" s="1289"/>
      <c r="CW1" s="886">
        <v>1000</v>
      </c>
      <c r="CX1" s="886">
        <v>1</v>
      </c>
      <c r="CZ1" s="886"/>
      <c r="DA1" s="886"/>
      <c r="DB1" s="886" t="s">
        <v>79</v>
      </c>
      <c r="DC1" s="886">
        <v>1000</v>
      </c>
      <c r="DD1" s="886">
        <v>1</v>
      </c>
      <c r="DE1" s="886"/>
      <c r="DF1" s="895"/>
      <c r="DG1" s="895"/>
      <c r="DH1" s="1289" t="s">
        <v>738</v>
      </c>
      <c r="DI1" s="1289"/>
      <c r="DJ1" s="1289"/>
      <c r="DK1" s="1289"/>
      <c r="DL1" s="1289"/>
      <c r="DM1" s="1289"/>
      <c r="DN1" s="1289"/>
      <c r="DO1" s="886">
        <v>1000</v>
      </c>
      <c r="DP1" s="886">
        <v>1</v>
      </c>
      <c r="DQ1" s="886"/>
      <c r="DR1" s="895"/>
      <c r="DS1" s="895"/>
      <c r="DU1" s="1288" t="s">
        <v>10</v>
      </c>
      <c r="DV1" s="1288"/>
      <c r="DW1" s="1288"/>
      <c r="DX1" s="1288"/>
      <c r="DY1" s="890">
        <v>1000</v>
      </c>
      <c r="DZ1" s="885">
        <v>1</v>
      </c>
      <c r="EA1" s="888"/>
      <c r="EC1" s="1288" t="s">
        <v>1149</v>
      </c>
      <c r="ED1" s="1288"/>
      <c r="EE1" s="1288"/>
      <c r="EF1" s="1288"/>
      <c r="EG1" s="890"/>
      <c r="EH1" s="890"/>
      <c r="EI1" s="890"/>
      <c r="EJ1" s="890">
        <v>1000</v>
      </c>
      <c r="EK1" s="890">
        <v>1</v>
      </c>
      <c r="EL1" s="889"/>
    </row>
    <row r="2" spans="1:143" s="891" customFormat="1" ht="34.9" customHeight="1" x14ac:dyDescent="0.25">
      <c r="A2" s="886" t="s">
        <v>407</v>
      </c>
      <c r="B2" s="886" t="s">
        <v>432</v>
      </c>
      <c r="C2" s="886" t="s">
        <v>408</v>
      </c>
      <c r="D2" s="886" t="s">
        <v>502</v>
      </c>
      <c r="E2" s="886" t="s">
        <v>444</v>
      </c>
      <c r="F2" s="886" t="s">
        <v>463</v>
      </c>
      <c r="G2" s="886" t="s">
        <v>410</v>
      </c>
      <c r="H2" s="886" t="s">
        <v>914</v>
      </c>
      <c r="I2" s="886" t="s">
        <v>920</v>
      </c>
      <c r="J2" s="886" t="s">
        <v>919</v>
      </c>
      <c r="K2" s="887"/>
      <c r="L2" s="886" t="s">
        <v>407</v>
      </c>
      <c r="M2" s="886" t="s">
        <v>432</v>
      </c>
      <c r="N2" s="886" t="s">
        <v>408</v>
      </c>
      <c r="O2" s="886" t="s">
        <v>502</v>
      </c>
      <c r="P2" s="886" t="s">
        <v>410</v>
      </c>
      <c r="Q2" s="886" t="s">
        <v>919</v>
      </c>
      <c r="R2" s="887"/>
      <c r="S2" s="886" t="s">
        <v>407</v>
      </c>
      <c r="T2" s="886" t="s">
        <v>432</v>
      </c>
      <c r="U2" s="886" t="s">
        <v>408</v>
      </c>
      <c r="V2" s="886" t="s">
        <v>502</v>
      </c>
      <c r="W2" s="886" t="s">
        <v>444</v>
      </c>
      <c r="X2" s="886" t="s">
        <v>410</v>
      </c>
      <c r="Y2" s="886" t="s">
        <v>463</v>
      </c>
      <c r="Z2" s="886" t="s">
        <v>914</v>
      </c>
      <c r="AA2" s="886" t="s">
        <v>919</v>
      </c>
      <c r="AB2" s="886" t="s">
        <v>920</v>
      </c>
      <c r="AC2" s="887"/>
      <c r="AD2" s="887"/>
      <c r="AE2" s="886" t="s">
        <v>407</v>
      </c>
      <c r="AF2" s="886" t="s">
        <v>432</v>
      </c>
      <c r="AG2" s="886" t="s">
        <v>408</v>
      </c>
      <c r="AH2" s="886" t="s">
        <v>502</v>
      </c>
      <c r="AI2" s="886" t="s">
        <v>410</v>
      </c>
      <c r="AJ2" s="886" t="s">
        <v>919</v>
      </c>
      <c r="AK2" s="887"/>
      <c r="AL2" s="886" t="s">
        <v>407</v>
      </c>
      <c r="AM2" s="886" t="s">
        <v>432</v>
      </c>
      <c r="AN2" s="886" t="s">
        <v>408</v>
      </c>
      <c r="AO2" s="886" t="s">
        <v>502</v>
      </c>
      <c r="AP2" s="886" t="s">
        <v>444</v>
      </c>
      <c r="AQ2" s="886" t="s">
        <v>410</v>
      </c>
      <c r="AR2" s="886" t="s">
        <v>463</v>
      </c>
      <c r="AS2" s="886" t="s">
        <v>914</v>
      </c>
      <c r="AT2" s="886" t="s">
        <v>919</v>
      </c>
      <c r="AU2" s="886" t="s">
        <v>920</v>
      </c>
      <c r="AV2" s="887"/>
      <c r="AW2" s="887"/>
      <c r="AX2" s="886" t="s">
        <v>407</v>
      </c>
      <c r="AY2" s="886" t="s">
        <v>432</v>
      </c>
      <c r="AZ2" s="886" t="s">
        <v>408</v>
      </c>
      <c r="BA2" s="886" t="s">
        <v>502</v>
      </c>
      <c r="BB2" s="886" t="s">
        <v>410</v>
      </c>
      <c r="BC2" s="886" t="s">
        <v>919</v>
      </c>
      <c r="BE2" s="886" t="s">
        <v>407</v>
      </c>
      <c r="BF2" s="886" t="s">
        <v>432</v>
      </c>
      <c r="BG2" s="886" t="s">
        <v>408</v>
      </c>
      <c r="BH2" s="886" t="s">
        <v>502</v>
      </c>
      <c r="BI2" s="886" t="s">
        <v>444</v>
      </c>
      <c r="BJ2" s="886" t="s">
        <v>410</v>
      </c>
      <c r="BK2" s="886" t="s">
        <v>463</v>
      </c>
      <c r="BL2" s="886" t="s">
        <v>914</v>
      </c>
      <c r="BM2" s="886" t="s">
        <v>919</v>
      </c>
      <c r="BN2" s="886" t="s">
        <v>920</v>
      </c>
      <c r="BP2" s="886" t="s">
        <v>407</v>
      </c>
      <c r="BQ2" s="886" t="s">
        <v>432</v>
      </c>
      <c r="BR2" s="886" t="s">
        <v>408</v>
      </c>
      <c r="BS2" s="886" t="s">
        <v>502</v>
      </c>
      <c r="BT2" s="886" t="s">
        <v>410</v>
      </c>
      <c r="BU2" s="886" t="s">
        <v>919</v>
      </c>
      <c r="BW2" s="886" t="s">
        <v>407</v>
      </c>
      <c r="BX2" s="886" t="s">
        <v>432</v>
      </c>
      <c r="BY2" s="886" t="s">
        <v>408</v>
      </c>
      <c r="BZ2" s="886" t="s">
        <v>502</v>
      </c>
      <c r="CA2" s="886" t="s">
        <v>444</v>
      </c>
      <c r="CB2" s="886" t="s">
        <v>463</v>
      </c>
      <c r="CC2" s="886" t="s">
        <v>410</v>
      </c>
      <c r="CD2" s="886" t="s">
        <v>914</v>
      </c>
      <c r="CE2" s="886" t="s">
        <v>920</v>
      </c>
      <c r="CF2" s="886" t="s">
        <v>919</v>
      </c>
      <c r="CH2" s="886" t="s">
        <v>407</v>
      </c>
      <c r="CI2" s="886" t="s">
        <v>432</v>
      </c>
      <c r="CJ2" s="886" t="s">
        <v>408</v>
      </c>
      <c r="CK2" s="886" t="s">
        <v>502</v>
      </c>
      <c r="CL2" s="886" t="s">
        <v>410</v>
      </c>
      <c r="CM2" s="886" t="s">
        <v>1071</v>
      </c>
      <c r="CN2" s="731"/>
      <c r="CO2" s="896" t="s">
        <v>407</v>
      </c>
      <c r="CP2" s="886" t="s">
        <v>432</v>
      </c>
      <c r="CQ2" s="886" t="s">
        <v>408</v>
      </c>
      <c r="CR2" s="886" t="s">
        <v>502</v>
      </c>
      <c r="CS2" s="886" t="s">
        <v>444</v>
      </c>
      <c r="CT2" s="886" t="s">
        <v>463</v>
      </c>
      <c r="CU2" s="886" t="s">
        <v>410</v>
      </c>
      <c r="CV2" s="886" t="s">
        <v>914</v>
      </c>
      <c r="CW2" s="886" t="s">
        <v>920</v>
      </c>
      <c r="CX2" s="886" t="s">
        <v>919</v>
      </c>
      <c r="CZ2" s="886" t="s">
        <v>407</v>
      </c>
      <c r="DA2" s="886" t="s">
        <v>432</v>
      </c>
      <c r="DB2" s="886" t="s">
        <v>408</v>
      </c>
      <c r="DC2" s="886" t="s">
        <v>502</v>
      </c>
      <c r="DD2" s="886" t="s">
        <v>410</v>
      </c>
      <c r="DE2" s="886" t="s">
        <v>919</v>
      </c>
      <c r="DF2" s="887"/>
      <c r="DG2" s="887"/>
      <c r="DH2" s="886" t="s">
        <v>407</v>
      </c>
      <c r="DI2" s="886" t="s">
        <v>432</v>
      </c>
      <c r="DJ2" s="886" t="s">
        <v>408</v>
      </c>
      <c r="DK2" s="886" t="s">
        <v>502</v>
      </c>
      <c r="DL2" s="1029" t="s">
        <v>444</v>
      </c>
      <c r="DM2" s="1029" t="s">
        <v>410</v>
      </c>
      <c r="DN2" s="1029" t="s">
        <v>463</v>
      </c>
      <c r="DO2" s="886" t="s">
        <v>914</v>
      </c>
      <c r="DP2" s="886" t="s">
        <v>919</v>
      </c>
      <c r="DQ2" s="886" t="s">
        <v>920</v>
      </c>
      <c r="DR2" s="887"/>
      <c r="DS2" s="887"/>
      <c r="DU2" s="886" t="s">
        <v>407</v>
      </c>
      <c r="DV2" s="886" t="s">
        <v>432</v>
      </c>
      <c r="DW2" s="886" t="s">
        <v>408</v>
      </c>
      <c r="DX2" s="886" t="s">
        <v>502</v>
      </c>
      <c r="DY2" s="886" t="s">
        <v>410</v>
      </c>
      <c r="DZ2" s="886" t="s">
        <v>919</v>
      </c>
      <c r="EA2" s="887"/>
      <c r="EC2" s="886" t="s">
        <v>407</v>
      </c>
      <c r="ED2" s="886" t="s">
        <v>432</v>
      </c>
      <c r="EE2" s="886" t="s">
        <v>408</v>
      </c>
      <c r="EF2" s="886" t="s">
        <v>502</v>
      </c>
      <c r="EG2" s="886" t="s">
        <v>444</v>
      </c>
      <c r="EH2" s="886" t="s">
        <v>463</v>
      </c>
      <c r="EI2" s="886" t="s">
        <v>410</v>
      </c>
      <c r="EJ2" s="886" t="s">
        <v>914</v>
      </c>
      <c r="EK2" s="886" t="s">
        <v>928</v>
      </c>
      <c r="EL2" s="886" t="s">
        <v>929</v>
      </c>
    </row>
    <row r="3" spans="1:143" x14ac:dyDescent="0.25">
      <c r="A3" s="668" t="s">
        <v>421</v>
      </c>
      <c r="B3" s="668" t="s">
        <v>216</v>
      </c>
      <c r="C3" s="668" t="s">
        <v>471</v>
      </c>
      <c r="D3" s="668" t="s">
        <v>288</v>
      </c>
      <c r="E3" s="687">
        <v>55279537000</v>
      </c>
      <c r="F3" s="687">
        <v>0</v>
      </c>
      <c r="G3" s="687">
        <v>0</v>
      </c>
      <c r="H3" s="730">
        <f>+E3/$H$1*$I$1</f>
        <v>55279537</v>
      </c>
      <c r="I3" s="730">
        <f t="shared" ref="I3:J3" si="0">+F3/$H$1*$I$1</f>
        <v>0</v>
      </c>
      <c r="J3" s="730">
        <f t="shared" si="0"/>
        <v>0</v>
      </c>
      <c r="L3" s="688" t="s">
        <v>423</v>
      </c>
      <c r="M3" s="689" t="s">
        <v>853</v>
      </c>
      <c r="N3" s="688" t="s">
        <v>424</v>
      </c>
      <c r="O3" s="688" t="s">
        <v>268</v>
      </c>
      <c r="P3" s="690">
        <v>2164836</v>
      </c>
      <c r="Q3" s="730">
        <f>+P3/$P$1*$Q$1</f>
        <v>2164.8359999999998</v>
      </c>
      <c r="S3" s="731" t="s">
        <v>421</v>
      </c>
      <c r="T3" s="731" t="s">
        <v>216</v>
      </c>
      <c r="U3" s="731" t="s">
        <v>471</v>
      </c>
      <c r="V3" s="731" t="s">
        <v>288</v>
      </c>
      <c r="W3" s="730">
        <v>55279537000</v>
      </c>
      <c r="X3" s="730">
        <v>0</v>
      </c>
      <c r="Y3" s="730">
        <v>0</v>
      </c>
      <c r="Z3" s="730">
        <f>+W3/$AA$1*$AB$1</f>
        <v>55279537</v>
      </c>
      <c r="AA3" s="730">
        <f t="shared" ref="AA3:AB3" si="1">+X3/$AA$1*$AB$1</f>
        <v>0</v>
      </c>
      <c r="AB3" s="730">
        <f t="shared" si="1"/>
        <v>0</v>
      </c>
      <c r="AC3" s="730"/>
      <c r="AE3" s="688" t="s">
        <v>423</v>
      </c>
      <c r="AF3" s="689" t="s">
        <v>853</v>
      </c>
      <c r="AG3" s="688" t="s">
        <v>424</v>
      </c>
      <c r="AH3" s="689" t="s">
        <v>268</v>
      </c>
      <c r="AI3" s="690">
        <v>2164836</v>
      </c>
      <c r="AJ3" s="730">
        <f>+AI3/$AI$1*$AJ$1</f>
        <v>2164.8359999999998</v>
      </c>
      <c r="AL3" s="731" t="s">
        <v>421</v>
      </c>
      <c r="AM3" s="731" t="s">
        <v>216</v>
      </c>
      <c r="AN3" s="731" t="s">
        <v>471</v>
      </c>
      <c r="AO3" s="731" t="s">
        <v>288</v>
      </c>
      <c r="AP3" s="730">
        <v>55279537000</v>
      </c>
      <c r="AQ3" s="730">
        <v>0</v>
      </c>
      <c r="AR3" s="730">
        <v>0</v>
      </c>
      <c r="AS3" s="730">
        <f>+AP3/$AS$1*$AT$1</f>
        <v>55279537</v>
      </c>
      <c r="AT3" s="730">
        <f t="shared" ref="AT3:AU3" si="2">+AQ3/$AS$1*$AT$1</f>
        <v>0</v>
      </c>
      <c r="AU3" s="730">
        <f t="shared" si="2"/>
        <v>0</v>
      </c>
      <c r="AX3" s="688" t="s">
        <v>421</v>
      </c>
      <c r="AY3" s="689" t="s">
        <v>216</v>
      </c>
      <c r="AZ3" s="688" t="s">
        <v>471</v>
      </c>
      <c r="BA3" s="688" t="s">
        <v>288</v>
      </c>
      <c r="BB3" s="690">
        <v>55279537000</v>
      </c>
      <c r="BC3" s="690">
        <f>+BB3/$BB$1*$BC$1</f>
        <v>55279537</v>
      </c>
      <c r="BE3" s="688" t="s">
        <v>421</v>
      </c>
      <c r="BF3" s="689" t="s">
        <v>216</v>
      </c>
      <c r="BG3" s="688" t="s">
        <v>471</v>
      </c>
      <c r="BH3" s="689" t="s">
        <v>288</v>
      </c>
      <c r="BI3" s="690">
        <v>55279537000</v>
      </c>
      <c r="BJ3" s="690">
        <v>0</v>
      </c>
      <c r="BK3" s="690">
        <v>0</v>
      </c>
      <c r="BL3" s="687">
        <f>+BI3/$BL$1*$BM$1</f>
        <v>55279537</v>
      </c>
      <c r="BM3" s="690">
        <f t="shared" ref="BM3:BN3" si="3">+BJ3/$BL$1*$BM$1</f>
        <v>0</v>
      </c>
      <c r="BN3" s="690">
        <f t="shared" si="3"/>
        <v>0</v>
      </c>
      <c r="BP3" s="668" t="s">
        <v>423</v>
      </c>
      <c r="BQ3" s="729" t="s">
        <v>853</v>
      </c>
      <c r="BR3" s="668" t="s">
        <v>424</v>
      </c>
      <c r="BS3" s="729" t="s">
        <v>268</v>
      </c>
      <c r="BT3" s="730">
        <v>16133569</v>
      </c>
      <c r="BU3" s="730">
        <f>+BT3/$BT$1*$BU$1</f>
        <v>16133.569</v>
      </c>
      <c r="BW3" s="668" t="s">
        <v>421</v>
      </c>
      <c r="BX3" s="729" t="s">
        <v>216</v>
      </c>
      <c r="BY3" s="668" t="s">
        <v>471</v>
      </c>
      <c r="BZ3" s="729" t="s">
        <v>288</v>
      </c>
      <c r="CA3" s="730">
        <v>55279537000</v>
      </c>
      <c r="CB3" s="730">
        <v>0</v>
      </c>
      <c r="CC3" s="730">
        <v>0</v>
      </c>
      <c r="CD3" s="730">
        <f>+CA3/$CD$1*$CE$1</f>
        <v>55279537</v>
      </c>
      <c r="CE3" s="730">
        <f t="shared" ref="CE3:CF3" si="4">+CB3/$CD$1*$CE$1</f>
        <v>0</v>
      </c>
      <c r="CF3" s="730">
        <f t="shared" si="4"/>
        <v>0</v>
      </c>
      <c r="CH3" s="688" t="s">
        <v>423</v>
      </c>
      <c r="CI3" s="689" t="s">
        <v>853</v>
      </c>
      <c r="CJ3" s="688" t="s">
        <v>450</v>
      </c>
      <c r="CK3" s="689" t="s">
        <v>267</v>
      </c>
      <c r="CL3" s="690">
        <v>704604150</v>
      </c>
      <c r="CM3" s="730">
        <f>+CL3/$CL$1*$CM$1</f>
        <v>704604.15</v>
      </c>
      <c r="CO3" s="731" t="s">
        <v>421</v>
      </c>
      <c r="CP3" s="731" t="s">
        <v>216</v>
      </c>
      <c r="CQ3" s="668" t="s">
        <v>471</v>
      </c>
      <c r="CR3" s="731" t="s">
        <v>288</v>
      </c>
      <c r="CS3" s="731">
        <v>55279537000</v>
      </c>
      <c r="CT3" s="731">
        <v>0</v>
      </c>
      <c r="CU3" s="731">
        <v>0</v>
      </c>
      <c r="CV3" s="730">
        <f>+CS3/$CW$1*$CX$1</f>
        <v>55279537</v>
      </c>
      <c r="CW3" s="730">
        <f t="shared" ref="CW3:CX3" si="5">+CT3/$CW$1*$CX$1</f>
        <v>0</v>
      </c>
      <c r="CX3" s="730">
        <f t="shared" si="5"/>
        <v>0</v>
      </c>
      <c r="CZ3" s="688" t="s">
        <v>423</v>
      </c>
      <c r="DA3" s="689" t="s">
        <v>853</v>
      </c>
      <c r="DB3" s="688" t="s">
        <v>425</v>
      </c>
      <c r="DC3" s="689" t="s">
        <v>311</v>
      </c>
      <c r="DD3" s="690">
        <v>1116092</v>
      </c>
      <c r="DE3" s="737">
        <f>+DD3/$DC$1*$DD$1</f>
        <v>1116.0920000000001</v>
      </c>
      <c r="DH3" s="731" t="s">
        <v>421</v>
      </c>
      <c r="DI3" s="731" t="s">
        <v>216</v>
      </c>
      <c r="DJ3" s="731" t="s">
        <v>471</v>
      </c>
      <c r="DK3" s="731" t="s">
        <v>288</v>
      </c>
      <c r="DL3" s="1028">
        <v>55279537000</v>
      </c>
      <c r="DM3" s="1028">
        <v>0</v>
      </c>
      <c r="DN3" s="1028">
        <v>0</v>
      </c>
      <c r="DO3" s="1028">
        <f>+DL3/$DO$1*$DP$1</f>
        <v>55279537</v>
      </c>
      <c r="DP3" s="1028">
        <f t="shared" ref="DP3:DQ3" si="6">+DM3/$DO$1*$DP$1</f>
        <v>0</v>
      </c>
      <c r="DQ3" s="1028">
        <f t="shared" si="6"/>
        <v>0</v>
      </c>
      <c r="DU3" s="731" t="s">
        <v>423</v>
      </c>
      <c r="DV3" s="731" t="s">
        <v>853</v>
      </c>
      <c r="DW3" s="668" t="s">
        <v>425</v>
      </c>
      <c r="DX3" s="731" t="s">
        <v>311</v>
      </c>
      <c r="DY3" s="737">
        <v>445328</v>
      </c>
      <c r="DZ3" s="737">
        <f>+DY3/$DY$1*$DZ$1</f>
        <v>445.32799999999997</v>
      </c>
      <c r="EC3" s="731" t="s">
        <v>421</v>
      </c>
      <c r="ED3" s="731" t="s">
        <v>216</v>
      </c>
      <c r="EE3" s="668" t="s">
        <v>471</v>
      </c>
      <c r="EF3" s="731" t="s">
        <v>288</v>
      </c>
      <c r="EG3" s="737">
        <v>55279537000</v>
      </c>
      <c r="EH3" s="737">
        <v>0</v>
      </c>
      <c r="EI3" s="737">
        <v>0</v>
      </c>
      <c r="EJ3" s="737">
        <f>+EG3/$EJ$1*$EK$1</f>
        <v>55279537</v>
      </c>
      <c r="EK3" s="737">
        <f t="shared" ref="EK3:EL3" si="7">+EH3/$EJ$1*$EK$1</f>
        <v>0</v>
      </c>
      <c r="EL3" s="737">
        <f t="shared" si="7"/>
        <v>0</v>
      </c>
      <c r="EM3" s="737"/>
    </row>
    <row r="4" spans="1:143" x14ac:dyDescent="0.25">
      <c r="A4" s="668" t="s">
        <v>421</v>
      </c>
      <c r="B4" s="668" t="s">
        <v>216</v>
      </c>
      <c r="C4" s="668" t="s">
        <v>422</v>
      </c>
      <c r="D4" s="668" t="s">
        <v>310</v>
      </c>
      <c r="E4" s="687">
        <v>21483868000</v>
      </c>
      <c r="F4" s="687">
        <v>0</v>
      </c>
      <c r="G4" s="687">
        <v>0</v>
      </c>
      <c r="H4" s="730">
        <f t="shared" ref="H4:H46" si="8">+E4/$H$1*$I$1</f>
        <v>21483868</v>
      </c>
      <c r="I4" s="730">
        <f t="shared" ref="I4:I46" si="9">+F4/$H$1*$I$1</f>
        <v>0</v>
      </c>
      <c r="J4" s="730">
        <f t="shared" ref="J4:J46" si="10">+G4/$H$1*$I$1</f>
        <v>0</v>
      </c>
      <c r="L4" s="688" t="s">
        <v>423</v>
      </c>
      <c r="M4" s="689" t="s">
        <v>853</v>
      </c>
      <c r="N4" s="688" t="s">
        <v>424</v>
      </c>
      <c r="O4" s="688" t="s">
        <v>268</v>
      </c>
      <c r="P4" s="690">
        <v>15283147</v>
      </c>
      <c r="Q4" s="730">
        <f t="shared" ref="Q4:Q10" si="11">+P4/$P$1*$Q$1</f>
        <v>15283.147000000001</v>
      </c>
      <c r="S4" s="731" t="s">
        <v>421</v>
      </c>
      <c r="T4" s="731" t="s">
        <v>216</v>
      </c>
      <c r="U4" s="731" t="s">
        <v>422</v>
      </c>
      <c r="V4" s="731" t="s">
        <v>310</v>
      </c>
      <c r="W4" s="730">
        <v>21483868000</v>
      </c>
      <c r="X4" s="730">
        <v>0</v>
      </c>
      <c r="Y4" s="730">
        <v>0</v>
      </c>
      <c r="Z4" s="730">
        <f t="shared" ref="Z4:Z53" si="12">+W4/$AA$1*$AB$1</f>
        <v>21483868</v>
      </c>
      <c r="AA4" s="730">
        <f t="shared" ref="AA4:AA53" si="13">+X4/$AA$1*$AB$1</f>
        <v>0</v>
      </c>
      <c r="AB4" s="730">
        <f t="shared" ref="AB4:AB53" si="14">+Y4/$AA$1*$AB$1</f>
        <v>0</v>
      </c>
      <c r="AC4" s="730"/>
      <c r="AE4" s="688" t="s">
        <v>423</v>
      </c>
      <c r="AF4" s="689" t="s">
        <v>853</v>
      </c>
      <c r="AG4" s="688" t="s">
        <v>448</v>
      </c>
      <c r="AH4" s="689" t="s">
        <v>449</v>
      </c>
      <c r="AI4" s="690">
        <v>2786055</v>
      </c>
      <c r="AJ4" s="730">
        <f t="shared" ref="AJ4:AJ13" si="15">+AI4/$AI$1*$AJ$1</f>
        <v>2786.0549999999998</v>
      </c>
      <c r="AL4" s="731" t="s">
        <v>421</v>
      </c>
      <c r="AM4" s="731" t="s">
        <v>216</v>
      </c>
      <c r="AN4" s="731" t="s">
        <v>422</v>
      </c>
      <c r="AO4" s="731" t="s">
        <v>310</v>
      </c>
      <c r="AP4" s="730">
        <v>21483868000</v>
      </c>
      <c r="AQ4" s="730">
        <v>0</v>
      </c>
      <c r="AR4" s="730">
        <v>0</v>
      </c>
      <c r="AS4" s="730">
        <f t="shared" ref="AS4:AS37" si="16">+AP4/$AS$1*$AT$1</f>
        <v>21483868</v>
      </c>
      <c r="AT4" s="730">
        <f t="shared" ref="AT4:AT37" si="17">+AQ4/$AS$1*$AT$1</f>
        <v>0</v>
      </c>
      <c r="AU4" s="730">
        <f t="shared" ref="AU4:AU37" si="18">+AR4/$AS$1*$AT$1</f>
        <v>0</v>
      </c>
      <c r="AX4" s="688" t="s">
        <v>421</v>
      </c>
      <c r="AY4" s="689" t="s">
        <v>216</v>
      </c>
      <c r="AZ4" s="688" t="s">
        <v>422</v>
      </c>
      <c r="BA4" s="688" t="s">
        <v>310</v>
      </c>
      <c r="BB4" s="690">
        <v>21483858340</v>
      </c>
      <c r="BC4" s="690">
        <f t="shared" ref="BC4:BC16" si="19">+BB4/$BB$1*$BC$1</f>
        <v>21483858.34</v>
      </c>
      <c r="BE4" s="688" t="s">
        <v>421</v>
      </c>
      <c r="BF4" s="689" t="s">
        <v>216</v>
      </c>
      <c r="BG4" s="688" t="s">
        <v>422</v>
      </c>
      <c r="BH4" s="689" t="s">
        <v>310</v>
      </c>
      <c r="BI4" s="690">
        <v>21483868000</v>
      </c>
      <c r="BJ4" s="690">
        <v>0</v>
      </c>
      <c r="BK4" s="690">
        <v>0</v>
      </c>
      <c r="BL4" s="687">
        <f t="shared" ref="BL4:BL63" si="20">+BI4/$BL$1*$BM$1</f>
        <v>21483868</v>
      </c>
      <c r="BM4" s="690">
        <f t="shared" ref="BM4:BM63" si="21">+BJ4/$BL$1*$BM$1</f>
        <v>0</v>
      </c>
      <c r="BN4" s="690">
        <f t="shared" ref="BN4:BN63" si="22">+BK4/$BL$1*$BM$1</f>
        <v>0</v>
      </c>
      <c r="BP4" s="668" t="s">
        <v>423</v>
      </c>
      <c r="BQ4" s="729" t="s">
        <v>853</v>
      </c>
      <c r="BR4" s="668" t="s">
        <v>424</v>
      </c>
      <c r="BS4" s="729" t="s">
        <v>268</v>
      </c>
      <c r="BT4" s="730">
        <v>2164836</v>
      </c>
      <c r="BU4" s="730">
        <f t="shared" ref="BU4:BU16" si="23">+BT4/$BT$1*$BU$1</f>
        <v>2164.8359999999998</v>
      </c>
      <c r="BW4" s="668" t="s">
        <v>421</v>
      </c>
      <c r="BX4" s="729" t="s">
        <v>216</v>
      </c>
      <c r="BY4" s="668" t="s">
        <v>422</v>
      </c>
      <c r="BZ4" s="729" t="s">
        <v>310</v>
      </c>
      <c r="CA4" s="730">
        <v>21483868000</v>
      </c>
      <c r="CB4" s="730">
        <v>0</v>
      </c>
      <c r="CC4" s="730">
        <v>0</v>
      </c>
      <c r="CD4" s="730">
        <f t="shared" ref="CD4:CD67" si="24">+CA4/$CD$1*$CE$1</f>
        <v>21483868</v>
      </c>
      <c r="CE4" s="730">
        <f t="shared" ref="CE4:CE67" si="25">+CB4/$CD$1*$CE$1</f>
        <v>0</v>
      </c>
      <c r="CF4" s="730">
        <f t="shared" ref="CF4:CF67" si="26">+CC4/$CD$1*$CE$1</f>
        <v>0</v>
      </c>
      <c r="CH4" s="688" t="s">
        <v>423</v>
      </c>
      <c r="CI4" s="689" t="s">
        <v>853</v>
      </c>
      <c r="CJ4" s="688" t="s">
        <v>424</v>
      </c>
      <c r="CK4" s="689" t="s">
        <v>268</v>
      </c>
      <c r="CL4" s="690">
        <v>16182381</v>
      </c>
      <c r="CM4" s="730">
        <f t="shared" ref="CM4:CM14" si="27">+CL4/$CL$1*$CM$1</f>
        <v>16182.380999999999</v>
      </c>
      <c r="CO4" s="731" t="s">
        <v>421</v>
      </c>
      <c r="CP4" s="731" t="s">
        <v>216</v>
      </c>
      <c r="CQ4" s="668" t="s">
        <v>422</v>
      </c>
      <c r="CR4" s="731" t="s">
        <v>310</v>
      </c>
      <c r="CS4" s="731">
        <v>21483868000</v>
      </c>
      <c r="CT4" s="731">
        <v>0</v>
      </c>
      <c r="CU4" s="731">
        <v>0</v>
      </c>
      <c r="CV4" s="730">
        <f t="shared" ref="CV4:CV67" si="28">+CS4/$CW$1*$CX$1</f>
        <v>21483868</v>
      </c>
      <c r="CW4" s="730">
        <f t="shared" ref="CW4:CW67" si="29">+CT4/$CW$1*$CX$1</f>
        <v>0</v>
      </c>
      <c r="CX4" s="730">
        <f t="shared" ref="CX4:CX67" si="30">+CU4/$CW$1*$CX$1</f>
        <v>0</v>
      </c>
      <c r="CZ4" s="688" t="s">
        <v>423</v>
      </c>
      <c r="DA4" s="689" t="s">
        <v>853</v>
      </c>
      <c r="DB4" s="688" t="s">
        <v>425</v>
      </c>
      <c r="DC4" s="689" t="s">
        <v>311</v>
      </c>
      <c r="DD4" s="690">
        <v>31809</v>
      </c>
      <c r="DE4" s="737">
        <f t="shared" ref="DE4:DE21" si="31">+DD4/$DC$1*$DD$1</f>
        <v>31.809000000000001</v>
      </c>
      <c r="DH4" s="731" t="s">
        <v>421</v>
      </c>
      <c r="DI4" s="731" t="s">
        <v>216</v>
      </c>
      <c r="DJ4" s="731" t="s">
        <v>422</v>
      </c>
      <c r="DK4" s="731" t="s">
        <v>310</v>
      </c>
      <c r="DL4" s="1028">
        <v>21483868000</v>
      </c>
      <c r="DM4" s="1028">
        <v>0</v>
      </c>
      <c r="DN4" s="1028">
        <v>0</v>
      </c>
      <c r="DO4" s="1028">
        <f t="shared" ref="DO4:DO67" si="32">+DL4/$DO$1*$DP$1</f>
        <v>21483868</v>
      </c>
      <c r="DP4" s="1028">
        <f t="shared" ref="DP4:DP67" si="33">+DM4/$DO$1*$DP$1</f>
        <v>0</v>
      </c>
      <c r="DQ4" s="1028">
        <f t="shared" ref="DQ4:DQ67" si="34">+DN4/$DO$1*$DP$1</f>
        <v>0</v>
      </c>
      <c r="DU4" s="731" t="s">
        <v>423</v>
      </c>
      <c r="DV4" s="731" t="s">
        <v>853</v>
      </c>
      <c r="DW4" s="668" t="s">
        <v>424</v>
      </c>
      <c r="DX4" s="731" t="s">
        <v>268</v>
      </c>
      <c r="DY4" s="737">
        <v>16182381</v>
      </c>
      <c r="DZ4" s="737">
        <f t="shared" ref="DZ4:DZ14" si="35">+DY4/$DY$1*$DZ$1</f>
        <v>16182.380999999999</v>
      </c>
      <c r="EC4" s="731" t="s">
        <v>421</v>
      </c>
      <c r="ED4" s="731" t="s">
        <v>216</v>
      </c>
      <c r="EE4" s="668" t="s">
        <v>422</v>
      </c>
      <c r="EF4" s="731" t="s">
        <v>310</v>
      </c>
      <c r="EG4" s="737">
        <v>21483868000</v>
      </c>
      <c r="EH4" s="737">
        <v>0</v>
      </c>
      <c r="EI4" s="737">
        <v>0</v>
      </c>
      <c r="EJ4" s="737">
        <f t="shared" ref="EJ4:EJ67" si="36">+EG4/$EJ$1*$EK$1</f>
        <v>21483868</v>
      </c>
      <c r="EK4" s="737">
        <f t="shared" ref="EK4:EK67" si="37">+EH4/$EJ$1*$EK$1</f>
        <v>0</v>
      </c>
      <c r="EL4" s="737">
        <f t="shared" ref="EL4:EL67" si="38">+EI4/$EJ$1*$EK$1</f>
        <v>0</v>
      </c>
    </row>
    <row r="5" spans="1:143" x14ac:dyDescent="0.25">
      <c r="A5" s="668" t="s">
        <v>423</v>
      </c>
      <c r="B5" s="668" t="s">
        <v>853</v>
      </c>
      <c r="C5" s="668" t="s">
        <v>450</v>
      </c>
      <c r="D5" s="668" t="s">
        <v>267</v>
      </c>
      <c r="E5" s="687">
        <v>2331908000</v>
      </c>
      <c r="F5" s="687">
        <v>0</v>
      </c>
      <c r="G5" s="687">
        <v>0</v>
      </c>
      <c r="H5" s="730">
        <f t="shared" si="8"/>
        <v>2331908</v>
      </c>
      <c r="I5" s="730">
        <f t="shared" si="9"/>
        <v>0</v>
      </c>
      <c r="J5" s="730">
        <f t="shared" si="10"/>
        <v>0</v>
      </c>
      <c r="L5" s="688" t="s">
        <v>423</v>
      </c>
      <c r="M5" s="689" t="s">
        <v>853</v>
      </c>
      <c r="N5" s="688" t="s">
        <v>447</v>
      </c>
      <c r="O5" s="688" t="s">
        <v>270</v>
      </c>
      <c r="P5" s="690">
        <v>560074</v>
      </c>
      <c r="Q5" s="730">
        <f t="shared" si="11"/>
        <v>560.07399999999996</v>
      </c>
      <c r="S5" s="731" t="s">
        <v>423</v>
      </c>
      <c r="T5" s="731" t="s">
        <v>853</v>
      </c>
      <c r="U5" s="731" t="s">
        <v>450</v>
      </c>
      <c r="V5" s="731" t="s">
        <v>267</v>
      </c>
      <c r="W5" s="730">
        <v>2331908000</v>
      </c>
      <c r="X5" s="730">
        <v>0</v>
      </c>
      <c r="Y5" s="730">
        <v>0</v>
      </c>
      <c r="Z5" s="730">
        <f t="shared" si="12"/>
        <v>2331908</v>
      </c>
      <c r="AA5" s="730">
        <f t="shared" si="13"/>
        <v>0</v>
      </c>
      <c r="AB5" s="730">
        <f t="shared" si="14"/>
        <v>0</v>
      </c>
      <c r="AC5" s="730"/>
      <c r="AE5" s="688" t="s">
        <v>423</v>
      </c>
      <c r="AF5" s="689" t="s">
        <v>853</v>
      </c>
      <c r="AG5" s="688" t="s">
        <v>425</v>
      </c>
      <c r="AH5" s="689" t="s">
        <v>311</v>
      </c>
      <c r="AI5" s="690">
        <v>25651</v>
      </c>
      <c r="AJ5" s="730">
        <f t="shared" si="15"/>
        <v>25.651</v>
      </c>
      <c r="AL5" s="731" t="s">
        <v>423</v>
      </c>
      <c r="AM5" s="731" t="s">
        <v>853</v>
      </c>
      <c r="AN5" s="731" t="s">
        <v>450</v>
      </c>
      <c r="AO5" s="731" t="s">
        <v>267</v>
      </c>
      <c r="AP5" s="730">
        <v>2331908000</v>
      </c>
      <c r="AQ5" s="730">
        <v>0</v>
      </c>
      <c r="AR5" s="730">
        <v>0</v>
      </c>
      <c r="AS5" s="730">
        <f t="shared" si="16"/>
        <v>2331908</v>
      </c>
      <c r="AT5" s="730">
        <f t="shared" si="17"/>
        <v>0</v>
      </c>
      <c r="AU5" s="730">
        <f t="shared" si="18"/>
        <v>0</v>
      </c>
      <c r="AX5" s="688" t="s">
        <v>423</v>
      </c>
      <c r="AY5" s="689" t="s">
        <v>853</v>
      </c>
      <c r="AZ5" s="688" t="s">
        <v>450</v>
      </c>
      <c r="BA5" s="688" t="s">
        <v>267</v>
      </c>
      <c r="BB5" s="690">
        <v>27100000</v>
      </c>
      <c r="BC5" s="690">
        <f t="shared" si="19"/>
        <v>27100</v>
      </c>
      <c r="BE5" s="688" t="s">
        <v>421</v>
      </c>
      <c r="BF5" s="689" t="s">
        <v>216</v>
      </c>
      <c r="BG5" s="688" t="s">
        <v>471</v>
      </c>
      <c r="BH5" s="689" t="s">
        <v>288</v>
      </c>
      <c r="BI5" s="690">
        <v>0</v>
      </c>
      <c r="BJ5" s="690">
        <v>55279537000</v>
      </c>
      <c r="BK5" s="690">
        <v>55279537000</v>
      </c>
      <c r="BL5" s="687">
        <f t="shared" si="20"/>
        <v>0</v>
      </c>
      <c r="BM5" s="690">
        <f t="shared" si="21"/>
        <v>55279537</v>
      </c>
      <c r="BN5" s="690">
        <f t="shared" si="22"/>
        <v>55279537</v>
      </c>
      <c r="BP5" s="668" t="s">
        <v>423</v>
      </c>
      <c r="BQ5" s="729" t="s">
        <v>853</v>
      </c>
      <c r="BR5" s="668" t="s">
        <v>448</v>
      </c>
      <c r="BS5" s="729" t="s">
        <v>449</v>
      </c>
      <c r="BT5" s="730">
        <v>60000000</v>
      </c>
      <c r="BU5" s="730">
        <f t="shared" si="23"/>
        <v>60000</v>
      </c>
      <c r="BW5" s="668" t="s">
        <v>421</v>
      </c>
      <c r="BX5" s="729" t="s">
        <v>216</v>
      </c>
      <c r="BY5" s="668" t="s">
        <v>426</v>
      </c>
      <c r="BZ5" s="729" t="s">
        <v>426</v>
      </c>
      <c r="CA5" s="730">
        <v>0</v>
      </c>
      <c r="CB5" s="730">
        <v>0</v>
      </c>
      <c r="CC5" s="730">
        <v>0</v>
      </c>
      <c r="CD5" s="730">
        <f t="shared" si="24"/>
        <v>0</v>
      </c>
      <c r="CE5" s="730">
        <f t="shared" si="25"/>
        <v>0</v>
      </c>
      <c r="CF5" s="730">
        <f t="shared" si="26"/>
        <v>0</v>
      </c>
      <c r="CH5" s="688" t="s">
        <v>423</v>
      </c>
      <c r="CI5" s="689" t="s">
        <v>853</v>
      </c>
      <c r="CJ5" s="688" t="s">
        <v>424</v>
      </c>
      <c r="CK5" s="689" t="s">
        <v>268</v>
      </c>
      <c r="CL5" s="690">
        <v>2178691</v>
      </c>
      <c r="CM5" s="730">
        <f t="shared" si="27"/>
        <v>2178.6909999999998</v>
      </c>
      <c r="CO5" s="731" t="s">
        <v>421</v>
      </c>
      <c r="CP5" s="731" t="s">
        <v>216</v>
      </c>
      <c r="CQ5" s="668" t="s">
        <v>426</v>
      </c>
      <c r="CR5" s="731" t="s">
        <v>426</v>
      </c>
      <c r="CS5" s="731">
        <v>0</v>
      </c>
      <c r="CT5" s="731">
        <v>0</v>
      </c>
      <c r="CU5" s="731">
        <v>0</v>
      </c>
      <c r="CV5" s="730">
        <f t="shared" si="28"/>
        <v>0</v>
      </c>
      <c r="CW5" s="730">
        <f t="shared" si="29"/>
        <v>0</v>
      </c>
      <c r="CX5" s="730">
        <f t="shared" si="30"/>
        <v>0</v>
      </c>
      <c r="CZ5" s="688" t="s">
        <v>423</v>
      </c>
      <c r="DA5" s="689" t="s">
        <v>853</v>
      </c>
      <c r="DB5" s="688" t="s">
        <v>447</v>
      </c>
      <c r="DC5" s="689" t="s">
        <v>270</v>
      </c>
      <c r="DD5" s="690">
        <v>2902974</v>
      </c>
      <c r="DE5" s="737">
        <f t="shared" si="31"/>
        <v>2902.9740000000002</v>
      </c>
      <c r="DH5" s="731" t="s">
        <v>421</v>
      </c>
      <c r="DI5" s="731" t="s">
        <v>216</v>
      </c>
      <c r="DJ5" s="731" t="s">
        <v>426</v>
      </c>
      <c r="DK5" s="731" t="s">
        <v>426</v>
      </c>
      <c r="DL5" s="1028">
        <v>0</v>
      </c>
      <c r="DM5" s="1028">
        <v>0</v>
      </c>
      <c r="DN5" s="1028">
        <v>0</v>
      </c>
      <c r="DO5" s="1028">
        <f t="shared" si="32"/>
        <v>0</v>
      </c>
      <c r="DP5" s="1028">
        <f t="shared" si="33"/>
        <v>0</v>
      </c>
      <c r="DQ5" s="1028">
        <f t="shared" si="34"/>
        <v>0</v>
      </c>
      <c r="DU5" s="731" t="s">
        <v>423</v>
      </c>
      <c r="DV5" s="731" t="s">
        <v>853</v>
      </c>
      <c r="DW5" s="668" t="s">
        <v>447</v>
      </c>
      <c r="DX5" s="731" t="s">
        <v>270</v>
      </c>
      <c r="DY5" s="737">
        <v>4495014</v>
      </c>
      <c r="DZ5" s="737">
        <f t="shared" si="35"/>
        <v>4495.0140000000001</v>
      </c>
      <c r="EC5" s="731" t="s">
        <v>421</v>
      </c>
      <c r="ED5" s="731" t="s">
        <v>216</v>
      </c>
      <c r="EE5" s="668" t="s">
        <v>471</v>
      </c>
      <c r="EF5" s="731" t="s">
        <v>288</v>
      </c>
      <c r="EG5" s="737">
        <v>0</v>
      </c>
      <c r="EH5" s="737">
        <v>55279537000</v>
      </c>
      <c r="EI5" s="737">
        <v>55279537000</v>
      </c>
      <c r="EJ5" s="737">
        <f t="shared" si="36"/>
        <v>0</v>
      </c>
      <c r="EK5" s="737">
        <f t="shared" si="37"/>
        <v>55279537</v>
      </c>
      <c r="EL5" s="737">
        <f t="shared" si="38"/>
        <v>55279537</v>
      </c>
    </row>
    <row r="6" spans="1:143" x14ac:dyDescent="0.25">
      <c r="A6" s="668" t="s">
        <v>423</v>
      </c>
      <c r="B6" s="668" t="s">
        <v>853</v>
      </c>
      <c r="C6" s="668" t="s">
        <v>472</v>
      </c>
      <c r="D6" s="668" t="s">
        <v>330</v>
      </c>
      <c r="E6" s="687">
        <v>611893000</v>
      </c>
      <c r="F6" s="687">
        <v>0</v>
      </c>
      <c r="G6" s="687">
        <v>0</v>
      </c>
      <c r="H6" s="730">
        <f t="shared" si="8"/>
        <v>611893</v>
      </c>
      <c r="I6" s="730">
        <f t="shared" si="9"/>
        <v>0</v>
      </c>
      <c r="J6" s="730">
        <f t="shared" si="10"/>
        <v>0</v>
      </c>
      <c r="L6" s="688" t="s">
        <v>423</v>
      </c>
      <c r="M6" s="689" t="s">
        <v>853</v>
      </c>
      <c r="N6" s="688" t="s">
        <v>448</v>
      </c>
      <c r="O6" s="688" t="s">
        <v>449</v>
      </c>
      <c r="P6" s="690">
        <v>3223453</v>
      </c>
      <c r="Q6" s="730">
        <f t="shared" si="11"/>
        <v>3223.453</v>
      </c>
      <c r="S6" s="731" t="s">
        <v>423</v>
      </c>
      <c r="T6" s="731" t="s">
        <v>853</v>
      </c>
      <c r="U6" s="731" t="s">
        <v>472</v>
      </c>
      <c r="V6" s="731" t="s">
        <v>330</v>
      </c>
      <c r="W6" s="730">
        <v>611893000</v>
      </c>
      <c r="X6" s="730">
        <v>0</v>
      </c>
      <c r="Y6" s="730">
        <v>0</v>
      </c>
      <c r="Z6" s="730">
        <f t="shared" si="12"/>
        <v>611893</v>
      </c>
      <c r="AA6" s="730">
        <f t="shared" si="13"/>
        <v>0</v>
      </c>
      <c r="AB6" s="730">
        <f t="shared" si="14"/>
        <v>0</v>
      </c>
      <c r="AC6" s="730"/>
      <c r="AE6" s="688" t="s">
        <v>423</v>
      </c>
      <c r="AF6" s="689" t="s">
        <v>853</v>
      </c>
      <c r="AG6" s="688" t="s">
        <v>424</v>
      </c>
      <c r="AH6" s="689" t="s">
        <v>268</v>
      </c>
      <c r="AI6" s="690">
        <v>15320011</v>
      </c>
      <c r="AJ6" s="730">
        <f t="shared" si="15"/>
        <v>15320.011</v>
      </c>
      <c r="AL6" s="731" t="s">
        <v>423</v>
      </c>
      <c r="AM6" s="731" t="s">
        <v>853</v>
      </c>
      <c r="AN6" s="731" t="s">
        <v>472</v>
      </c>
      <c r="AO6" s="731" t="s">
        <v>330</v>
      </c>
      <c r="AP6" s="730">
        <v>611893000</v>
      </c>
      <c r="AQ6" s="730">
        <v>0</v>
      </c>
      <c r="AR6" s="730">
        <v>0</v>
      </c>
      <c r="AS6" s="730">
        <f t="shared" si="16"/>
        <v>611893</v>
      </c>
      <c r="AT6" s="730">
        <f t="shared" si="17"/>
        <v>0</v>
      </c>
      <c r="AU6" s="730">
        <f t="shared" si="18"/>
        <v>0</v>
      </c>
      <c r="AX6" s="688" t="s">
        <v>423</v>
      </c>
      <c r="AY6" s="689" t="s">
        <v>853</v>
      </c>
      <c r="AZ6" s="688" t="s">
        <v>424</v>
      </c>
      <c r="BA6" s="688" t="s">
        <v>268</v>
      </c>
      <c r="BB6" s="690">
        <v>16133569</v>
      </c>
      <c r="BC6" s="690">
        <f t="shared" si="19"/>
        <v>16133.569</v>
      </c>
      <c r="BE6" s="688" t="s">
        <v>421</v>
      </c>
      <c r="BF6" s="689" t="s">
        <v>216</v>
      </c>
      <c r="BG6" s="688" t="s">
        <v>422</v>
      </c>
      <c r="BH6" s="689" t="s">
        <v>310</v>
      </c>
      <c r="BI6" s="690">
        <v>0</v>
      </c>
      <c r="BJ6" s="690">
        <v>21483858340</v>
      </c>
      <c r="BK6" s="690">
        <v>21483858340</v>
      </c>
      <c r="BL6" s="687">
        <f t="shared" si="20"/>
        <v>0</v>
      </c>
      <c r="BM6" s="690">
        <f t="shared" si="21"/>
        <v>21483858.34</v>
      </c>
      <c r="BN6" s="690">
        <f t="shared" si="22"/>
        <v>21483858.34</v>
      </c>
      <c r="BP6" s="668" t="s">
        <v>423</v>
      </c>
      <c r="BQ6" s="729" t="s">
        <v>853</v>
      </c>
      <c r="BR6" s="668" t="s">
        <v>450</v>
      </c>
      <c r="BS6" s="729" t="s">
        <v>267</v>
      </c>
      <c r="BT6" s="730">
        <v>130800000</v>
      </c>
      <c r="BU6" s="730">
        <f t="shared" si="23"/>
        <v>130800</v>
      </c>
      <c r="BW6" s="668" t="s">
        <v>421</v>
      </c>
      <c r="BX6" s="729" t="s">
        <v>216</v>
      </c>
      <c r="BY6" s="668" t="s">
        <v>422</v>
      </c>
      <c r="BZ6" s="729" t="s">
        <v>310</v>
      </c>
      <c r="CA6" s="730">
        <v>0</v>
      </c>
      <c r="CB6" s="730">
        <v>21483858340</v>
      </c>
      <c r="CC6" s="730">
        <v>21483858340</v>
      </c>
      <c r="CD6" s="730">
        <f t="shared" si="24"/>
        <v>0</v>
      </c>
      <c r="CE6" s="730">
        <f t="shared" si="25"/>
        <v>21483858.34</v>
      </c>
      <c r="CF6" s="730">
        <f t="shared" si="26"/>
        <v>21483858.34</v>
      </c>
      <c r="CH6" s="688" t="s">
        <v>1026</v>
      </c>
      <c r="CI6" s="689" t="s">
        <v>1027</v>
      </c>
      <c r="CJ6" s="688" t="s">
        <v>1050</v>
      </c>
      <c r="CK6" s="689" t="s">
        <v>1051</v>
      </c>
      <c r="CL6" s="690">
        <v>381710</v>
      </c>
      <c r="CM6" s="730">
        <f t="shared" si="27"/>
        <v>381.71</v>
      </c>
      <c r="CO6" s="731" t="s">
        <v>421</v>
      </c>
      <c r="CP6" s="731" t="s">
        <v>216</v>
      </c>
      <c r="CQ6" s="668" t="s">
        <v>471</v>
      </c>
      <c r="CR6" s="731" t="s">
        <v>288</v>
      </c>
      <c r="CS6" s="731">
        <v>0</v>
      </c>
      <c r="CT6" s="731">
        <v>55279537000</v>
      </c>
      <c r="CU6" s="731">
        <v>55279537000</v>
      </c>
      <c r="CV6" s="730">
        <f t="shared" si="28"/>
        <v>0</v>
      </c>
      <c r="CW6" s="730">
        <f t="shared" si="29"/>
        <v>55279537</v>
      </c>
      <c r="CX6" s="730">
        <f t="shared" si="30"/>
        <v>55279537</v>
      </c>
      <c r="CZ6" s="688" t="s">
        <v>423</v>
      </c>
      <c r="DA6" s="689" t="s">
        <v>853</v>
      </c>
      <c r="DB6" s="688" t="s">
        <v>450</v>
      </c>
      <c r="DC6" s="689" t="s">
        <v>267</v>
      </c>
      <c r="DD6" s="690">
        <v>78000000</v>
      </c>
      <c r="DE6" s="737">
        <f t="shared" si="31"/>
        <v>78000</v>
      </c>
      <c r="DH6" s="731" t="s">
        <v>421</v>
      </c>
      <c r="DI6" s="731" t="s">
        <v>216</v>
      </c>
      <c r="DJ6" s="731" t="s">
        <v>422</v>
      </c>
      <c r="DK6" s="731" t="s">
        <v>310</v>
      </c>
      <c r="DL6" s="1028">
        <v>0</v>
      </c>
      <c r="DM6" s="1028">
        <v>21483858340</v>
      </c>
      <c r="DN6" s="1028">
        <v>21483858340</v>
      </c>
      <c r="DO6" s="1028">
        <f t="shared" si="32"/>
        <v>0</v>
      </c>
      <c r="DP6" s="1028">
        <f t="shared" si="33"/>
        <v>21483858.34</v>
      </c>
      <c r="DQ6" s="1028">
        <f t="shared" si="34"/>
        <v>21483858.34</v>
      </c>
      <c r="DU6" s="731" t="s">
        <v>423</v>
      </c>
      <c r="DV6" s="731" t="s">
        <v>853</v>
      </c>
      <c r="DW6" s="668" t="s">
        <v>424</v>
      </c>
      <c r="DX6" s="731" t="s">
        <v>268</v>
      </c>
      <c r="DY6" s="737">
        <v>2178691</v>
      </c>
      <c r="DZ6" s="737">
        <f t="shared" si="35"/>
        <v>2178.6909999999998</v>
      </c>
      <c r="EC6" s="731" t="s">
        <v>421</v>
      </c>
      <c r="ED6" s="731" t="s">
        <v>216</v>
      </c>
      <c r="EE6" s="668" t="s">
        <v>422</v>
      </c>
      <c r="EF6" s="731" t="s">
        <v>310</v>
      </c>
      <c r="EG6" s="737">
        <v>0</v>
      </c>
      <c r="EH6" s="737">
        <v>21483858340</v>
      </c>
      <c r="EI6" s="737">
        <v>21483858340</v>
      </c>
      <c r="EJ6" s="737">
        <f t="shared" si="36"/>
        <v>0</v>
      </c>
      <c r="EK6" s="737">
        <f t="shared" si="37"/>
        <v>21483858.34</v>
      </c>
      <c r="EL6" s="737">
        <f t="shared" si="38"/>
        <v>21483858.34</v>
      </c>
    </row>
    <row r="7" spans="1:143" x14ac:dyDescent="0.25">
      <c r="A7" s="668" t="s">
        <v>423</v>
      </c>
      <c r="B7" s="668" t="s">
        <v>853</v>
      </c>
      <c r="C7" s="668" t="s">
        <v>448</v>
      </c>
      <c r="D7" s="668" t="s">
        <v>449</v>
      </c>
      <c r="E7" s="687">
        <v>600000000</v>
      </c>
      <c r="F7" s="687">
        <v>0</v>
      </c>
      <c r="G7" s="687">
        <v>0</v>
      </c>
      <c r="H7" s="730">
        <f t="shared" si="8"/>
        <v>600000</v>
      </c>
      <c r="I7" s="730">
        <f t="shared" si="9"/>
        <v>0</v>
      </c>
      <c r="J7" s="730">
        <f t="shared" si="10"/>
        <v>0</v>
      </c>
      <c r="L7" s="688" t="s">
        <v>1026</v>
      </c>
      <c r="M7" s="689" t="s">
        <v>1027</v>
      </c>
      <c r="N7" s="688" t="s">
        <v>1028</v>
      </c>
      <c r="O7" s="688" t="s">
        <v>1029</v>
      </c>
      <c r="P7" s="690">
        <v>36000000</v>
      </c>
      <c r="Q7" s="730">
        <f t="shared" si="11"/>
        <v>36000</v>
      </c>
      <c r="S7" s="731" t="s">
        <v>423</v>
      </c>
      <c r="T7" s="731" t="s">
        <v>853</v>
      </c>
      <c r="U7" s="731" t="s">
        <v>448</v>
      </c>
      <c r="V7" s="731" t="s">
        <v>449</v>
      </c>
      <c r="W7" s="730">
        <v>600000000</v>
      </c>
      <c r="X7" s="730">
        <v>0</v>
      </c>
      <c r="Y7" s="730">
        <v>0</v>
      </c>
      <c r="Z7" s="730">
        <f t="shared" si="12"/>
        <v>600000</v>
      </c>
      <c r="AA7" s="730">
        <f t="shared" si="13"/>
        <v>0</v>
      </c>
      <c r="AB7" s="730">
        <f t="shared" si="14"/>
        <v>0</v>
      </c>
      <c r="AC7" s="730"/>
      <c r="AE7" s="688" t="s">
        <v>1026</v>
      </c>
      <c r="AF7" s="689" t="s">
        <v>1027</v>
      </c>
      <c r="AG7" s="688" t="s">
        <v>1050</v>
      </c>
      <c r="AH7" s="689" t="s">
        <v>1051</v>
      </c>
      <c r="AI7" s="690">
        <v>31607</v>
      </c>
      <c r="AJ7" s="730">
        <f t="shared" si="15"/>
        <v>31.606999999999999</v>
      </c>
      <c r="AL7" s="731" t="s">
        <v>423</v>
      </c>
      <c r="AM7" s="731" t="s">
        <v>853</v>
      </c>
      <c r="AN7" s="731" t="s">
        <v>448</v>
      </c>
      <c r="AO7" s="731" t="s">
        <v>449</v>
      </c>
      <c r="AP7" s="730">
        <v>600000000</v>
      </c>
      <c r="AQ7" s="730">
        <v>0</v>
      </c>
      <c r="AR7" s="730">
        <v>0</v>
      </c>
      <c r="AS7" s="730">
        <f t="shared" si="16"/>
        <v>600000</v>
      </c>
      <c r="AT7" s="730">
        <f t="shared" si="17"/>
        <v>0</v>
      </c>
      <c r="AU7" s="730">
        <f t="shared" si="18"/>
        <v>0</v>
      </c>
      <c r="AX7" s="688" t="s">
        <v>423</v>
      </c>
      <c r="AY7" s="689" t="s">
        <v>853</v>
      </c>
      <c r="AZ7" s="688" t="s">
        <v>448</v>
      </c>
      <c r="BA7" s="688" t="s">
        <v>449</v>
      </c>
      <c r="BB7" s="690">
        <v>3793027</v>
      </c>
      <c r="BC7" s="690">
        <f t="shared" si="19"/>
        <v>3793.027</v>
      </c>
      <c r="BE7" s="688" t="s">
        <v>421</v>
      </c>
      <c r="BF7" s="689" t="s">
        <v>216</v>
      </c>
      <c r="BG7" s="688" t="s">
        <v>426</v>
      </c>
      <c r="BH7" s="689" t="s">
        <v>426</v>
      </c>
      <c r="BI7" s="690">
        <v>0</v>
      </c>
      <c r="BJ7" s="690">
        <v>0</v>
      </c>
      <c r="BK7" s="690">
        <v>0</v>
      </c>
      <c r="BL7" s="687">
        <f t="shared" si="20"/>
        <v>0</v>
      </c>
      <c r="BM7" s="690">
        <f t="shared" si="21"/>
        <v>0</v>
      </c>
      <c r="BN7" s="690">
        <f t="shared" si="22"/>
        <v>0</v>
      </c>
      <c r="BP7" s="668" t="s">
        <v>1026</v>
      </c>
      <c r="BQ7" s="729" t="s">
        <v>1027</v>
      </c>
      <c r="BR7" s="668" t="s">
        <v>1050</v>
      </c>
      <c r="BS7" s="729" t="s">
        <v>1051</v>
      </c>
      <c r="BT7" s="730">
        <v>31607</v>
      </c>
      <c r="BU7" s="730">
        <f t="shared" si="23"/>
        <v>31.606999999999999</v>
      </c>
      <c r="BW7" s="668" t="s">
        <v>421</v>
      </c>
      <c r="BX7" s="729" t="s">
        <v>216</v>
      </c>
      <c r="BY7" s="668" t="s">
        <v>471</v>
      </c>
      <c r="BZ7" s="729" t="s">
        <v>288</v>
      </c>
      <c r="CA7" s="730">
        <v>0</v>
      </c>
      <c r="CB7" s="730">
        <v>55279537000</v>
      </c>
      <c r="CC7" s="730">
        <v>55279537000</v>
      </c>
      <c r="CD7" s="730">
        <f t="shared" si="24"/>
        <v>0</v>
      </c>
      <c r="CE7" s="730">
        <f t="shared" si="25"/>
        <v>55279537</v>
      </c>
      <c r="CF7" s="730">
        <f t="shared" si="26"/>
        <v>55279537</v>
      </c>
      <c r="CH7" s="688" t="s">
        <v>1026</v>
      </c>
      <c r="CI7" s="689" t="s">
        <v>1027</v>
      </c>
      <c r="CJ7" s="688" t="s">
        <v>1028</v>
      </c>
      <c r="CK7" s="689" t="s">
        <v>1029</v>
      </c>
      <c r="CL7" s="690">
        <v>34000000</v>
      </c>
      <c r="CM7" s="730">
        <f>+CL7/$CL$1*$CM$1</f>
        <v>34000</v>
      </c>
      <c r="CO7" s="731" t="s">
        <v>421</v>
      </c>
      <c r="CP7" s="731" t="s">
        <v>216</v>
      </c>
      <c r="CQ7" s="668" t="s">
        <v>422</v>
      </c>
      <c r="CR7" s="731" t="s">
        <v>310</v>
      </c>
      <c r="CS7" s="731">
        <v>0</v>
      </c>
      <c r="CT7" s="731">
        <v>21483858340</v>
      </c>
      <c r="CU7" s="731">
        <v>21483858340</v>
      </c>
      <c r="CV7" s="730">
        <f t="shared" si="28"/>
        <v>0</v>
      </c>
      <c r="CW7" s="730">
        <f t="shared" si="29"/>
        <v>21483858.34</v>
      </c>
      <c r="CX7" s="730">
        <f t="shared" si="30"/>
        <v>21483858.34</v>
      </c>
      <c r="CZ7" s="688" t="s">
        <v>423</v>
      </c>
      <c r="DA7" s="689" t="s">
        <v>853</v>
      </c>
      <c r="DB7" s="688" t="s">
        <v>424</v>
      </c>
      <c r="DC7" s="689" t="s">
        <v>268</v>
      </c>
      <c r="DD7" s="690">
        <v>16219381</v>
      </c>
      <c r="DE7" s="737">
        <f t="shared" si="31"/>
        <v>16219.380999999999</v>
      </c>
      <c r="DH7" s="731" t="s">
        <v>421</v>
      </c>
      <c r="DI7" s="731" t="s">
        <v>216</v>
      </c>
      <c r="DJ7" s="731" t="s">
        <v>471</v>
      </c>
      <c r="DK7" s="731" t="s">
        <v>288</v>
      </c>
      <c r="DL7" s="1028">
        <v>0</v>
      </c>
      <c r="DM7" s="1028">
        <v>55279537000</v>
      </c>
      <c r="DN7" s="1028">
        <v>55279537000</v>
      </c>
      <c r="DO7" s="1028">
        <f t="shared" si="32"/>
        <v>0</v>
      </c>
      <c r="DP7" s="1028">
        <f t="shared" si="33"/>
        <v>55279537</v>
      </c>
      <c r="DQ7" s="1028">
        <f t="shared" si="34"/>
        <v>55279537</v>
      </c>
      <c r="DU7" s="731" t="s">
        <v>1026</v>
      </c>
      <c r="DV7" s="731" t="s">
        <v>1027</v>
      </c>
      <c r="DW7" s="668" t="s">
        <v>1028</v>
      </c>
      <c r="DX7" s="731" t="s">
        <v>1029</v>
      </c>
      <c r="DY7" s="737">
        <v>36000000</v>
      </c>
      <c r="DZ7" s="737">
        <f t="shared" si="35"/>
        <v>36000</v>
      </c>
      <c r="EC7" s="731" t="s">
        <v>421</v>
      </c>
      <c r="ED7" s="731" t="s">
        <v>216</v>
      </c>
      <c r="EE7" s="668" t="s">
        <v>426</v>
      </c>
      <c r="EF7" s="731" t="s">
        <v>426</v>
      </c>
      <c r="EG7" s="737">
        <v>0</v>
      </c>
      <c r="EH7" s="737">
        <v>0</v>
      </c>
      <c r="EI7" s="737">
        <v>0</v>
      </c>
      <c r="EJ7" s="737">
        <f t="shared" si="36"/>
        <v>0</v>
      </c>
      <c r="EK7" s="737">
        <f t="shared" si="37"/>
        <v>0</v>
      </c>
      <c r="EL7" s="737">
        <f t="shared" si="38"/>
        <v>0</v>
      </c>
    </row>
    <row r="8" spans="1:143" x14ac:dyDescent="0.25">
      <c r="A8" s="668" t="s">
        <v>423</v>
      </c>
      <c r="B8" s="668" t="s">
        <v>853</v>
      </c>
      <c r="C8" s="668" t="s">
        <v>424</v>
      </c>
      <c r="D8" s="668" t="s">
        <v>268</v>
      </c>
      <c r="E8" s="687">
        <v>219933968</v>
      </c>
      <c r="F8" s="687">
        <v>0</v>
      </c>
      <c r="G8" s="687">
        <v>0</v>
      </c>
      <c r="H8" s="730">
        <f t="shared" si="8"/>
        <v>219933.96799999999</v>
      </c>
      <c r="I8" s="730">
        <f t="shared" si="9"/>
        <v>0</v>
      </c>
      <c r="J8" s="730">
        <f t="shared" si="10"/>
        <v>0</v>
      </c>
      <c r="L8" s="688" t="s">
        <v>781</v>
      </c>
      <c r="M8" s="689" t="s">
        <v>782</v>
      </c>
      <c r="N8" s="688" t="s">
        <v>426</v>
      </c>
      <c r="O8" s="688" t="s">
        <v>426</v>
      </c>
      <c r="P8" s="690">
        <v>107808223</v>
      </c>
      <c r="Q8" s="730">
        <f t="shared" si="11"/>
        <v>107808.223</v>
      </c>
      <c r="S8" s="731" t="s">
        <v>423</v>
      </c>
      <c r="T8" s="731" t="s">
        <v>853</v>
      </c>
      <c r="U8" s="731" t="s">
        <v>424</v>
      </c>
      <c r="V8" s="731" t="s">
        <v>268</v>
      </c>
      <c r="W8" s="730">
        <v>219933968</v>
      </c>
      <c r="X8" s="730">
        <v>0</v>
      </c>
      <c r="Y8" s="730">
        <v>0</v>
      </c>
      <c r="Z8" s="730">
        <f t="shared" si="12"/>
        <v>219933.96799999999</v>
      </c>
      <c r="AA8" s="730">
        <f t="shared" si="13"/>
        <v>0</v>
      </c>
      <c r="AB8" s="730">
        <f t="shared" si="14"/>
        <v>0</v>
      </c>
      <c r="AC8" s="730"/>
      <c r="AE8" s="688" t="s">
        <v>1026</v>
      </c>
      <c r="AF8" s="689" t="s">
        <v>1027</v>
      </c>
      <c r="AG8" s="688" t="s">
        <v>1028</v>
      </c>
      <c r="AH8" s="689" t="s">
        <v>1029</v>
      </c>
      <c r="AI8" s="690">
        <v>36000000</v>
      </c>
      <c r="AJ8" s="730">
        <f t="shared" si="15"/>
        <v>36000</v>
      </c>
      <c r="AL8" s="731" t="s">
        <v>423</v>
      </c>
      <c r="AM8" s="731" t="s">
        <v>853</v>
      </c>
      <c r="AN8" s="731" t="s">
        <v>424</v>
      </c>
      <c r="AO8" s="731" t="s">
        <v>268</v>
      </c>
      <c r="AP8" s="730">
        <v>219933968</v>
      </c>
      <c r="AQ8" s="730">
        <v>0</v>
      </c>
      <c r="AR8" s="730">
        <v>0</v>
      </c>
      <c r="AS8" s="730">
        <f t="shared" si="16"/>
        <v>219933.96799999999</v>
      </c>
      <c r="AT8" s="730">
        <f t="shared" si="17"/>
        <v>0</v>
      </c>
      <c r="AU8" s="730">
        <f t="shared" si="18"/>
        <v>0</v>
      </c>
      <c r="AX8" s="688" t="s">
        <v>423</v>
      </c>
      <c r="AY8" s="689" t="s">
        <v>853</v>
      </c>
      <c r="AZ8" s="688" t="s">
        <v>424</v>
      </c>
      <c r="BA8" s="688" t="s">
        <v>268</v>
      </c>
      <c r="BB8" s="690">
        <v>2164836</v>
      </c>
      <c r="BC8" s="690">
        <f t="shared" si="19"/>
        <v>2164.8359999999998</v>
      </c>
      <c r="BE8" s="688" t="s">
        <v>423</v>
      </c>
      <c r="BF8" s="689" t="s">
        <v>853</v>
      </c>
      <c r="BG8" s="688" t="s">
        <v>450</v>
      </c>
      <c r="BH8" s="689" t="s">
        <v>267</v>
      </c>
      <c r="BI8" s="690">
        <v>2331908000</v>
      </c>
      <c r="BJ8" s="690">
        <v>0</v>
      </c>
      <c r="BK8" s="690">
        <v>0</v>
      </c>
      <c r="BL8" s="687">
        <f t="shared" si="20"/>
        <v>2331908</v>
      </c>
      <c r="BM8" s="690">
        <f t="shared" si="21"/>
        <v>0</v>
      </c>
      <c r="BN8" s="690">
        <f t="shared" si="22"/>
        <v>0</v>
      </c>
      <c r="BP8" s="668" t="s">
        <v>1026</v>
      </c>
      <c r="BQ8" s="729" t="s">
        <v>1027</v>
      </c>
      <c r="BR8" s="668" t="s">
        <v>1028</v>
      </c>
      <c r="BS8" s="729" t="s">
        <v>1029</v>
      </c>
      <c r="BT8" s="730">
        <v>36000000</v>
      </c>
      <c r="BU8" s="730">
        <f t="shared" si="23"/>
        <v>36000</v>
      </c>
      <c r="BW8" s="668" t="s">
        <v>423</v>
      </c>
      <c r="BX8" s="729" t="s">
        <v>853</v>
      </c>
      <c r="BY8" s="668" t="s">
        <v>450</v>
      </c>
      <c r="BZ8" s="729" t="s">
        <v>267</v>
      </c>
      <c r="CA8" s="730">
        <v>2331908000</v>
      </c>
      <c r="CB8" s="730">
        <v>0</v>
      </c>
      <c r="CC8" s="730">
        <v>0</v>
      </c>
      <c r="CD8" s="730">
        <f t="shared" si="24"/>
        <v>2331908</v>
      </c>
      <c r="CE8" s="730">
        <f t="shared" si="25"/>
        <v>0</v>
      </c>
      <c r="CF8" s="730">
        <f t="shared" si="26"/>
        <v>0</v>
      </c>
      <c r="CH8" s="688" t="s">
        <v>779</v>
      </c>
      <c r="CI8" s="689" t="s">
        <v>780</v>
      </c>
      <c r="CJ8" s="688" t="s">
        <v>426</v>
      </c>
      <c r="CK8" s="689" t="s">
        <v>426</v>
      </c>
      <c r="CL8" s="690">
        <v>1651079356</v>
      </c>
      <c r="CM8" s="730">
        <f t="shared" si="27"/>
        <v>1651079.3559999999</v>
      </c>
      <c r="CO8" s="731" t="s">
        <v>423</v>
      </c>
      <c r="CP8" s="731" t="s">
        <v>853</v>
      </c>
      <c r="CQ8" s="668" t="s">
        <v>450</v>
      </c>
      <c r="CR8" s="731" t="s">
        <v>267</v>
      </c>
      <c r="CS8" s="731">
        <v>2331908000</v>
      </c>
      <c r="CT8" s="731">
        <v>0</v>
      </c>
      <c r="CU8" s="731">
        <v>0</v>
      </c>
      <c r="CV8" s="730">
        <f t="shared" si="28"/>
        <v>2331908</v>
      </c>
      <c r="CW8" s="730">
        <f t="shared" si="29"/>
        <v>0</v>
      </c>
      <c r="CX8" s="730">
        <f t="shared" si="30"/>
        <v>0</v>
      </c>
      <c r="CZ8" s="688" t="s">
        <v>423</v>
      </c>
      <c r="DA8" s="689" t="s">
        <v>853</v>
      </c>
      <c r="DB8" s="688" t="s">
        <v>424</v>
      </c>
      <c r="DC8" s="689" t="s">
        <v>268</v>
      </c>
      <c r="DD8" s="690">
        <v>2178691</v>
      </c>
      <c r="DE8" s="737">
        <f t="shared" si="31"/>
        <v>2178.6909999999998</v>
      </c>
      <c r="DH8" s="731" t="s">
        <v>423</v>
      </c>
      <c r="DI8" s="731" t="s">
        <v>853</v>
      </c>
      <c r="DJ8" s="731" t="s">
        <v>450</v>
      </c>
      <c r="DK8" s="731" t="s">
        <v>267</v>
      </c>
      <c r="DL8" s="1028">
        <v>2331908000</v>
      </c>
      <c r="DM8" s="1028">
        <v>0</v>
      </c>
      <c r="DN8" s="1028">
        <v>0</v>
      </c>
      <c r="DO8" s="1028">
        <f t="shared" si="32"/>
        <v>2331908</v>
      </c>
      <c r="DP8" s="1028">
        <f t="shared" si="33"/>
        <v>0</v>
      </c>
      <c r="DQ8" s="1028">
        <f t="shared" si="34"/>
        <v>0</v>
      </c>
      <c r="DU8" s="731" t="s">
        <v>1026</v>
      </c>
      <c r="DV8" s="731" t="s">
        <v>1027</v>
      </c>
      <c r="DW8" s="668" t="s">
        <v>1050</v>
      </c>
      <c r="DX8" s="731" t="s">
        <v>1051</v>
      </c>
      <c r="DY8" s="737">
        <v>31809</v>
      </c>
      <c r="DZ8" s="737">
        <f t="shared" si="35"/>
        <v>31.809000000000001</v>
      </c>
      <c r="EC8" s="731" t="s">
        <v>423</v>
      </c>
      <c r="ED8" s="731" t="s">
        <v>853</v>
      </c>
      <c r="EE8" s="668" t="s">
        <v>450</v>
      </c>
      <c r="EF8" s="731" t="s">
        <v>267</v>
      </c>
      <c r="EG8" s="737">
        <v>2331908000</v>
      </c>
      <c r="EH8" s="737">
        <v>0</v>
      </c>
      <c r="EI8" s="737">
        <v>0</v>
      </c>
      <c r="EJ8" s="737">
        <f t="shared" si="36"/>
        <v>2331908</v>
      </c>
      <c r="EK8" s="737">
        <f t="shared" si="37"/>
        <v>0</v>
      </c>
      <c r="EL8" s="737">
        <f t="shared" si="38"/>
        <v>0</v>
      </c>
    </row>
    <row r="9" spans="1:143" x14ac:dyDescent="0.25">
      <c r="A9" s="668" t="s">
        <v>423</v>
      </c>
      <c r="B9" s="668" t="s">
        <v>853</v>
      </c>
      <c r="C9" s="668" t="s">
        <v>424</v>
      </c>
      <c r="D9" s="668" t="s">
        <v>268</v>
      </c>
      <c r="E9" s="687">
        <v>25978032</v>
      </c>
      <c r="F9" s="687">
        <v>0</v>
      </c>
      <c r="G9" s="687">
        <v>0</v>
      </c>
      <c r="H9" s="730">
        <f t="shared" si="8"/>
        <v>25978.031999999999</v>
      </c>
      <c r="I9" s="730">
        <f t="shared" si="9"/>
        <v>0</v>
      </c>
      <c r="J9" s="730">
        <f t="shared" si="10"/>
        <v>0</v>
      </c>
      <c r="L9" s="688" t="s">
        <v>791</v>
      </c>
      <c r="M9" s="689" t="s">
        <v>792</v>
      </c>
      <c r="N9" s="688" t="s">
        <v>426</v>
      </c>
      <c r="O9" s="688" t="s">
        <v>426</v>
      </c>
      <c r="P9" s="690">
        <v>10000000</v>
      </c>
      <c r="Q9" s="730">
        <f t="shared" si="11"/>
        <v>10000</v>
      </c>
      <c r="S9" s="731" t="s">
        <v>423</v>
      </c>
      <c r="T9" s="731" t="s">
        <v>853</v>
      </c>
      <c r="U9" s="731" t="s">
        <v>424</v>
      </c>
      <c r="V9" s="731" t="s">
        <v>268</v>
      </c>
      <c r="W9" s="730">
        <v>25978032</v>
      </c>
      <c r="X9" s="730">
        <v>0</v>
      </c>
      <c r="Y9" s="730">
        <v>0</v>
      </c>
      <c r="Z9" s="730">
        <f t="shared" si="12"/>
        <v>25978.031999999999</v>
      </c>
      <c r="AA9" s="730">
        <f t="shared" si="13"/>
        <v>0</v>
      </c>
      <c r="AB9" s="730">
        <f t="shared" si="14"/>
        <v>0</v>
      </c>
      <c r="AC9" s="730"/>
      <c r="AE9" s="688" t="s">
        <v>781</v>
      </c>
      <c r="AF9" s="689" t="s">
        <v>782</v>
      </c>
      <c r="AG9" s="688" t="s">
        <v>426</v>
      </c>
      <c r="AH9" s="689" t="s">
        <v>426</v>
      </c>
      <c r="AI9" s="690">
        <v>4509803043</v>
      </c>
      <c r="AJ9" s="730">
        <f t="shared" si="15"/>
        <v>4509803.0429999996</v>
      </c>
      <c r="AL9" s="731" t="s">
        <v>423</v>
      </c>
      <c r="AM9" s="731" t="s">
        <v>853</v>
      </c>
      <c r="AN9" s="731" t="s">
        <v>424</v>
      </c>
      <c r="AO9" s="731" t="s">
        <v>268</v>
      </c>
      <c r="AP9" s="730">
        <v>25978032</v>
      </c>
      <c r="AQ9" s="730">
        <v>0</v>
      </c>
      <c r="AR9" s="730">
        <v>0</v>
      </c>
      <c r="AS9" s="730">
        <f t="shared" si="16"/>
        <v>25978.031999999999</v>
      </c>
      <c r="AT9" s="730">
        <f t="shared" si="17"/>
        <v>0</v>
      </c>
      <c r="AU9" s="730">
        <f t="shared" si="18"/>
        <v>0</v>
      </c>
      <c r="AX9" s="688" t="s">
        <v>1026</v>
      </c>
      <c r="AY9" s="689" t="s">
        <v>1027</v>
      </c>
      <c r="AZ9" s="688" t="s">
        <v>1028</v>
      </c>
      <c r="BA9" s="688" t="s">
        <v>1029</v>
      </c>
      <c r="BB9" s="690">
        <v>42000000</v>
      </c>
      <c r="BC9" s="690">
        <f t="shared" si="19"/>
        <v>42000</v>
      </c>
      <c r="BE9" s="688" t="s">
        <v>423</v>
      </c>
      <c r="BF9" s="689" t="s">
        <v>853</v>
      </c>
      <c r="BG9" s="688" t="s">
        <v>472</v>
      </c>
      <c r="BH9" s="689" t="s">
        <v>330</v>
      </c>
      <c r="BI9" s="690">
        <v>611893000</v>
      </c>
      <c r="BJ9" s="690">
        <v>0</v>
      </c>
      <c r="BK9" s="690">
        <v>0</v>
      </c>
      <c r="BL9" s="687">
        <f t="shared" si="20"/>
        <v>611893</v>
      </c>
      <c r="BM9" s="690">
        <f t="shared" si="21"/>
        <v>0</v>
      </c>
      <c r="BN9" s="690">
        <f t="shared" si="22"/>
        <v>0</v>
      </c>
      <c r="BP9" s="668" t="s">
        <v>884</v>
      </c>
      <c r="BQ9" s="729" t="s">
        <v>885</v>
      </c>
      <c r="BR9" s="668" t="s">
        <v>426</v>
      </c>
      <c r="BS9" s="729" t="s">
        <v>426</v>
      </c>
      <c r="BT9" s="730">
        <v>3637177</v>
      </c>
      <c r="BU9" s="730">
        <f t="shared" si="23"/>
        <v>3637.1770000000001</v>
      </c>
      <c r="BW9" s="668" t="s">
        <v>423</v>
      </c>
      <c r="BX9" s="729" t="s">
        <v>853</v>
      </c>
      <c r="BY9" s="668" t="s">
        <v>472</v>
      </c>
      <c r="BZ9" s="729" t="s">
        <v>330</v>
      </c>
      <c r="CA9" s="730">
        <v>611893000</v>
      </c>
      <c r="CB9" s="730">
        <v>0</v>
      </c>
      <c r="CC9" s="730">
        <v>0</v>
      </c>
      <c r="CD9" s="730">
        <f t="shared" si="24"/>
        <v>611893</v>
      </c>
      <c r="CE9" s="730">
        <f t="shared" si="25"/>
        <v>0</v>
      </c>
      <c r="CF9" s="730">
        <f t="shared" si="26"/>
        <v>0</v>
      </c>
      <c r="CH9" s="688" t="s">
        <v>781</v>
      </c>
      <c r="CI9" s="689" t="s">
        <v>782</v>
      </c>
      <c r="CJ9" s="688" t="s">
        <v>426</v>
      </c>
      <c r="CK9" s="689" t="s">
        <v>426</v>
      </c>
      <c r="CL9" s="690">
        <v>2173689360</v>
      </c>
      <c r="CM9" s="730">
        <f t="shared" si="27"/>
        <v>2173689.36</v>
      </c>
      <c r="CO9" s="731" t="s">
        <v>423</v>
      </c>
      <c r="CP9" s="731" t="s">
        <v>853</v>
      </c>
      <c r="CQ9" s="668" t="s">
        <v>472</v>
      </c>
      <c r="CR9" s="731" t="s">
        <v>330</v>
      </c>
      <c r="CS9" s="731">
        <v>611893000</v>
      </c>
      <c r="CT9" s="731">
        <v>0</v>
      </c>
      <c r="CU9" s="731">
        <v>0</v>
      </c>
      <c r="CV9" s="730">
        <f t="shared" si="28"/>
        <v>611893</v>
      </c>
      <c r="CW9" s="730">
        <f t="shared" si="29"/>
        <v>0</v>
      </c>
      <c r="CX9" s="730">
        <f t="shared" si="30"/>
        <v>0</v>
      </c>
      <c r="CZ9" s="688" t="s">
        <v>1026</v>
      </c>
      <c r="DA9" s="689" t="s">
        <v>1027</v>
      </c>
      <c r="DB9" s="688" t="s">
        <v>1028</v>
      </c>
      <c r="DC9" s="689" t="s">
        <v>1029</v>
      </c>
      <c r="DD9" s="690">
        <v>39666667</v>
      </c>
      <c r="DE9" s="737">
        <f t="shared" si="31"/>
        <v>39666.667000000001</v>
      </c>
      <c r="DH9" s="731" t="s">
        <v>423</v>
      </c>
      <c r="DI9" s="731" t="s">
        <v>853</v>
      </c>
      <c r="DJ9" s="731" t="s">
        <v>472</v>
      </c>
      <c r="DK9" s="731" t="s">
        <v>330</v>
      </c>
      <c r="DL9" s="1028">
        <v>611893000</v>
      </c>
      <c r="DM9" s="1028">
        <v>0</v>
      </c>
      <c r="DN9" s="1028">
        <v>0</v>
      </c>
      <c r="DO9" s="1028">
        <f t="shared" si="32"/>
        <v>611893</v>
      </c>
      <c r="DP9" s="1028">
        <f t="shared" si="33"/>
        <v>0</v>
      </c>
      <c r="DQ9" s="1028">
        <f t="shared" si="34"/>
        <v>0</v>
      </c>
      <c r="DU9" s="731" t="s">
        <v>429</v>
      </c>
      <c r="DV9" s="731" t="s">
        <v>140</v>
      </c>
      <c r="DW9" s="668" t="s">
        <v>426</v>
      </c>
      <c r="DX9" s="731" t="s">
        <v>426</v>
      </c>
      <c r="DY9" s="737">
        <v>366914521</v>
      </c>
      <c r="DZ9" s="737">
        <f t="shared" si="35"/>
        <v>366914.52100000001</v>
      </c>
      <c r="EC9" s="731" t="s">
        <v>423</v>
      </c>
      <c r="ED9" s="731" t="s">
        <v>853</v>
      </c>
      <c r="EE9" s="668" t="s">
        <v>472</v>
      </c>
      <c r="EF9" s="731" t="s">
        <v>330</v>
      </c>
      <c r="EG9" s="737">
        <v>611893000</v>
      </c>
      <c r="EH9" s="737">
        <v>0</v>
      </c>
      <c r="EI9" s="737">
        <v>0</v>
      </c>
      <c r="EJ9" s="737">
        <f t="shared" si="36"/>
        <v>611893</v>
      </c>
      <c r="EK9" s="737">
        <f t="shared" si="37"/>
        <v>0</v>
      </c>
      <c r="EL9" s="737">
        <f t="shared" si="38"/>
        <v>0</v>
      </c>
    </row>
    <row r="10" spans="1:143" x14ac:dyDescent="0.25">
      <c r="A10" s="668" t="s">
        <v>423</v>
      </c>
      <c r="B10" s="668" t="s">
        <v>853</v>
      </c>
      <c r="C10" s="668" t="s">
        <v>447</v>
      </c>
      <c r="D10" s="668" t="s">
        <v>270</v>
      </c>
      <c r="E10" s="687">
        <v>12000000</v>
      </c>
      <c r="F10" s="687">
        <v>0</v>
      </c>
      <c r="G10" s="687">
        <v>0</v>
      </c>
      <c r="H10" s="730">
        <f t="shared" si="8"/>
        <v>12000</v>
      </c>
      <c r="I10" s="730">
        <f t="shared" si="9"/>
        <v>0</v>
      </c>
      <c r="J10" s="730">
        <f t="shared" si="10"/>
        <v>0</v>
      </c>
      <c r="L10" s="688" t="s">
        <v>799</v>
      </c>
      <c r="M10" s="689" t="s">
        <v>800</v>
      </c>
      <c r="N10" s="688" t="s">
        <v>426</v>
      </c>
      <c r="O10" s="688" t="s">
        <v>426</v>
      </c>
      <c r="P10" s="690">
        <v>2400929703</v>
      </c>
      <c r="Q10" s="730">
        <f t="shared" si="11"/>
        <v>2400929.7030000002</v>
      </c>
      <c r="S10" s="731" t="s">
        <v>423</v>
      </c>
      <c r="T10" s="731" t="s">
        <v>853</v>
      </c>
      <c r="U10" s="731" t="s">
        <v>447</v>
      </c>
      <c r="V10" s="731" t="s">
        <v>270</v>
      </c>
      <c r="W10" s="730">
        <v>12000000</v>
      </c>
      <c r="X10" s="730">
        <v>0</v>
      </c>
      <c r="Y10" s="730">
        <v>0</v>
      </c>
      <c r="Z10" s="730">
        <f t="shared" si="12"/>
        <v>12000</v>
      </c>
      <c r="AA10" s="730">
        <f t="shared" si="13"/>
        <v>0</v>
      </c>
      <c r="AB10" s="730">
        <f t="shared" si="14"/>
        <v>0</v>
      </c>
      <c r="AC10" s="730"/>
      <c r="AE10" s="688" t="s">
        <v>785</v>
      </c>
      <c r="AF10" s="689" t="s">
        <v>786</v>
      </c>
      <c r="AG10" s="688" t="s">
        <v>426</v>
      </c>
      <c r="AH10" s="689" t="s">
        <v>426</v>
      </c>
      <c r="AI10" s="690">
        <v>68570015</v>
      </c>
      <c r="AJ10" s="730">
        <f t="shared" si="15"/>
        <v>68570.014999999999</v>
      </c>
      <c r="AL10" s="731" t="s">
        <v>423</v>
      </c>
      <c r="AM10" s="731" t="s">
        <v>853</v>
      </c>
      <c r="AN10" s="731" t="s">
        <v>447</v>
      </c>
      <c r="AO10" s="731" t="s">
        <v>270</v>
      </c>
      <c r="AP10" s="730">
        <v>12000000</v>
      </c>
      <c r="AQ10" s="730">
        <v>0</v>
      </c>
      <c r="AR10" s="730">
        <v>0</v>
      </c>
      <c r="AS10" s="730">
        <f t="shared" si="16"/>
        <v>12000</v>
      </c>
      <c r="AT10" s="730">
        <f t="shared" si="17"/>
        <v>0</v>
      </c>
      <c r="AU10" s="730">
        <f t="shared" si="18"/>
        <v>0</v>
      </c>
      <c r="AX10" s="688" t="s">
        <v>429</v>
      </c>
      <c r="AY10" s="689" t="s">
        <v>140</v>
      </c>
      <c r="AZ10" s="688" t="s">
        <v>426</v>
      </c>
      <c r="BA10" s="688" t="s">
        <v>426</v>
      </c>
      <c r="BB10" s="690">
        <v>1755065125</v>
      </c>
      <c r="BC10" s="690">
        <f t="shared" si="19"/>
        <v>1755065.125</v>
      </c>
      <c r="BE10" s="688" t="s">
        <v>423</v>
      </c>
      <c r="BF10" s="689" t="s">
        <v>853</v>
      </c>
      <c r="BG10" s="688" t="s">
        <v>448</v>
      </c>
      <c r="BH10" s="689" t="s">
        <v>449</v>
      </c>
      <c r="BI10" s="690">
        <v>600000000</v>
      </c>
      <c r="BJ10" s="690">
        <v>0</v>
      </c>
      <c r="BK10" s="690">
        <v>0</v>
      </c>
      <c r="BL10" s="687">
        <f t="shared" si="20"/>
        <v>600000</v>
      </c>
      <c r="BM10" s="690">
        <f t="shared" si="21"/>
        <v>0</v>
      </c>
      <c r="BN10" s="690">
        <f t="shared" si="22"/>
        <v>0</v>
      </c>
      <c r="BP10" s="668" t="s">
        <v>779</v>
      </c>
      <c r="BQ10" s="729" t="s">
        <v>780</v>
      </c>
      <c r="BR10" s="668" t="s">
        <v>426</v>
      </c>
      <c r="BS10" s="729" t="s">
        <v>426</v>
      </c>
      <c r="BT10" s="730">
        <v>856339281</v>
      </c>
      <c r="BU10" s="730">
        <f t="shared" si="23"/>
        <v>856339.28099999996</v>
      </c>
      <c r="BW10" s="668" t="s">
        <v>423</v>
      </c>
      <c r="BX10" s="729" t="s">
        <v>853</v>
      </c>
      <c r="BY10" s="668" t="s">
        <v>448</v>
      </c>
      <c r="BZ10" s="729" t="s">
        <v>449</v>
      </c>
      <c r="CA10" s="730">
        <v>600000000</v>
      </c>
      <c r="CB10" s="730">
        <v>0</v>
      </c>
      <c r="CC10" s="730">
        <v>0</v>
      </c>
      <c r="CD10" s="730">
        <f t="shared" si="24"/>
        <v>600000</v>
      </c>
      <c r="CE10" s="730">
        <f t="shared" si="25"/>
        <v>0</v>
      </c>
      <c r="CF10" s="730">
        <f t="shared" si="26"/>
        <v>0</v>
      </c>
      <c r="CH10" s="688" t="s">
        <v>787</v>
      </c>
      <c r="CI10" s="689" t="s">
        <v>788</v>
      </c>
      <c r="CJ10" s="688" t="s">
        <v>426</v>
      </c>
      <c r="CK10" s="689" t="s">
        <v>426</v>
      </c>
      <c r="CL10" s="690">
        <v>318732220</v>
      </c>
      <c r="CM10" s="730">
        <f t="shared" si="27"/>
        <v>318732.21999999997</v>
      </c>
      <c r="CO10" s="731" t="s">
        <v>423</v>
      </c>
      <c r="CP10" s="731" t="s">
        <v>853</v>
      </c>
      <c r="CQ10" s="668" t="s">
        <v>448</v>
      </c>
      <c r="CR10" s="731" t="s">
        <v>449</v>
      </c>
      <c r="CS10" s="731">
        <v>600000000</v>
      </c>
      <c r="CT10" s="731">
        <v>0</v>
      </c>
      <c r="CU10" s="731">
        <v>0</v>
      </c>
      <c r="CV10" s="730">
        <f t="shared" si="28"/>
        <v>600000</v>
      </c>
      <c r="CW10" s="730">
        <f t="shared" si="29"/>
        <v>0</v>
      </c>
      <c r="CX10" s="730">
        <f t="shared" si="30"/>
        <v>0</v>
      </c>
      <c r="CZ10" s="688" t="s">
        <v>1026</v>
      </c>
      <c r="DA10" s="689" t="s">
        <v>1027</v>
      </c>
      <c r="DB10" s="688" t="s">
        <v>1077</v>
      </c>
      <c r="DC10" s="689" t="s">
        <v>1078</v>
      </c>
      <c r="DD10" s="690">
        <v>113209</v>
      </c>
      <c r="DE10" s="737">
        <f t="shared" si="31"/>
        <v>113.209</v>
      </c>
      <c r="DH10" s="731" t="s">
        <v>423</v>
      </c>
      <c r="DI10" s="731" t="s">
        <v>853</v>
      </c>
      <c r="DJ10" s="731" t="s">
        <v>448</v>
      </c>
      <c r="DK10" s="731" t="s">
        <v>449</v>
      </c>
      <c r="DL10" s="1028">
        <v>600000000</v>
      </c>
      <c r="DM10" s="1028">
        <v>0</v>
      </c>
      <c r="DN10" s="1028">
        <v>0</v>
      </c>
      <c r="DO10" s="1028">
        <f t="shared" si="32"/>
        <v>600000</v>
      </c>
      <c r="DP10" s="1028">
        <f t="shared" si="33"/>
        <v>0</v>
      </c>
      <c r="DQ10" s="1028">
        <f t="shared" si="34"/>
        <v>0</v>
      </c>
      <c r="DU10" s="731" t="s">
        <v>779</v>
      </c>
      <c r="DV10" s="731" t="s">
        <v>780</v>
      </c>
      <c r="DW10" s="668" t="s">
        <v>426</v>
      </c>
      <c r="DX10" s="731" t="s">
        <v>426</v>
      </c>
      <c r="DY10" s="737">
        <v>8310357187</v>
      </c>
      <c r="DZ10" s="737">
        <f t="shared" si="35"/>
        <v>8310357.1869999999</v>
      </c>
      <c r="EC10" s="731" t="s">
        <v>423</v>
      </c>
      <c r="ED10" s="731" t="s">
        <v>853</v>
      </c>
      <c r="EE10" s="668" t="s">
        <v>448</v>
      </c>
      <c r="EF10" s="731" t="s">
        <v>449</v>
      </c>
      <c r="EG10" s="737">
        <v>600000000</v>
      </c>
      <c r="EH10" s="737">
        <v>0</v>
      </c>
      <c r="EI10" s="737">
        <v>0</v>
      </c>
      <c r="EJ10" s="737">
        <f t="shared" si="36"/>
        <v>600000</v>
      </c>
      <c r="EK10" s="737">
        <f t="shared" si="37"/>
        <v>0</v>
      </c>
      <c r="EL10" s="737">
        <f t="shared" si="38"/>
        <v>0</v>
      </c>
    </row>
    <row r="11" spans="1:143" x14ac:dyDescent="0.25">
      <c r="A11" s="668" t="s">
        <v>423</v>
      </c>
      <c r="B11" s="668" t="s">
        <v>853</v>
      </c>
      <c r="C11" s="668" t="s">
        <v>425</v>
      </c>
      <c r="D11" s="668" t="s">
        <v>311</v>
      </c>
      <c r="E11" s="687">
        <v>3000000</v>
      </c>
      <c r="F11" s="687">
        <v>0</v>
      </c>
      <c r="G11" s="687">
        <v>0</v>
      </c>
      <c r="H11" s="730">
        <f t="shared" si="8"/>
        <v>3000</v>
      </c>
      <c r="I11" s="730">
        <f t="shared" si="9"/>
        <v>0</v>
      </c>
      <c r="J11" s="730">
        <f t="shared" si="10"/>
        <v>0</v>
      </c>
      <c r="Q11" s="734">
        <f>SUM(Q3:Q10)</f>
        <v>2575969.4360000002</v>
      </c>
      <c r="S11" s="731" t="s">
        <v>423</v>
      </c>
      <c r="T11" s="731" t="s">
        <v>853</v>
      </c>
      <c r="U11" s="731" t="s">
        <v>425</v>
      </c>
      <c r="V11" s="731" t="s">
        <v>311</v>
      </c>
      <c r="W11" s="730">
        <v>2700000</v>
      </c>
      <c r="X11" s="730">
        <v>0</v>
      </c>
      <c r="Y11" s="730">
        <v>0</v>
      </c>
      <c r="Z11" s="730">
        <f t="shared" si="12"/>
        <v>2700</v>
      </c>
      <c r="AA11" s="730">
        <f t="shared" si="13"/>
        <v>0</v>
      </c>
      <c r="AB11" s="730">
        <f t="shared" si="14"/>
        <v>0</v>
      </c>
      <c r="AC11" s="730"/>
      <c r="AE11" s="688" t="s">
        <v>787</v>
      </c>
      <c r="AF11" s="689" t="s">
        <v>788</v>
      </c>
      <c r="AG11" s="688" t="s">
        <v>426</v>
      </c>
      <c r="AH11" s="689" t="s">
        <v>426</v>
      </c>
      <c r="AI11" s="690">
        <v>663960000</v>
      </c>
      <c r="AJ11" s="730">
        <f t="shared" si="15"/>
        <v>663960</v>
      </c>
      <c r="AL11" s="731" t="s">
        <v>423</v>
      </c>
      <c r="AM11" s="731" t="s">
        <v>853</v>
      </c>
      <c r="AN11" s="731" t="s">
        <v>425</v>
      </c>
      <c r="AO11" s="731" t="s">
        <v>311</v>
      </c>
      <c r="AP11" s="730">
        <v>2700000</v>
      </c>
      <c r="AQ11" s="730">
        <v>0</v>
      </c>
      <c r="AR11" s="730">
        <v>0</v>
      </c>
      <c r="AS11" s="730">
        <f t="shared" si="16"/>
        <v>2700</v>
      </c>
      <c r="AT11" s="730">
        <f t="shared" si="17"/>
        <v>0</v>
      </c>
      <c r="AU11" s="730">
        <f t="shared" si="18"/>
        <v>0</v>
      </c>
      <c r="AX11" s="688" t="s">
        <v>779</v>
      </c>
      <c r="AY11" s="689" t="s">
        <v>780</v>
      </c>
      <c r="AZ11" s="688" t="s">
        <v>426</v>
      </c>
      <c r="BA11" s="688" t="s">
        <v>426</v>
      </c>
      <c r="BB11" s="690">
        <v>195967906</v>
      </c>
      <c r="BC11" s="690">
        <f t="shared" si="19"/>
        <v>195967.90599999999</v>
      </c>
      <c r="BE11" s="688" t="s">
        <v>423</v>
      </c>
      <c r="BF11" s="689" t="s">
        <v>853</v>
      </c>
      <c r="BG11" s="688" t="s">
        <v>424</v>
      </c>
      <c r="BH11" s="689" t="s">
        <v>268</v>
      </c>
      <c r="BI11" s="690">
        <v>219933968</v>
      </c>
      <c r="BJ11" s="690">
        <v>0</v>
      </c>
      <c r="BK11" s="690">
        <v>0</v>
      </c>
      <c r="BL11" s="687">
        <f t="shared" si="20"/>
        <v>219933.96799999999</v>
      </c>
      <c r="BM11" s="690">
        <f t="shared" si="21"/>
        <v>0</v>
      </c>
      <c r="BN11" s="690">
        <f t="shared" si="22"/>
        <v>0</v>
      </c>
      <c r="BP11" s="668" t="s">
        <v>781</v>
      </c>
      <c r="BQ11" s="729" t="s">
        <v>782</v>
      </c>
      <c r="BR11" s="668" t="s">
        <v>426</v>
      </c>
      <c r="BS11" s="729" t="s">
        <v>426</v>
      </c>
      <c r="BT11" s="730">
        <v>3450094819</v>
      </c>
      <c r="BU11" s="730">
        <f t="shared" si="23"/>
        <v>3450094.8190000001</v>
      </c>
      <c r="BW11" s="668" t="s">
        <v>423</v>
      </c>
      <c r="BX11" s="729" t="s">
        <v>853</v>
      </c>
      <c r="BY11" s="668" t="s">
        <v>424</v>
      </c>
      <c r="BZ11" s="729" t="s">
        <v>268</v>
      </c>
      <c r="CA11" s="730">
        <v>219836983</v>
      </c>
      <c r="CB11" s="730">
        <v>0</v>
      </c>
      <c r="CC11" s="730">
        <v>0</v>
      </c>
      <c r="CD11" s="730">
        <f t="shared" si="24"/>
        <v>219836.98300000001</v>
      </c>
      <c r="CE11" s="730">
        <f t="shared" si="25"/>
        <v>0</v>
      </c>
      <c r="CF11" s="730">
        <f t="shared" si="26"/>
        <v>0</v>
      </c>
      <c r="CH11" s="688" t="s">
        <v>793</v>
      </c>
      <c r="CI11" s="689" t="s">
        <v>794</v>
      </c>
      <c r="CJ11" s="688" t="s">
        <v>426</v>
      </c>
      <c r="CK11" s="689" t="s">
        <v>426</v>
      </c>
      <c r="CL11" s="690">
        <v>11328800</v>
      </c>
      <c r="CM11" s="730">
        <f t="shared" si="27"/>
        <v>11328.8</v>
      </c>
      <c r="CO11" s="731" t="s">
        <v>423</v>
      </c>
      <c r="CP11" s="731" t="s">
        <v>853</v>
      </c>
      <c r="CQ11" s="668" t="s">
        <v>424</v>
      </c>
      <c r="CR11" s="731" t="s">
        <v>268</v>
      </c>
      <c r="CS11" s="731">
        <v>219836983</v>
      </c>
      <c r="CT11" s="731">
        <v>0</v>
      </c>
      <c r="CU11" s="731">
        <v>0</v>
      </c>
      <c r="CV11" s="730">
        <f t="shared" si="28"/>
        <v>219836.98300000001</v>
      </c>
      <c r="CW11" s="730">
        <f t="shared" si="29"/>
        <v>0</v>
      </c>
      <c r="CX11" s="730">
        <f t="shared" si="30"/>
        <v>0</v>
      </c>
      <c r="CZ11" s="688" t="s">
        <v>779</v>
      </c>
      <c r="DA11" s="689" t="s">
        <v>780</v>
      </c>
      <c r="DB11" s="688" t="s">
        <v>426</v>
      </c>
      <c r="DC11" s="689" t="s">
        <v>426</v>
      </c>
      <c r="DD11" s="690">
        <v>5093546196</v>
      </c>
      <c r="DE11" s="737">
        <f t="shared" si="31"/>
        <v>5093546.1960000005</v>
      </c>
      <c r="DH11" s="731" t="s">
        <v>423</v>
      </c>
      <c r="DI11" s="731" t="s">
        <v>853</v>
      </c>
      <c r="DJ11" s="731" t="s">
        <v>424</v>
      </c>
      <c r="DK11" s="731" t="s">
        <v>268</v>
      </c>
      <c r="DL11" s="1028">
        <v>209836983</v>
      </c>
      <c r="DM11" s="1028">
        <v>0</v>
      </c>
      <c r="DN11" s="1028">
        <v>0</v>
      </c>
      <c r="DO11" s="1028">
        <f t="shared" si="32"/>
        <v>209836.98300000001</v>
      </c>
      <c r="DP11" s="1028">
        <f t="shared" si="33"/>
        <v>0</v>
      </c>
      <c r="DQ11" s="1028">
        <f t="shared" si="34"/>
        <v>0</v>
      </c>
      <c r="DU11" s="731" t="s">
        <v>781</v>
      </c>
      <c r="DV11" s="731" t="s">
        <v>782</v>
      </c>
      <c r="DW11" s="668" t="s">
        <v>426</v>
      </c>
      <c r="DX11" s="731" t="s">
        <v>426</v>
      </c>
      <c r="DY11" s="737">
        <v>975402046</v>
      </c>
      <c r="DZ11" s="737">
        <f t="shared" si="35"/>
        <v>975402.04599999997</v>
      </c>
      <c r="EC11" s="731" t="s">
        <v>423</v>
      </c>
      <c r="ED11" s="731" t="s">
        <v>853</v>
      </c>
      <c r="EE11" s="668" t="s">
        <v>424</v>
      </c>
      <c r="EF11" s="731" t="s">
        <v>268</v>
      </c>
      <c r="EG11" s="737">
        <v>209836983</v>
      </c>
      <c r="EH11" s="737">
        <v>0</v>
      </c>
      <c r="EI11" s="737">
        <v>0</v>
      </c>
      <c r="EJ11" s="737">
        <f t="shared" si="36"/>
        <v>209836.98300000001</v>
      </c>
      <c r="EK11" s="737">
        <f t="shared" si="37"/>
        <v>0</v>
      </c>
      <c r="EL11" s="737">
        <f t="shared" si="38"/>
        <v>0</v>
      </c>
    </row>
    <row r="12" spans="1:143" x14ac:dyDescent="0.25">
      <c r="A12" s="668" t="s">
        <v>423</v>
      </c>
      <c r="B12" s="668" t="s">
        <v>853</v>
      </c>
      <c r="C12" s="668" t="s">
        <v>447</v>
      </c>
      <c r="D12" s="668" t="s">
        <v>270</v>
      </c>
      <c r="E12" s="687">
        <v>0</v>
      </c>
      <c r="F12" s="687">
        <v>560074</v>
      </c>
      <c r="G12" s="687">
        <v>0</v>
      </c>
      <c r="H12" s="730">
        <f t="shared" si="8"/>
        <v>0</v>
      </c>
      <c r="I12" s="730">
        <f t="shared" si="9"/>
        <v>560.07399999999996</v>
      </c>
      <c r="J12" s="730">
        <f t="shared" si="10"/>
        <v>0</v>
      </c>
      <c r="Q12" s="737">
        <f>+Q11-'Prog 03'!U11</f>
        <v>0</v>
      </c>
      <c r="S12" s="731" t="s">
        <v>423</v>
      </c>
      <c r="T12" s="731" t="s">
        <v>853</v>
      </c>
      <c r="U12" s="731" t="s">
        <v>425</v>
      </c>
      <c r="V12" s="731" t="s">
        <v>311</v>
      </c>
      <c r="W12" s="730">
        <v>300000</v>
      </c>
      <c r="X12" s="730">
        <v>0</v>
      </c>
      <c r="Y12" s="730">
        <v>0</v>
      </c>
      <c r="Z12" s="730">
        <f t="shared" si="12"/>
        <v>300</v>
      </c>
      <c r="AA12" s="730">
        <f t="shared" si="13"/>
        <v>0</v>
      </c>
      <c r="AB12" s="730">
        <f t="shared" si="14"/>
        <v>0</v>
      </c>
      <c r="AC12" s="730"/>
      <c r="AE12" s="688" t="s">
        <v>791</v>
      </c>
      <c r="AF12" s="689" t="s">
        <v>792</v>
      </c>
      <c r="AG12" s="688" t="s">
        <v>426</v>
      </c>
      <c r="AH12" s="689" t="s">
        <v>426</v>
      </c>
      <c r="AI12" s="690">
        <v>21277200</v>
      </c>
      <c r="AJ12" s="730">
        <f t="shared" si="15"/>
        <v>21277.200000000001</v>
      </c>
      <c r="AL12" s="731" t="s">
        <v>423</v>
      </c>
      <c r="AM12" s="731" t="s">
        <v>853</v>
      </c>
      <c r="AN12" s="731" t="s">
        <v>425</v>
      </c>
      <c r="AO12" s="731" t="s">
        <v>311</v>
      </c>
      <c r="AP12" s="730">
        <v>300000</v>
      </c>
      <c r="AQ12" s="730">
        <v>0</v>
      </c>
      <c r="AR12" s="730">
        <v>0</v>
      </c>
      <c r="AS12" s="730">
        <f t="shared" si="16"/>
        <v>300</v>
      </c>
      <c r="AT12" s="730">
        <f t="shared" si="17"/>
        <v>0</v>
      </c>
      <c r="AU12" s="730">
        <f t="shared" si="18"/>
        <v>0</v>
      </c>
      <c r="AX12" s="688" t="s">
        <v>781</v>
      </c>
      <c r="AY12" s="689" t="s">
        <v>782</v>
      </c>
      <c r="AZ12" s="688" t="s">
        <v>426</v>
      </c>
      <c r="BA12" s="688" t="s">
        <v>426</v>
      </c>
      <c r="BB12" s="690">
        <v>4112908714</v>
      </c>
      <c r="BC12" s="690">
        <f t="shared" si="19"/>
        <v>4112908.7140000002</v>
      </c>
      <c r="BE12" s="688" t="s">
        <v>423</v>
      </c>
      <c r="BF12" s="689" t="s">
        <v>853</v>
      </c>
      <c r="BG12" s="688" t="s">
        <v>424</v>
      </c>
      <c r="BH12" s="689" t="s">
        <v>268</v>
      </c>
      <c r="BI12" s="690">
        <v>25978032</v>
      </c>
      <c r="BJ12" s="690">
        <v>0</v>
      </c>
      <c r="BK12" s="690">
        <v>0</v>
      </c>
      <c r="BL12" s="687">
        <f t="shared" si="20"/>
        <v>25978.031999999999</v>
      </c>
      <c r="BM12" s="690">
        <f t="shared" si="21"/>
        <v>0</v>
      </c>
      <c r="BN12" s="690">
        <f t="shared" si="22"/>
        <v>0</v>
      </c>
      <c r="BP12" s="668" t="s">
        <v>787</v>
      </c>
      <c r="BQ12" s="729" t="s">
        <v>788</v>
      </c>
      <c r="BR12" s="668" t="s">
        <v>426</v>
      </c>
      <c r="BS12" s="729" t="s">
        <v>426</v>
      </c>
      <c r="BT12" s="730">
        <v>752795399</v>
      </c>
      <c r="BU12" s="730">
        <f t="shared" si="23"/>
        <v>752795.39899999998</v>
      </c>
      <c r="BW12" s="668" t="s">
        <v>423</v>
      </c>
      <c r="BX12" s="729" t="s">
        <v>853</v>
      </c>
      <c r="BY12" s="668" t="s">
        <v>424</v>
      </c>
      <c r="BZ12" s="729" t="s">
        <v>268</v>
      </c>
      <c r="CA12" s="730">
        <v>26075017</v>
      </c>
      <c r="CB12" s="730">
        <v>0</v>
      </c>
      <c r="CC12" s="730">
        <v>0</v>
      </c>
      <c r="CD12" s="730">
        <f t="shared" si="24"/>
        <v>26075.017</v>
      </c>
      <c r="CE12" s="730">
        <f t="shared" si="25"/>
        <v>0</v>
      </c>
      <c r="CF12" s="730">
        <f t="shared" si="26"/>
        <v>0</v>
      </c>
      <c r="CH12" s="688" t="s">
        <v>795</v>
      </c>
      <c r="CI12" s="689" t="s">
        <v>796</v>
      </c>
      <c r="CJ12" s="688" t="s">
        <v>426</v>
      </c>
      <c r="CK12" s="689" t="s">
        <v>426</v>
      </c>
      <c r="CL12" s="690">
        <v>9325349</v>
      </c>
      <c r="CM12" s="730">
        <f t="shared" si="27"/>
        <v>9325.3490000000002</v>
      </c>
      <c r="CO12" s="731" t="s">
        <v>423</v>
      </c>
      <c r="CP12" s="731" t="s">
        <v>853</v>
      </c>
      <c r="CQ12" s="668" t="s">
        <v>424</v>
      </c>
      <c r="CR12" s="731" t="s">
        <v>268</v>
      </c>
      <c r="CS12" s="731">
        <v>26075017</v>
      </c>
      <c r="CT12" s="731">
        <v>0</v>
      </c>
      <c r="CU12" s="731">
        <v>0</v>
      </c>
      <c r="CV12" s="730">
        <f t="shared" si="28"/>
        <v>26075.017</v>
      </c>
      <c r="CW12" s="730">
        <f t="shared" si="29"/>
        <v>0</v>
      </c>
      <c r="CX12" s="730">
        <f t="shared" si="30"/>
        <v>0</v>
      </c>
      <c r="CZ12" s="688" t="s">
        <v>781</v>
      </c>
      <c r="DA12" s="689" t="s">
        <v>782</v>
      </c>
      <c r="DB12" s="688" t="s">
        <v>426</v>
      </c>
      <c r="DC12" s="689" t="s">
        <v>426</v>
      </c>
      <c r="DD12" s="690">
        <v>1438492027</v>
      </c>
      <c r="DE12" s="737">
        <f t="shared" si="31"/>
        <v>1438492.027</v>
      </c>
      <c r="DH12" s="731" t="s">
        <v>423</v>
      </c>
      <c r="DI12" s="731" t="s">
        <v>853</v>
      </c>
      <c r="DJ12" s="731" t="s">
        <v>424</v>
      </c>
      <c r="DK12" s="731" t="s">
        <v>268</v>
      </c>
      <c r="DL12" s="1028">
        <v>26075017</v>
      </c>
      <c r="DM12" s="1028">
        <v>0</v>
      </c>
      <c r="DN12" s="1028">
        <v>0</v>
      </c>
      <c r="DO12" s="1028">
        <f t="shared" si="32"/>
        <v>26075.017</v>
      </c>
      <c r="DP12" s="1028">
        <f t="shared" si="33"/>
        <v>0</v>
      </c>
      <c r="DQ12" s="1028">
        <f t="shared" si="34"/>
        <v>0</v>
      </c>
      <c r="DU12" s="731" t="s">
        <v>787</v>
      </c>
      <c r="DV12" s="731" t="s">
        <v>788</v>
      </c>
      <c r="DW12" s="668" t="s">
        <v>426</v>
      </c>
      <c r="DX12" s="731" t="s">
        <v>426</v>
      </c>
      <c r="DY12" s="737">
        <v>45600000</v>
      </c>
      <c r="DZ12" s="737">
        <f t="shared" si="35"/>
        <v>45600</v>
      </c>
      <c r="EC12" s="731" t="s">
        <v>423</v>
      </c>
      <c r="ED12" s="731" t="s">
        <v>853</v>
      </c>
      <c r="EE12" s="668" t="s">
        <v>424</v>
      </c>
      <c r="EF12" s="731" t="s">
        <v>268</v>
      </c>
      <c r="EG12" s="737">
        <v>26075017</v>
      </c>
      <c r="EH12" s="737">
        <v>0</v>
      </c>
      <c r="EI12" s="737">
        <v>0</v>
      </c>
      <c r="EJ12" s="737">
        <f t="shared" si="36"/>
        <v>26075.017</v>
      </c>
      <c r="EK12" s="737">
        <f t="shared" si="37"/>
        <v>0</v>
      </c>
      <c r="EL12" s="737">
        <f t="shared" si="38"/>
        <v>0</v>
      </c>
    </row>
    <row r="13" spans="1:143" x14ac:dyDescent="0.25">
      <c r="A13" s="668" t="s">
        <v>423</v>
      </c>
      <c r="B13" s="668" t="s">
        <v>853</v>
      </c>
      <c r="C13" s="668" t="s">
        <v>424</v>
      </c>
      <c r="D13" s="668" t="s">
        <v>268</v>
      </c>
      <c r="E13" s="687">
        <v>0</v>
      </c>
      <c r="F13" s="687">
        <v>183397776</v>
      </c>
      <c r="G13" s="687">
        <v>15283149</v>
      </c>
      <c r="H13" s="730">
        <f t="shared" si="8"/>
        <v>0</v>
      </c>
      <c r="I13" s="730">
        <f t="shared" si="9"/>
        <v>183397.77600000001</v>
      </c>
      <c r="J13" s="730">
        <f t="shared" si="10"/>
        <v>15283.148999999999</v>
      </c>
      <c r="S13" s="731" t="s">
        <v>423</v>
      </c>
      <c r="T13" s="731" t="s">
        <v>853</v>
      </c>
      <c r="U13" s="731" t="s">
        <v>424</v>
      </c>
      <c r="V13" s="731" t="s">
        <v>268</v>
      </c>
      <c r="W13" s="730">
        <v>0</v>
      </c>
      <c r="X13" s="730">
        <v>30566296</v>
      </c>
      <c r="Y13" s="730">
        <v>183397776</v>
      </c>
      <c r="Z13" s="730">
        <f t="shared" si="12"/>
        <v>0</v>
      </c>
      <c r="AA13" s="730">
        <f t="shared" si="13"/>
        <v>30566.295999999998</v>
      </c>
      <c r="AB13" s="730">
        <f t="shared" si="14"/>
        <v>183397.77600000001</v>
      </c>
      <c r="AC13" s="730"/>
      <c r="AE13" s="688" t="s">
        <v>797</v>
      </c>
      <c r="AF13" s="689" t="s">
        <v>798</v>
      </c>
      <c r="AG13" s="688" t="s">
        <v>426</v>
      </c>
      <c r="AH13" s="689" t="s">
        <v>426</v>
      </c>
      <c r="AI13" s="690">
        <v>96325179</v>
      </c>
      <c r="AJ13" s="730">
        <f t="shared" si="15"/>
        <v>96325.179000000004</v>
      </c>
      <c r="AL13" s="731" t="s">
        <v>423</v>
      </c>
      <c r="AM13" s="731" t="s">
        <v>853</v>
      </c>
      <c r="AN13" s="731" t="s">
        <v>426</v>
      </c>
      <c r="AO13" s="731" t="s">
        <v>426</v>
      </c>
      <c r="AP13" s="730">
        <v>0</v>
      </c>
      <c r="AQ13" s="730">
        <v>0</v>
      </c>
      <c r="AR13" s="730">
        <v>0</v>
      </c>
      <c r="AS13" s="730">
        <f t="shared" si="16"/>
        <v>0</v>
      </c>
      <c r="AT13" s="730">
        <f t="shared" si="17"/>
        <v>0</v>
      </c>
      <c r="AU13" s="730">
        <f t="shared" si="18"/>
        <v>0</v>
      </c>
      <c r="AX13" s="688" t="s">
        <v>785</v>
      </c>
      <c r="AY13" s="689" t="s">
        <v>786</v>
      </c>
      <c r="AZ13" s="688" t="s">
        <v>426</v>
      </c>
      <c r="BA13" s="688" t="s">
        <v>426</v>
      </c>
      <c r="BB13" s="690">
        <v>74999999</v>
      </c>
      <c r="BC13" s="690">
        <f t="shared" si="19"/>
        <v>74999.998999999996</v>
      </c>
      <c r="BE13" s="688" t="s">
        <v>423</v>
      </c>
      <c r="BF13" s="689" t="s">
        <v>853</v>
      </c>
      <c r="BG13" s="688" t="s">
        <v>447</v>
      </c>
      <c r="BH13" s="689" t="s">
        <v>270</v>
      </c>
      <c r="BI13" s="690">
        <v>12000000</v>
      </c>
      <c r="BJ13" s="690">
        <v>0</v>
      </c>
      <c r="BK13" s="690">
        <v>0</v>
      </c>
      <c r="BL13" s="687">
        <f t="shared" si="20"/>
        <v>12000</v>
      </c>
      <c r="BM13" s="690">
        <f t="shared" si="21"/>
        <v>0</v>
      </c>
      <c r="BN13" s="690">
        <f t="shared" si="22"/>
        <v>0</v>
      </c>
      <c r="BP13" s="668" t="s">
        <v>791</v>
      </c>
      <c r="BQ13" s="729" t="s">
        <v>792</v>
      </c>
      <c r="BR13" s="668" t="s">
        <v>426</v>
      </c>
      <c r="BS13" s="729" t="s">
        <v>426</v>
      </c>
      <c r="BT13" s="730">
        <v>120075492</v>
      </c>
      <c r="BU13" s="730">
        <f t="shared" si="23"/>
        <v>120075.492</v>
      </c>
      <c r="BW13" s="668" t="s">
        <v>423</v>
      </c>
      <c r="BX13" s="729" t="s">
        <v>853</v>
      </c>
      <c r="BY13" s="668" t="s">
        <v>447</v>
      </c>
      <c r="BZ13" s="729" t="s">
        <v>270</v>
      </c>
      <c r="CA13" s="730">
        <v>12000000</v>
      </c>
      <c r="CB13" s="730">
        <v>0</v>
      </c>
      <c r="CC13" s="730">
        <v>0</v>
      </c>
      <c r="CD13" s="730">
        <f t="shared" si="24"/>
        <v>12000</v>
      </c>
      <c r="CE13" s="730">
        <f t="shared" si="25"/>
        <v>0</v>
      </c>
      <c r="CF13" s="730">
        <f t="shared" si="26"/>
        <v>0</v>
      </c>
      <c r="CH13" s="688" t="s">
        <v>797</v>
      </c>
      <c r="CI13" s="689" t="s">
        <v>798</v>
      </c>
      <c r="CJ13" s="688" t="s">
        <v>426</v>
      </c>
      <c r="CK13" s="689" t="s">
        <v>426</v>
      </c>
      <c r="CL13" s="690">
        <v>1522184437</v>
      </c>
      <c r="CM13" s="730">
        <f t="shared" si="27"/>
        <v>1522184.4369999999</v>
      </c>
      <c r="CO13" s="731" t="s">
        <v>423</v>
      </c>
      <c r="CP13" s="731" t="s">
        <v>853</v>
      </c>
      <c r="CQ13" s="668" t="s">
        <v>447</v>
      </c>
      <c r="CR13" s="731" t="s">
        <v>270</v>
      </c>
      <c r="CS13" s="731">
        <v>12000000</v>
      </c>
      <c r="CT13" s="731">
        <v>0</v>
      </c>
      <c r="CU13" s="731">
        <v>0</v>
      </c>
      <c r="CV13" s="730">
        <f t="shared" si="28"/>
        <v>12000</v>
      </c>
      <c r="CW13" s="730">
        <f t="shared" si="29"/>
        <v>0</v>
      </c>
      <c r="CX13" s="730">
        <f t="shared" si="30"/>
        <v>0</v>
      </c>
      <c r="CZ13" s="688" t="s">
        <v>783</v>
      </c>
      <c r="DA13" s="689" t="s">
        <v>784</v>
      </c>
      <c r="DB13" s="688" t="s">
        <v>426</v>
      </c>
      <c r="DC13" s="689" t="s">
        <v>426</v>
      </c>
      <c r="DD13" s="690">
        <v>7891111862</v>
      </c>
      <c r="DE13" s="737">
        <f t="shared" si="31"/>
        <v>7891111.8619999997</v>
      </c>
      <c r="DH13" s="731" t="s">
        <v>423</v>
      </c>
      <c r="DI13" s="731" t="s">
        <v>853</v>
      </c>
      <c r="DJ13" s="731" t="s">
        <v>447</v>
      </c>
      <c r="DK13" s="731" t="s">
        <v>270</v>
      </c>
      <c r="DL13" s="1028">
        <v>22000000</v>
      </c>
      <c r="DM13" s="1028">
        <v>0</v>
      </c>
      <c r="DN13" s="1028">
        <v>0</v>
      </c>
      <c r="DO13" s="1028">
        <f t="shared" si="32"/>
        <v>22000</v>
      </c>
      <c r="DP13" s="1028">
        <f t="shared" si="33"/>
        <v>0</v>
      </c>
      <c r="DQ13" s="1028">
        <f t="shared" si="34"/>
        <v>0</v>
      </c>
      <c r="DU13" s="731" t="s">
        <v>795</v>
      </c>
      <c r="DV13" s="731" t="s">
        <v>796</v>
      </c>
      <c r="DW13" s="668" t="s">
        <v>426</v>
      </c>
      <c r="DX13" s="731" t="s">
        <v>426</v>
      </c>
      <c r="DY13" s="737">
        <v>138905802</v>
      </c>
      <c r="DZ13" s="737">
        <f t="shared" si="35"/>
        <v>138905.802</v>
      </c>
      <c r="EC13" s="731" t="s">
        <v>423</v>
      </c>
      <c r="ED13" s="731" t="s">
        <v>853</v>
      </c>
      <c r="EE13" s="668" t="s">
        <v>447</v>
      </c>
      <c r="EF13" s="731" t="s">
        <v>270</v>
      </c>
      <c r="EG13" s="737">
        <v>22000000</v>
      </c>
      <c r="EH13" s="737">
        <v>0</v>
      </c>
      <c r="EI13" s="737">
        <v>0</v>
      </c>
      <c r="EJ13" s="737">
        <f t="shared" si="36"/>
        <v>22000</v>
      </c>
      <c r="EK13" s="737">
        <f t="shared" si="37"/>
        <v>0</v>
      </c>
      <c r="EL13" s="737">
        <f t="shared" si="38"/>
        <v>0</v>
      </c>
    </row>
    <row r="14" spans="1:143" x14ac:dyDescent="0.25">
      <c r="A14" s="668" t="s">
        <v>423</v>
      </c>
      <c r="B14" s="668" t="s">
        <v>853</v>
      </c>
      <c r="C14" s="668" t="s">
        <v>426</v>
      </c>
      <c r="D14" s="668" t="s">
        <v>426</v>
      </c>
      <c r="E14" s="687">
        <v>0</v>
      </c>
      <c r="F14" s="687">
        <v>0</v>
      </c>
      <c r="G14" s="687">
        <v>0</v>
      </c>
      <c r="H14" s="730">
        <f t="shared" si="8"/>
        <v>0</v>
      </c>
      <c r="I14" s="730">
        <f t="shared" si="9"/>
        <v>0</v>
      </c>
      <c r="J14" s="730">
        <f t="shared" si="10"/>
        <v>0</v>
      </c>
      <c r="S14" s="731" t="s">
        <v>423</v>
      </c>
      <c r="T14" s="731" t="s">
        <v>853</v>
      </c>
      <c r="U14" s="731" t="s">
        <v>448</v>
      </c>
      <c r="V14" s="731" t="s">
        <v>449</v>
      </c>
      <c r="W14" s="730">
        <v>0</v>
      </c>
      <c r="X14" s="730">
        <v>3223453</v>
      </c>
      <c r="Y14" s="730">
        <v>14859161</v>
      </c>
      <c r="Z14" s="730">
        <f t="shared" si="12"/>
        <v>0</v>
      </c>
      <c r="AA14" s="730">
        <f t="shared" si="13"/>
        <v>3223.453</v>
      </c>
      <c r="AB14" s="730">
        <f t="shared" si="14"/>
        <v>14859.161</v>
      </c>
      <c r="AC14" s="730"/>
      <c r="AL14" s="731" t="s">
        <v>423</v>
      </c>
      <c r="AM14" s="731" t="s">
        <v>853</v>
      </c>
      <c r="AN14" s="731" t="s">
        <v>424</v>
      </c>
      <c r="AO14" s="731" t="s">
        <v>268</v>
      </c>
      <c r="AP14" s="730">
        <v>0</v>
      </c>
      <c r="AQ14" s="730">
        <v>45886307</v>
      </c>
      <c r="AR14" s="730">
        <v>191088428</v>
      </c>
      <c r="AS14" s="730">
        <f t="shared" si="16"/>
        <v>0</v>
      </c>
      <c r="AT14" s="730">
        <f t="shared" si="17"/>
        <v>45886.307000000001</v>
      </c>
      <c r="AU14" s="730">
        <f t="shared" si="18"/>
        <v>191088.42800000001</v>
      </c>
      <c r="AX14" s="688" t="s">
        <v>787</v>
      </c>
      <c r="AY14" s="689" t="s">
        <v>788</v>
      </c>
      <c r="AZ14" s="688" t="s">
        <v>426</v>
      </c>
      <c r="BA14" s="688" t="s">
        <v>426</v>
      </c>
      <c r="BB14" s="690">
        <v>695844000</v>
      </c>
      <c r="BC14" s="690">
        <f t="shared" si="19"/>
        <v>695844</v>
      </c>
      <c r="BE14" s="688" t="s">
        <v>423</v>
      </c>
      <c r="BF14" s="689" t="s">
        <v>853</v>
      </c>
      <c r="BG14" s="688" t="s">
        <v>425</v>
      </c>
      <c r="BH14" s="689" t="s">
        <v>311</v>
      </c>
      <c r="BI14" s="690">
        <v>2700000</v>
      </c>
      <c r="BJ14" s="690">
        <v>0</v>
      </c>
      <c r="BK14" s="690">
        <v>0</v>
      </c>
      <c r="BL14" s="687">
        <f t="shared" si="20"/>
        <v>2700</v>
      </c>
      <c r="BM14" s="690">
        <f t="shared" si="21"/>
        <v>0</v>
      </c>
      <c r="BN14" s="690">
        <f t="shared" si="22"/>
        <v>0</v>
      </c>
      <c r="BP14" s="668" t="s">
        <v>793</v>
      </c>
      <c r="BQ14" s="729" t="s">
        <v>794</v>
      </c>
      <c r="BR14" s="668" t="s">
        <v>426</v>
      </c>
      <c r="BS14" s="729" t="s">
        <v>426</v>
      </c>
      <c r="BT14" s="730">
        <v>100809358</v>
      </c>
      <c r="BU14" s="730">
        <f t="shared" si="23"/>
        <v>100809.35799999999</v>
      </c>
      <c r="BW14" s="668" t="s">
        <v>423</v>
      </c>
      <c r="BX14" s="729" t="s">
        <v>853</v>
      </c>
      <c r="BY14" s="668" t="s">
        <v>425</v>
      </c>
      <c r="BZ14" s="729" t="s">
        <v>311</v>
      </c>
      <c r="CA14" s="730">
        <v>2700000</v>
      </c>
      <c r="CB14" s="730">
        <v>0</v>
      </c>
      <c r="CC14" s="730">
        <v>0</v>
      </c>
      <c r="CD14" s="730">
        <f t="shared" si="24"/>
        <v>2700</v>
      </c>
      <c r="CE14" s="730">
        <f t="shared" si="25"/>
        <v>0</v>
      </c>
      <c r="CF14" s="730">
        <f t="shared" si="26"/>
        <v>0</v>
      </c>
      <c r="CH14" s="688" t="s">
        <v>430</v>
      </c>
      <c r="CI14" s="689" t="s">
        <v>1030</v>
      </c>
      <c r="CJ14" s="688" t="s">
        <v>426</v>
      </c>
      <c r="CK14" s="689" t="s">
        <v>426</v>
      </c>
      <c r="CL14" s="690">
        <v>155788055</v>
      </c>
      <c r="CM14" s="730">
        <f t="shared" si="27"/>
        <v>155788.05499999999</v>
      </c>
      <c r="CO14" s="731" t="s">
        <v>423</v>
      </c>
      <c r="CP14" s="731" t="s">
        <v>853</v>
      </c>
      <c r="CQ14" s="668" t="s">
        <v>425</v>
      </c>
      <c r="CR14" s="731" t="s">
        <v>311</v>
      </c>
      <c r="CS14" s="731">
        <v>2700000</v>
      </c>
      <c r="CT14" s="731">
        <v>0</v>
      </c>
      <c r="CU14" s="731">
        <v>0</v>
      </c>
      <c r="CV14" s="730">
        <f t="shared" si="28"/>
        <v>2700</v>
      </c>
      <c r="CW14" s="730">
        <f t="shared" si="29"/>
        <v>0</v>
      </c>
      <c r="CX14" s="730">
        <f t="shared" si="30"/>
        <v>0</v>
      </c>
      <c r="CZ14" s="688" t="s">
        <v>787</v>
      </c>
      <c r="DA14" s="689" t="s">
        <v>788</v>
      </c>
      <c r="DB14" s="688" t="s">
        <v>426</v>
      </c>
      <c r="DC14" s="689" t="s">
        <v>426</v>
      </c>
      <c r="DD14" s="690">
        <v>588766254</v>
      </c>
      <c r="DE14" s="737">
        <f t="shared" si="31"/>
        <v>588766.25399999996</v>
      </c>
      <c r="DH14" s="731" t="s">
        <v>423</v>
      </c>
      <c r="DI14" s="731" t="s">
        <v>853</v>
      </c>
      <c r="DJ14" s="731" t="s">
        <v>425</v>
      </c>
      <c r="DK14" s="731" t="s">
        <v>311</v>
      </c>
      <c r="DL14" s="1028">
        <v>2700000</v>
      </c>
      <c r="DM14" s="1028">
        <v>0</v>
      </c>
      <c r="DN14" s="1028">
        <v>0</v>
      </c>
      <c r="DO14" s="1028">
        <f t="shared" si="32"/>
        <v>2700</v>
      </c>
      <c r="DP14" s="1028">
        <f t="shared" si="33"/>
        <v>0</v>
      </c>
      <c r="DQ14" s="1028">
        <f t="shared" si="34"/>
        <v>0</v>
      </c>
      <c r="DU14" s="731" t="s">
        <v>430</v>
      </c>
      <c r="DV14" s="731" t="s">
        <v>1030</v>
      </c>
      <c r="DW14" s="668" t="s">
        <v>426</v>
      </c>
      <c r="DX14" s="731" t="s">
        <v>426</v>
      </c>
      <c r="DY14" s="737">
        <v>354617624</v>
      </c>
      <c r="DZ14" s="737">
        <f t="shared" si="35"/>
        <v>354617.62400000001</v>
      </c>
      <c r="EC14" s="731" t="s">
        <v>423</v>
      </c>
      <c r="ED14" s="731" t="s">
        <v>853</v>
      </c>
      <c r="EE14" s="668" t="s">
        <v>425</v>
      </c>
      <c r="EF14" s="731" t="s">
        <v>311</v>
      </c>
      <c r="EG14" s="737">
        <v>2700000</v>
      </c>
      <c r="EH14" s="737">
        <v>0</v>
      </c>
      <c r="EI14" s="737">
        <v>0</v>
      </c>
      <c r="EJ14" s="737">
        <f t="shared" si="36"/>
        <v>2700</v>
      </c>
      <c r="EK14" s="737">
        <f t="shared" si="37"/>
        <v>0</v>
      </c>
      <c r="EL14" s="737">
        <f t="shared" si="38"/>
        <v>0</v>
      </c>
    </row>
    <row r="15" spans="1:143" x14ac:dyDescent="0.25">
      <c r="A15" s="668" t="s">
        <v>423</v>
      </c>
      <c r="B15" s="668" t="s">
        <v>853</v>
      </c>
      <c r="C15" s="668" t="s">
        <v>424</v>
      </c>
      <c r="D15" s="668" t="s">
        <v>268</v>
      </c>
      <c r="E15" s="687">
        <v>0</v>
      </c>
      <c r="F15" s="687">
        <v>25978032</v>
      </c>
      <c r="G15" s="687">
        <v>2164836</v>
      </c>
      <c r="H15" s="730">
        <f t="shared" si="8"/>
        <v>0</v>
      </c>
      <c r="I15" s="730">
        <f t="shared" si="9"/>
        <v>25978.031999999999</v>
      </c>
      <c r="J15" s="730">
        <f t="shared" si="10"/>
        <v>2164.8359999999998</v>
      </c>
      <c r="S15" s="731" t="s">
        <v>423</v>
      </c>
      <c r="T15" s="731" t="s">
        <v>853</v>
      </c>
      <c r="U15" s="731" t="s">
        <v>424</v>
      </c>
      <c r="V15" s="731" t="s">
        <v>268</v>
      </c>
      <c r="W15" s="730">
        <v>0</v>
      </c>
      <c r="X15" s="730">
        <v>4329672</v>
      </c>
      <c r="Y15" s="730">
        <v>25978032</v>
      </c>
      <c r="Z15" s="730">
        <f t="shared" si="12"/>
        <v>0</v>
      </c>
      <c r="AA15" s="730">
        <f t="shared" si="13"/>
        <v>4329.6719999999996</v>
      </c>
      <c r="AB15" s="730">
        <f t="shared" si="14"/>
        <v>25978.031999999999</v>
      </c>
      <c r="AC15" s="730"/>
      <c r="AL15" s="731" t="s">
        <v>423</v>
      </c>
      <c r="AM15" s="731" t="s">
        <v>853</v>
      </c>
      <c r="AN15" s="731" t="s">
        <v>426</v>
      </c>
      <c r="AO15" s="731" t="s">
        <v>426</v>
      </c>
      <c r="AP15" s="730">
        <v>0</v>
      </c>
      <c r="AQ15" s="730">
        <v>0</v>
      </c>
      <c r="AR15" s="730">
        <v>0</v>
      </c>
      <c r="AS15" s="730">
        <f t="shared" si="16"/>
        <v>0</v>
      </c>
      <c r="AT15" s="730">
        <f t="shared" si="17"/>
        <v>0</v>
      </c>
      <c r="AU15" s="730">
        <f t="shared" si="18"/>
        <v>0</v>
      </c>
      <c r="AX15" s="688" t="s">
        <v>793</v>
      </c>
      <c r="AY15" s="689" t="s">
        <v>794</v>
      </c>
      <c r="AZ15" s="688" t="s">
        <v>426</v>
      </c>
      <c r="BA15" s="688" t="s">
        <v>426</v>
      </c>
      <c r="BB15" s="690">
        <v>284930000</v>
      </c>
      <c r="BC15" s="690">
        <f t="shared" si="19"/>
        <v>284930</v>
      </c>
      <c r="BE15" s="688" t="s">
        <v>423</v>
      </c>
      <c r="BF15" s="689" t="s">
        <v>853</v>
      </c>
      <c r="BG15" s="688" t="s">
        <v>425</v>
      </c>
      <c r="BH15" s="689" t="s">
        <v>311</v>
      </c>
      <c r="BI15" s="690">
        <v>300000</v>
      </c>
      <c r="BJ15" s="690">
        <v>0</v>
      </c>
      <c r="BK15" s="690">
        <v>0</v>
      </c>
      <c r="BL15" s="687">
        <f t="shared" si="20"/>
        <v>300</v>
      </c>
      <c r="BM15" s="690">
        <f t="shared" si="21"/>
        <v>0</v>
      </c>
      <c r="BN15" s="690">
        <f t="shared" si="22"/>
        <v>0</v>
      </c>
      <c r="BP15" s="668" t="s">
        <v>797</v>
      </c>
      <c r="BQ15" s="729" t="s">
        <v>798</v>
      </c>
      <c r="BR15" s="668" t="s">
        <v>426</v>
      </c>
      <c r="BS15" s="729" t="s">
        <v>426</v>
      </c>
      <c r="BT15" s="730">
        <v>288150671</v>
      </c>
      <c r="BU15" s="730">
        <f t="shared" si="23"/>
        <v>288150.67099999997</v>
      </c>
      <c r="BW15" s="668" t="s">
        <v>423</v>
      </c>
      <c r="BX15" s="729" t="s">
        <v>853</v>
      </c>
      <c r="BY15" s="668" t="s">
        <v>425</v>
      </c>
      <c r="BZ15" s="729" t="s">
        <v>311</v>
      </c>
      <c r="CA15" s="730">
        <v>300000</v>
      </c>
      <c r="CB15" s="730">
        <v>0</v>
      </c>
      <c r="CC15" s="730">
        <v>0</v>
      </c>
      <c r="CD15" s="730">
        <f t="shared" si="24"/>
        <v>300</v>
      </c>
      <c r="CE15" s="730">
        <f t="shared" si="25"/>
        <v>0</v>
      </c>
      <c r="CF15" s="730">
        <f t="shared" si="26"/>
        <v>0</v>
      </c>
      <c r="CM15" s="734">
        <f>SUM(CM3:CM14)</f>
        <v>6599474.5089999996</v>
      </c>
      <c r="CO15" s="731" t="s">
        <v>423</v>
      </c>
      <c r="CP15" s="731" t="s">
        <v>853</v>
      </c>
      <c r="CQ15" s="668" t="s">
        <v>425</v>
      </c>
      <c r="CR15" s="731" t="s">
        <v>311</v>
      </c>
      <c r="CS15" s="731">
        <v>300000</v>
      </c>
      <c r="CT15" s="731">
        <v>0</v>
      </c>
      <c r="CU15" s="731">
        <v>0</v>
      </c>
      <c r="CV15" s="730">
        <f t="shared" si="28"/>
        <v>300</v>
      </c>
      <c r="CW15" s="730">
        <f t="shared" si="29"/>
        <v>0</v>
      </c>
      <c r="CX15" s="730">
        <f t="shared" si="30"/>
        <v>0</v>
      </c>
      <c r="CZ15" s="688" t="s">
        <v>791</v>
      </c>
      <c r="DA15" s="689" t="s">
        <v>792</v>
      </c>
      <c r="DB15" s="688" t="s">
        <v>426</v>
      </c>
      <c r="DC15" s="689" t="s">
        <v>426</v>
      </c>
      <c r="DD15" s="690">
        <v>157543860</v>
      </c>
      <c r="DE15" s="737">
        <f t="shared" si="31"/>
        <v>157543.85999999999</v>
      </c>
      <c r="DH15" s="731" t="s">
        <v>423</v>
      </c>
      <c r="DI15" s="731" t="s">
        <v>853</v>
      </c>
      <c r="DJ15" s="731" t="s">
        <v>425</v>
      </c>
      <c r="DK15" s="731" t="s">
        <v>311</v>
      </c>
      <c r="DL15" s="1028">
        <v>300000</v>
      </c>
      <c r="DM15" s="1028">
        <v>0</v>
      </c>
      <c r="DN15" s="1028">
        <v>0</v>
      </c>
      <c r="DO15" s="1028">
        <f t="shared" si="32"/>
        <v>300</v>
      </c>
      <c r="DP15" s="1028">
        <f t="shared" si="33"/>
        <v>0</v>
      </c>
      <c r="DQ15" s="1028">
        <f t="shared" si="34"/>
        <v>0</v>
      </c>
      <c r="EC15" s="731" t="s">
        <v>423</v>
      </c>
      <c r="ED15" s="731" t="s">
        <v>853</v>
      </c>
      <c r="EE15" s="668" t="s">
        <v>425</v>
      </c>
      <c r="EF15" s="731" t="s">
        <v>311</v>
      </c>
      <c r="EG15" s="737">
        <v>300000</v>
      </c>
      <c r="EH15" s="737">
        <v>0</v>
      </c>
      <c r="EI15" s="737">
        <v>0</v>
      </c>
      <c r="EJ15" s="737">
        <f t="shared" si="36"/>
        <v>300</v>
      </c>
      <c r="EK15" s="737">
        <f t="shared" si="37"/>
        <v>0</v>
      </c>
      <c r="EL15" s="737">
        <f t="shared" si="38"/>
        <v>0</v>
      </c>
    </row>
    <row r="16" spans="1:143" x14ac:dyDescent="0.25">
      <c r="A16" s="668" t="s">
        <v>423</v>
      </c>
      <c r="B16" s="668" t="s">
        <v>853</v>
      </c>
      <c r="C16" s="668" t="s">
        <v>426</v>
      </c>
      <c r="D16" s="668" t="s">
        <v>426</v>
      </c>
      <c r="E16" s="687">
        <v>0</v>
      </c>
      <c r="F16" s="687">
        <v>0</v>
      </c>
      <c r="G16" s="687">
        <v>0</v>
      </c>
      <c r="H16" s="730">
        <f t="shared" si="8"/>
        <v>0</v>
      </c>
      <c r="I16" s="730">
        <f t="shared" si="9"/>
        <v>0</v>
      </c>
      <c r="J16" s="730">
        <f t="shared" si="10"/>
        <v>0</v>
      </c>
      <c r="S16" s="731" t="s">
        <v>423</v>
      </c>
      <c r="T16" s="731" t="s">
        <v>853</v>
      </c>
      <c r="U16" s="731" t="s">
        <v>426</v>
      </c>
      <c r="V16" s="731" t="s">
        <v>426</v>
      </c>
      <c r="W16" s="730">
        <v>0</v>
      </c>
      <c r="X16" s="730">
        <v>0</v>
      </c>
      <c r="Y16" s="730">
        <v>0</v>
      </c>
      <c r="Z16" s="730">
        <f t="shared" si="12"/>
        <v>0</v>
      </c>
      <c r="AA16" s="730">
        <f t="shared" si="13"/>
        <v>0</v>
      </c>
      <c r="AB16" s="730">
        <f t="shared" si="14"/>
        <v>0</v>
      </c>
      <c r="AC16" s="730"/>
      <c r="AL16" s="731" t="s">
        <v>423</v>
      </c>
      <c r="AM16" s="731" t="s">
        <v>853</v>
      </c>
      <c r="AN16" s="731" t="s">
        <v>424</v>
      </c>
      <c r="AO16" s="731" t="s">
        <v>268</v>
      </c>
      <c r="AP16" s="730">
        <v>0</v>
      </c>
      <c r="AQ16" s="730">
        <v>6494508</v>
      </c>
      <c r="AR16" s="730">
        <v>25978032</v>
      </c>
      <c r="AS16" s="730">
        <f t="shared" si="16"/>
        <v>0</v>
      </c>
      <c r="AT16" s="730">
        <f t="shared" si="17"/>
        <v>6494.5079999999998</v>
      </c>
      <c r="AU16" s="730">
        <f t="shared" si="18"/>
        <v>25978.031999999999</v>
      </c>
      <c r="AX16" s="688" t="s">
        <v>797</v>
      </c>
      <c r="AY16" s="689" t="s">
        <v>798</v>
      </c>
      <c r="AZ16" s="688" t="s">
        <v>426</v>
      </c>
      <c r="BA16" s="688" t="s">
        <v>426</v>
      </c>
      <c r="BB16" s="690">
        <v>180856856</v>
      </c>
      <c r="BC16" s="690">
        <f t="shared" si="19"/>
        <v>180856.856</v>
      </c>
      <c r="BE16" s="688" t="s">
        <v>423</v>
      </c>
      <c r="BF16" s="689" t="s">
        <v>853</v>
      </c>
      <c r="BG16" s="688" t="s">
        <v>448</v>
      </c>
      <c r="BH16" s="689" t="s">
        <v>449</v>
      </c>
      <c r="BI16" s="690">
        <v>0</v>
      </c>
      <c r="BJ16" s="690">
        <v>9802535</v>
      </c>
      <c r="BK16" s="690">
        <v>14859161</v>
      </c>
      <c r="BL16" s="687">
        <f t="shared" si="20"/>
        <v>0</v>
      </c>
      <c r="BM16" s="690">
        <f t="shared" si="21"/>
        <v>9802.5349999999999</v>
      </c>
      <c r="BN16" s="690">
        <f t="shared" si="22"/>
        <v>14859.161</v>
      </c>
      <c r="BP16" s="668" t="s">
        <v>430</v>
      </c>
      <c r="BQ16" s="729" t="s">
        <v>1030</v>
      </c>
      <c r="BR16" s="668" t="s">
        <v>426</v>
      </c>
      <c r="BS16" s="729" t="s">
        <v>426</v>
      </c>
      <c r="BT16" s="730">
        <v>50000000</v>
      </c>
      <c r="BU16" s="730">
        <f t="shared" si="23"/>
        <v>50000</v>
      </c>
      <c r="BW16" s="668" t="s">
        <v>423</v>
      </c>
      <c r="BX16" s="729" t="s">
        <v>853</v>
      </c>
      <c r="BY16" s="668" t="s">
        <v>448</v>
      </c>
      <c r="BZ16" s="729" t="s">
        <v>449</v>
      </c>
      <c r="CA16" s="730">
        <v>0</v>
      </c>
      <c r="CB16" s="730">
        <v>69802535</v>
      </c>
      <c r="CC16" s="730">
        <v>69802535</v>
      </c>
      <c r="CD16" s="730">
        <f t="shared" si="24"/>
        <v>0</v>
      </c>
      <c r="CE16" s="730">
        <f t="shared" si="25"/>
        <v>69802.535000000003</v>
      </c>
      <c r="CF16" s="730">
        <f t="shared" si="26"/>
        <v>69802.535000000003</v>
      </c>
      <c r="CM16" s="737">
        <f>+CM15-'Prog 03'!AC11</f>
        <v>0</v>
      </c>
      <c r="CO16" s="731" t="s">
        <v>423</v>
      </c>
      <c r="CP16" s="731" t="s">
        <v>853</v>
      </c>
      <c r="CQ16" s="668" t="s">
        <v>426</v>
      </c>
      <c r="CR16" s="731" t="s">
        <v>426</v>
      </c>
      <c r="CS16" s="731">
        <v>0</v>
      </c>
      <c r="CT16" s="731">
        <v>0</v>
      </c>
      <c r="CU16" s="731">
        <v>0</v>
      </c>
      <c r="CV16" s="730">
        <f t="shared" si="28"/>
        <v>0</v>
      </c>
      <c r="CW16" s="730">
        <f t="shared" si="29"/>
        <v>0</v>
      </c>
      <c r="CX16" s="730">
        <f t="shared" si="30"/>
        <v>0</v>
      </c>
      <c r="CZ16" s="688" t="s">
        <v>793</v>
      </c>
      <c r="DA16" s="689" t="s">
        <v>794</v>
      </c>
      <c r="DB16" s="688" t="s">
        <v>426</v>
      </c>
      <c r="DC16" s="689" t="s">
        <v>426</v>
      </c>
      <c r="DD16" s="690">
        <v>123300624</v>
      </c>
      <c r="DE16" s="737">
        <f t="shared" si="31"/>
        <v>123300.624</v>
      </c>
      <c r="DH16" s="731" t="s">
        <v>423</v>
      </c>
      <c r="DI16" s="731" t="s">
        <v>853</v>
      </c>
      <c r="DJ16" s="731" t="s">
        <v>425</v>
      </c>
      <c r="DK16" s="731" t="s">
        <v>311</v>
      </c>
      <c r="DL16" s="1028">
        <v>0</v>
      </c>
      <c r="DM16" s="1028">
        <v>57460</v>
      </c>
      <c r="DN16" s="1028">
        <v>300000</v>
      </c>
      <c r="DO16" s="1028">
        <f t="shared" si="32"/>
        <v>0</v>
      </c>
      <c r="DP16" s="1028">
        <f t="shared" si="33"/>
        <v>57.46</v>
      </c>
      <c r="DQ16" s="1028">
        <f t="shared" si="34"/>
        <v>300</v>
      </c>
      <c r="EC16" s="731" t="s">
        <v>423</v>
      </c>
      <c r="ED16" s="731" t="s">
        <v>853</v>
      </c>
      <c r="EE16" s="668" t="s">
        <v>426</v>
      </c>
      <c r="EF16" s="731" t="s">
        <v>426</v>
      </c>
      <c r="EG16" s="737">
        <v>0</v>
      </c>
      <c r="EH16" s="737">
        <v>0</v>
      </c>
      <c r="EI16" s="737">
        <v>0</v>
      </c>
      <c r="EJ16" s="737">
        <f t="shared" si="36"/>
        <v>0</v>
      </c>
      <c r="EK16" s="737">
        <f t="shared" si="37"/>
        <v>0</v>
      </c>
      <c r="EL16" s="737">
        <f t="shared" si="38"/>
        <v>0</v>
      </c>
    </row>
    <row r="17" spans="1:142" x14ac:dyDescent="0.25">
      <c r="A17" s="668" t="s">
        <v>1026</v>
      </c>
      <c r="B17" s="668" t="s">
        <v>1027</v>
      </c>
      <c r="C17" s="668" t="s">
        <v>1028</v>
      </c>
      <c r="D17" s="668" t="s">
        <v>1029</v>
      </c>
      <c r="E17" s="687">
        <v>471602000</v>
      </c>
      <c r="F17" s="687">
        <v>0</v>
      </c>
      <c r="G17" s="687">
        <v>0</v>
      </c>
      <c r="H17" s="730">
        <f t="shared" si="8"/>
        <v>471602</v>
      </c>
      <c r="I17" s="730">
        <f t="shared" si="9"/>
        <v>0</v>
      </c>
      <c r="J17" s="730">
        <f t="shared" si="10"/>
        <v>0</v>
      </c>
      <c r="S17" s="731" t="s">
        <v>423</v>
      </c>
      <c r="T17" s="731" t="s">
        <v>853</v>
      </c>
      <c r="U17" s="731" t="s">
        <v>447</v>
      </c>
      <c r="V17" s="731" t="s">
        <v>270</v>
      </c>
      <c r="W17" s="730">
        <v>0</v>
      </c>
      <c r="X17" s="730">
        <v>560074</v>
      </c>
      <c r="Y17" s="730">
        <v>560074</v>
      </c>
      <c r="Z17" s="730">
        <f t="shared" si="12"/>
        <v>0</v>
      </c>
      <c r="AA17" s="730">
        <f t="shared" si="13"/>
        <v>560.07399999999996</v>
      </c>
      <c r="AB17" s="730">
        <f t="shared" si="14"/>
        <v>560.07399999999996</v>
      </c>
      <c r="AC17" s="730"/>
      <c r="AL17" s="731" t="s">
        <v>423</v>
      </c>
      <c r="AM17" s="731" t="s">
        <v>853</v>
      </c>
      <c r="AN17" s="731" t="s">
        <v>448</v>
      </c>
      <c r="AO17" s="731" t="s">
        <v>449</v>
      </c>
      <c r="AP17" s="730">
        <v>0</v>
      </c>
      <c r="AQ17" s="730">
        <v>6009508</v>
      </c>
      <c r="AR17" s="730">
        <v>14859161</v>
      </c>
      <c r="AS17" s="730">
        <f t="shared" si="16"/>
        <v>0</v>
      </c>
      <c r="AT17" s="730">
        <f t="shared" si="17"/>
        <v>6009.5079999999998</v>
      </c>
      <c r="AU17" s="730">
        <f t="shared" si="18"/>
        <v>14859.161</v>
      </c>
      <c r="BC17" s="742">
        <f>SUM(BC3:BC16)</f>
        <v>84155159.372000009</v>
      </c>
      <c r="BE17" s="688" t="s">
        <v>423</v>
      </c>
      <c r="BF17" s="689" t="s">
        <v>853</v>
      </c>
      <c r="BG17" s="688" t="s">
        <v>447</v>
      </c>
      <c r="BH17" s="689" t="s">
        <v>270</v>
      </c>
      <c r="BI17" s="690">
        <v>0</v>
      </c>
      <c r="BJ17" s="690">
        <v>560074</v>
      </c>
      <c r="BK17" s="690">
        <v>560074</v>
      </c>
      <c r="BL17" s="687">
        <f t="shared" si="20"/>
        <v>0</v>
      </c>
      <c r="BM17" s="690">
        <f t="shared" si="21"/>
        <v>560.07399999999996</v>
      </c>
      <c r="BN17" s="690">
        <f t="shared" si="22"/>
        <v>560.07399999999996</v>
      </c>
      <c r="BT17" s="734">
        <f>SUM(BT3:BT16)</f>
        <v>5867032209</v>
      </c>
      <c r="BU17" s="734">
        <f>SUM(BU3:BU16)</f>
        <v>5867032.2089999998</v>
      </c>
      <c r="BW17" s="668" t="s">
        <v>423</v>
      </c>
      <c r="BX17" s="729" t="s">
        <v>853</v>
      </c>
      <c r="BY17" s="668" t="s">
        <v>424</v>
      </c>
      <c r="BZ17" s="729" t="s">
        <v>268</v>
      </c>
      <c r="CA17" s="730">
        <v>0</v>
      </c>
      <c r="CB17" s="730">
        <v>191430112</v>
      </c>
      <c r="CC17" s="730">
        <v>78153445</v>
      </c>
      <c r="CD17" s="730">
        <f t="shared" si="24"/>
        <v>0</v>
      </c>
      <c r="CE17" s="730">
        <f t="shared" si="25"/>
        <v>191430.11199999999</v>
      </c>
      <c r="CF17" s="730">
        <f t="shared" si="26"/>
        <v>78153.445000000007</v>
      </c>
      <c r="CO17" s="731" t="s">
        <v>423</v>
      </c>
      <c r="CP17" s="731" t="s">
        <v>853</v>
      </c>
      <c r="CQ17" s="668" t="s">
        <v>447</v>
      </c>
      <c r="CR17" s="731" t="s">
        <v>270</v>
      </c>
      <c r="CS17" s="731">
        <v>0</v>
      </c>
      <c r="CT17" s="731">
        <v>3530314</v>
      </c>
      <c r="CU17" s="731">
        <v>560074</v>
      </c>
      <c r="CV17" s="730">
        <f t="shared" si="28"/>
        <v>0</v>
      </c>
      <c r="CW17" s="730">
        <f t="shared" si="29"/>
        <v>3530.3139999999999</v>
      </c>
      <c r="CX17" s="730">
        <f t="shared" si="30"/>
        <v>560.07399999999996</v>
      </c>
      <c r="CZ17" s="688" t="s">
        <v>795</v>
      </c>
      <c r="DA17" s="689" t="s">
        <v>796</v>
      </c>
      <c r="DB17" s="688" t="s">
        <v>426</v>
      </c>
      <c r="DC17" s="689" t="s">
        <v>426</v>
      </c>
      <c r="DD17" s="690">
        <v>241000000</v>
      </c>
      <c r="DE17" s="737">
        <f t="shared" si="31"/>
        <v>241000</v>
      </c>
      <c r="DH17" s="731" t="s">
        <v>423</v>
      </c>
      <c r="DI17" s="731" t="s">
        <v>853</v>
      </c>
      <c r="DJ17" s="731" t="s">
        <v>447</v>
      </c>
      <c r="DK17" s="731" t="s">
        <v>270</v>
      </c>
      <c r="DL17" s="1028">
        <v>0</v>
      </c>
      <c r="DM17" s="1028">
        <v>3463048</v>
      </c>
      <c r="DN17" s="1028">
        <v>10330003</v>
      </c>
      <c r="DO17" s="1028">
        <f t="shared" si="32"/>
        <v>0</v>
      </c>
      <c r="DP17" s="1028">
        <f t="shared" si="33"/>
        <v>3463.0479999999998</v>
      </c>
      <c r="DQ17" s="1028">
        <f t="shared" si="34"/>
        <v>10330.003000000001</v>
      </c>
      <c r="EC17" s="731" t="s">
        <v>423</v>
      </c>
      <c r="ED17" s="731" t="s">
        <v>853</v>
      </c>
      <c r="EE17" s="668" t="s">
        <v>425</v>
      </c>
      <c r="EF17" s="731" t="s">
        <v>311</v>
      </c>
      <c r="EG17" s="737">
        <v>0</v>
      </c>
      <c r="EH17" s="737">
        <v>300000</v>
      </c>
      <c r="EI17" s="737">
        <v>57460</v>
      </c>
      <c r="EJ17" s="737">
        <f t="shared" si="36"/>
        <v>0</v>
      </c>
      <c r="EK17" s="737">
        <f t="shared" si="37"/>
        <v>300</v>
      </c>
      <c r="EL17" s="737">
        <f t="shared" si="38"/>
        <v>57.46</v>
      </c>
    </row>
    <row r="18" spans="1:142" x14ac:dyDescent="0.25">
      <c r="A18" s="668" t="s">
        <v>1026</v>
      </c>
      <c r="B18" s="668" t="s">
        <v>1027</v>
      </c>
      <c r="C18" s="668" t="s">
        <v>426</v>
      </c>
      <c r="D18" s="668" t="s">
        <v>426</v>
      </c>
      <c r="E18" s="687">
        <v>0</v>
      </c>
      <c r="F18" s="687">
        <v>0</v>
      </c>
      <c r="G18" s="687">
        <v>0</v>
      </c>
      <c r="H18" s="730">
        <f t="shared" si="8"/>
        <v>0</v>
      </c>
      <c r="I18" s="730">
        <f t="shared" si="9"/>
        <v>0</v>
      </c>
      <c r="J18" s="730">
        <f t="shared" si="10"/>
        <v>0</v>
      </c>
      <c r="S18" s="731" t="s">
        <v>423</v>
      </c>
      <c r="T18" s="731" t="s">
        <v>853</v>
      </c>
      <c r="U18" s="731" t="s">
        <v>426</v>
      </c>
      <c r="V18" s="731" t="s">
        <v>426</v>
      </c>
      <c r="W18" s="730">
        <v>0</v>
      </c>
      <c r="X18" s="730">
        <v>0</v>
      </c>
      <c r="Y18" s="730">
        <v>0</v>
      </c>
      <c r="Z18" s="730">
        <f t="shared" si="12"/>
        <v>0</v>
      </c>
      <c r="AA18" s="730">
        <f t="shared" si="13"/>
        <v>0</v>
      </c>
      <c r="AB18" s="730">
        <f t="shared" si="14"/>
        <v>0</v>
      </c>
      <c r="AC18" s="730"/>
      <c r="AL18" s="731" t="s">
        <v>423</v>
      </c>
      <c r="AM18" s="731" t="s">
        <v>853</v>
      </c>
      <c r="AN18" s="731" t="s">
        <v>447</v>
      </c>
      <c r="AO18" s="731" t="s">
        <v>270</v>
      </c>
      <c r="AP18" s="730">
        <v>0</v>
      </c>
      <c r="AQ18" s="730">
        <v>560074</v>
      </c>
      <c r="AR18" s="730">
        <v>560074</v>
      </c>
      <c r="AS18" s="730">
        <f t="shared" si="16"/>
        <v>0</v>
      </c>
      <c r="AT18" s="730">
        <f t="shared" si="17"/>
        <v>560.07399999999996</v>
      </c>
      <c r="AU18" s="730">
        <f t="shared" si="18"/>
        <v>560.07399999999996</v>
      </c>
      <c r="BE18" s="688" t="s">
        <v>423</v>
      </c>
      <c r="BF18" s="689" t="s">
        <v>853</v>
      </c>
      <c r="BG18" s="688" t="s">
        <v>425</v>
      </c>
      <c r="BH18" s="689" t="s">
        <v>311</v>
      </c>
      <c r="BI18" s="690">
        <v>0</v>
      </c>
      <c r="BJ18" s="690">
        <v>25651</v>
      </c>
      <c r="BK18" s="690">
        <v>300000</v>
      </c>
      <c r="BL18" s="687">
        <f t="shared" si="20"/>
        <v>0</v>
      </c>
      <c r="BM18" s="690">
        <f t="shared" si="21"/>
        <v>25.651</v>
      </c>
      <c r="BN18" s="690">
        <f t="shared" si="22"/>
        <v>300</v>
      </c>
      <c r="BW18" s="668" t="s">
        <v>423</v>
      </c>
      <c r="BX18" s="729" t="s">
        <v>853</v>
      </c>
      <c r="BY18" s="668" t="s">
        <v>424</v>
      </c>
      <c r="BZ18" s="729" t="s">
        <v>268</v>
      </c>
      <c r="CA18" s="730">
        <v>0</v>
      </c>
      <c r="CB18" s="730">
        <v>26075017</v>
      </c>
      <c r="CC18" s="730">
        <v>10824180</v>
      </c>
      <c r="CD18" s="730">
        <f t="shared" si="24"/>
        <v>0</v>
      </c>
      <c r="CE18" s="730">
        <f t="shared" si="25"/>
        <v>26075.017</v>
      </c>
      <c r="CF18" s="730">
        <f t="shared" si="26"/>
        <v>10824.18</v>
      </c>
      <c r="CO18" s="731" t="s">
        <v>423</v>
      </c>
      <c r="CP18" s="731" t="s">
        <v>853</v>
      </c>
      <c r="CQ18" s="668" t="s">
        <v>426</v>
      </c>
      <c r="CR18" s="731" t="s">
        <v>426</v>
      </c>
      <c r="CS18" s="731">
        <v>0</v>
      </c>
      <c r="CT18" s="731">
        <v>0</v>
      </c>
      <c r="CU18" s="731">
        <v>0</v>
      </c>
      <c r="CV18" s="730">
        <f t="shared" si="28"/>
        <v>0</v>
      </c>
      <c r="CW18" s="730">
        <f t="shared" si="29"/>
        <v>0</v>
      </c>
      <c r="CX18" s="730">
        <f t="shared" si="30"/>
        <v>0</v>
      </c>
      <c r="CZ18" s="688" t="s">
        <v>797</v>
      </c>
      <c r="DA18" s="689" t="s">
        <v>798</v>
      </c>
      <c r="DB18" s="688" t="s">
        <v>426</v>
      </c>
      <c r="DC18" s="689" t="s">
        <v>426</v>
      </c>
      <c r="DD18" s="690">
        <v>377302638</v>
      </c>
      <c r="DE18" s="737">
        <f t="shared" si="31"/>
        <v>377302.63799999998</v>
      </c>
      <c r="DH18" s="731" t="s">
        <v>423</v>
      </c>
      <c r="DI18" s="731" t="s">
        <v>853</v>
      </c>
      <c r="DJ18" s="731" t="s">
        <v>426</v>
      </c>
      <c r="DK18" s="731" t="s">
        <v>426</v>
      </c>
      <c r="DL18" s="1028">
        <v>0</v>
      </c>
      <c r="DM18" s="1028">
        <v>0</v>
      </c>
      <c r="DN18" s="1028">
        <v>0</v>
      </c>
      <c r="DO18" s="1028">
        <f t="shared" si="32"/>
        <v>0</v>
      </c>
      <c r="DP18" s="1028">
        <f t="shared" si="33"/>
        <v>0</v>
      </c>
      <c r="DQ18" s="1028">
        <f t="shared" si="34"/>
        <v>0</v>
      </c>
      <c r="EC18" s="731" t="s">
        <v>423</v>
      </c>
      <c r="ED18" s="731" t="s">
        <v>853</v>
      </c>
      <c r="EE18" s="668" t="s">
        <v>447</v>
      </c>
      <c r="EF18" s="731" t="s">
        <v>270</v>
      </c>
      <c r="EG18" s="737">
        <v>0</v>
      </c>
      <c r="EH18" s="737">
        <v>13463371</v>
      </c>
      <c r="EI18" s="737">
        <v>7958062</v>
      </c>
      <c r="EJ18" s="737">
        <f t="shared" si="36"/>
        <v>0</v>
      </c>
      <c r="EK18" s="737">
        <f t="shared" si="37"/>
        <v>13463.370999999999</v>
      </c>
      <c r="EL18" s="737">
        <f t="shared" si="38"/>
        <v>7958.0619999999999</v>
      </c>
    </row>
    <row r="19" spans="1:142" x14ac:dyDescent="0.25">
      <c r="A19" s="668" t="s">
        <v>1026</v>
      </c>
      <c r="B19" s="668" t="s">
        <v>1027</v>
      </c>
      <c r="C19" s="668" t="s">
        <v>426</v>
      </c>
      <c r="D19" s="668" t="s">
        <v>426</v>
      </c>
      <c r="E19" s="687">
        <v>0</v>
      </c>
      <c r="F19" s="687">
        <v>0</v>
      </c>
      <c r="G19" s="687">
        <v>0</v>
      </c>
      <c r="H19" s="730">
        <f t="shared" si="8"/>
        <v>0</v>
      </c>
      <c r="I19" s="730">
        <f t="shared" si="9"/>
        <v>0</v>
      </c>
      <c r="J19" s="730">
        <f t="shared" si="10"/>
        <v>0</v>
      </c>
      <c r="S19" s="731" t="s">
        <v>1026</v>
      </c>
      <c r="T19" s="731" t="s">
        <v>1027</v>
      </c>
      <c r="U19" s="731" t="s">
        <v>1028</v>
      </c>
      <c r="V19" s="731" t="s">
        <v>1029</v>
      </c>
      <c r="W19" s="730">
        <v>468000000</v>
      </c>
      <c r="X19" s="730">
        <v>0</v>
      </c>
      <c r="Y19" s="730">
        <v>0</v>
      </c>
      <c r="Z19" s="730">
        <f t="shared" si="12"/>
        <v>468000</v>
      </c>
      <c r="AA19" s="730">
        <f t="shared" si="13"/>
        <v>0</v>
      </c>
      <c r="AB19" s="730">
        <f t="shared" si="14"/>
        <v>0</v>
      </c>
      <c r="AC19" s="730"/>
      <c r="AL19" s="731" t="s">
        <v>423</v>
      </c>
      <c r="AM19" s="731" t="s">
        <v>853</v>
      </c>
      <c r="AN19" s="731" t="s">
        <v>425</v>
      </c>
      <c r="AO19" s="731" t="s">
        <v>311</v>
      </c>
      <c r="AP19" s="730">
        <v>0</v>
      </c>
      <c r="AQ19" s="730">
        <v>25651</v>
      </c>
      <c r="AR19" s="730">
        <v>300000</v>
      </c>
      <c r="AS19" s="730">
        <f t="shared" si="16"/>
        <v>0</v>
      </c>
      <c r="AT19" s="730">
        <f t="shared" si="17"/>
        <v>25.651</v>
      </c>
      <c r="AU19" s="730">
        <f t="shared" si="18"/>
        <v>300</v>
      </c>
      <c r="BE19" s="688" t="s">
        <v>423</v>
      </c>
      <c r="BF19" s="689" t="s">
        <v>853</v>
      </c>
      <c r="BG19" s="688" t="s">
        <v>426</v>
      </c>
      <c r="BH19" s="689" t="s">
        <v>426</v>
      </c>
      <c r="BI19" s="690">
        <v>0</v>
      </c>
      <c r="BJ19" s="690">
        <v>0</v>
      </c>
      <c r="BK19" s="690">
        <v>0</v>
      </c>
      <c r="BL19" s="687">
        <f t="shared" si="20"/>
        <v>0</v>
      </c>
      <c r="BM19" s="690">
        <f t="shared" si="21"/>
        <v>0</v>
      </c>
      <c r="BN19" s="690">
        <f t="shared" si="22"/>
        <v>0</v>
      </c>
      <c r="BW19" s="668" t="s">
        <v>423</v>
      </c>
      <c r="BX19" s="729" t="s">
        <v>853</v>
      </c>
      <c r="BY19" s="668" t="s">
        <v>450</v>
      </c>
      <c r="BZ19" s="729" t="s">
        <v>267</v>
      </c>
      <c r="CA19" s="730">
        <v>0</v>
      </c>
      <c r="CB19" s="730">
        <v>157900000</v>
      </c>
      <c r="CC19" s="730">
        <v>157900000</v>
      </c>
      <c r="CD19" s="730">
        <f t="shared" si="24"/>
        <v>0</v>
      </c>
      <c r="CE19" s="730">
        <f t="shared" si="25"/>
        <v>157900</v>
      </c>
      <c r="CF19" s="730">
        <f t="shared" si="26"/>
        <v>157900</v>
      </c>
      <c r="CO19" s="731" t="s">
        <v>423</v>
      </c>
      <c r="CP19" s="731" t="s">
        <v>853</v>
      </c>
      <c r="CQ19" s="668" t="s">
        <v>424</v>
      </c>
      <c r="CR19" s="731" t="s">
        <v>268</v>
      </c>
      <c r="CS19" s="731">
        <v>0</v>
      </c>
      <c r="CT19" s="731">
        <v>191430112</v>
      </c>
      <c r="CU19" s="731">
        <v>94335826</v>
      </c>
      <c r="CV19" s="730">
        <f t="shared" si="28"/>
        <v>0</v>
      </c>
      <c r="CW19" s="730">
        <f t="shared" si="29"/>
        <v>191430.11199999999</v>
      </c>
      <c r="CX19" s="730">
        <f t="shared" si="30"/>
        <v>94335.826000000001</v>
      </c>
      <c r="CZ19" s="688" t="s">
        <v>799</v>
      </c>
      <c r="DA19" s="689" t="s">
        <v>800</v>
      </c>
      <c r="DB19" s="688" t="s">
        <v>426</v>
      </c>
      <c r="DC19" s="689" t="s">
        <v>426</v>
      </c>
      <c r="DD19" s="690">
        <v>12566433281</v>
      </c>
      <c r="DE19" s="737">
        <f t="shared" si="31"/>
        <v>12566433.280999999</v>
      </c>
      <c r="DH19" s="731" t="s">
        <v>423</v>
      </c>
      <c r="DI19" s="731" t="s">
        <v>853</v>
      </c>
      <c r="DJ19" s="731" t="s">
        <v>424</v>
      </c>
      <c r="DK19" s="731" t="s">
        <v>268</v>
      </c>
      <c r="DL19" s="1028">
        <v>0</v>
      </c>
      <c r="DM19" s="1028">
        <v>15181562</v>
      </c>
      <c r="DN19" s="1028">
        <v>26075017</v>
      </c>
      <c r="DO19" s="1028">
        <f t="shared" si="32"/>
        <v>0</v>
      </c>
      <c r="DP19" s="1028">
        <f t="shared" si="33"/>
        <v>15181.562</v>
      </c>
      <c r="DQ19" s="1028">
        <f t="shared" si="34"/>
        <v>26075.017</v>
      </c>
      <c r="EC19" s="731" t="s">
        <v>423</v>
      </c>
      <c r="ED19" s="731" t="s">
        <v>853</v>
      </c>
      <c r="EE19" s="668" t="s">
        <v>448</v>
      </c>
      <c r="EF19" s="731" t="s">
        <v>449</v>
      </c>
      <c r="EG19" s="737">
        <v>0</v>
      </c>
      <c r="EH19" s="737">
        <v>219666367</v>
      </c>
      <c r="EI19" s="737">
        <v>69802535</v>
      </c>
      <c r="EJ19" s="737">
        <f t="shared" si="36"/>
        <v>0</v>
      </c>
      <c r="EK19" s="737">
        <f t="shared" si="37"/>
        <v>219666.367</v>
      </c>
      <c r="EL19" s="737">
        <f t="shared" si="38"/>
        <v>69802.535000000003</v>
      </c>
    </row>
    <row r="20" spans="1:142" x14ac:dyDescent="0.25">
      <c r="A20" s="668" t="s">
        <v>1026</v>
      </c>
      <c r="B20" s="668" t="s">
        <v>1027</v>
      </c>
      <c r="C20" s="668" t="s">
        <v>1028</v>
      </c>
      <c r="D20" s="668" t="s">
        <v>1029</v>
      </c>
      <c r="E20" s="687">
        <v>0</v>
      </c>
      <c r="F20" s="687">
        <v>238000000</v>
      </c>
      <c r="G20" s="687">
        <v>36000000</v>
      </c>
      <c r="H20" s="730">
        <f t="shared" si="8"/>
        <v>0</v>
      </c>
      <c r="I20" s="730">
        <f t="shared" si="9"/>
        <v>238000</v>
      </c>
      <c r="J20" s="730">
        <f t="shared" si="10"/>
        <v>36000</v>
      </c>
      <c r="S20" s="731" t="s">
        <v>1026</v>
      </c>
      <c r="T20" s="731" t="s">
        <v>1027</v>
      </c>
      <c r="U20" s="731" t="s">
        <v>1050</v>
      </c>
      <c r="V20" s="731" t="s">
        <v>1051</v>
      </c>
      <c r="W20" s="730">
        <v>3602000</v>
      </c>
      <c r="X20" s="730">
        <v>0</v>
      </c>
      <c r="Y20" s="730">
        <v>0</v>
      </c>
      <c r="Z20" s="730">
        <f t="shared" si="12"/>
        <v>3602</v>
      </c>
      <c r="AA20" s="730">
        <f t="shared" si="13"/>
        <v>0</v>
      </c>
      <c r="AB20" s="730">
        <f t="shared" si="14"/>
        <v>0</v>
      </c>
      <c r="AC20" s="730"/>
      <c r="AL20" s="731" t="s">
        <v>1026</v>
      </c>
      <c r="AM20" s="731" t="s">
        <v>1027</v>
      </c>
      <c r="AN20" s="731" t="s">
        <v>1028</v>
      </c>
      <c r="AO20" s="731" t="s">
        <v>1029</v>
      </c>
      <c r="AP20" s="730">
        <v>468000000</v>
      </c>
      <c r="AQ20" s="730">
        <v>0</v>
      </c>
      <c r="AR20" s="730">
        <v>0</v>
      </c>
      <c r="AS20" s="730">
        <f t="shared" si="16"/>
        <v>468000</v>
      </c>
      <c r="AT20" s="730">
        <f t="shared" si="17"/>
        <v>0</v>
      </c>
      <c r="AU20" s="730">
        <f t="shared" si="18"/>
        <v>0</v>
      </c>
      <c r="BE20" s="688" t="s">
        <v>423</v>
      </c>
      <c r="BF20" s="689" t="s">
        <v>853</v>
      </c>
      <c r="BG20" s="688" t="s">
        <v>424</v>
      </c>
      <c r="BH20" s="689" t="s">
        <v>268</v>
      </c>
      <c r="BI20" s="690">
        <v>0</v>
      </c>
      <c r="BJ20" s="690">
        <v>8659344</v>
      </c>
      <c r="BK20" s="690">
        <v>25978032</v>
      </c>
      <c r="BL20" s="687">
        <f t="shared" si="20"/>
        <v>0</v>
      </c>
      <c r="BM20" s="690">
        <f t="shared" si="21"/>
        <v>8659.3439999999991</v>
      </c>
      <c r="BN20" s="690">
        <f t="shared" si="22"/>
        <v>25978.031999999999</v>
      </c>
      <c r="BW20" s="668" t="s">
        <v>423</v>
      </c>
      <c r="BX20" s="729" t="s">
        <v>853</v>
      </c>
      <c r="BY20" s="668" t="s">
        <v>426</v>
      </c>
      <c r="BZ20" s="729" t="s">
        <v>426</v>
      </c>
      <c r="CA20" s="730">
        <v>0</v>
      </c>
      <c r="CB20" s="730">
        <v>0</v>
      </c>
      <c r="CC20" s="730">
        <v>0</v>
      </c>
      <c r="CD20" s="730">
        <f t="shared" si="24"/>
        <v>0</v>
      </c>
      <c r="CE20" s="730">
        <f t="shared" si="25"/>
        <v>0</v>
      </c>
      <c r="CF20" s="730">
        <f t="shared" si="26"/>
        <v>0</v>
      </c>
      <c r="CO20" s="731" t="s">
        <v>423</v>
      </c>
      <c r="CP20" s="731" t="s">
        <v>853</v>
      </c>
      <c r="CQ20" s="668" t="s">
        <v>450</v>
      </c>
      <c r="CR20" s="731" t="s">
        <v>267</v>
      </c>
      <c r="CS20" s="731">
        <v>0</v>
      </c>
      <c r="CT20" s="731">
        <v>890504150</v>
      </c>
      <c r="CU20" s="731">
        <v>862504150</v>
      </c>
      <c r="CV20" s="730">
        <f t="shared" si="28"/>
        <v>0</v>
      </c>
      <c r="CW20" s="730">
        <f t="shared" si="29"/>
        <v>890504.15</v>
      </c>
      <c r="CX20" s="730">
        <f t="shared" si="30"/>
        <v>862504.15</v>
      </c>
      <c r="CZ20" s="688" t="s">
        <v>427</v>
      </c>
      <c r="DA20" s="689" t="s">
        <v>445</v>
      </c>
      <c r="DB20" s="688" t="s">
        <v>426</v>
      </c>
      <c r="DC20" s="689" t="s">
        <v>426</v>
      </c>
      <c r="DD20" s="690">
        <v>17361590000</v>
      </c>
      <c r="DE20" s="737">
        <f t="shared" si="31"/>
        <v>17361590</v>
      </c>
      <c r="DH20" s="731" t="s">
        <v>423</v>
      </c>
      <c r="DI20" s="731" t="s">
        <v>853</v>
      </c>
      <c r="DJ20" s="731" t="s">
        <v>450</v>
      </c>
      <c r="DK20" s="731" t="s">
        <v>267</v>
      </c>
      <c r="DL20" s="1028">
        <v>0</v>
      </c>
      <c r="DM20" s="1028">
        <v>940504150</v>
      </c>
      <c r="DN20" s="1028">
        <v>968504150</v>
      </c>
      <c r="DO20" s="1028">
        <f t="shared" si="32"/>
        <v>0</v>
      </c>
      <c r="DP20" s="1028">
        <f t="shared" si="33"/>
        <v>940504.15</v>
      </c>
      <c r="DQ20" s="1028">
        <f t="shared" si="34"/>
        <v>968504.15</v>
      </c>
      <c r="EC20" s="731" t="s">
        <v>423</v>
      </c>
      <c r="ED20" s="731" t="s">
        <v>853</v>
      </c>
      <c r="EE20" s="668" t="s">
        <v>426</v>
      </c>
      <c r="EF20" s="731" t="s">
        <v>426</v>
      </c>
      <c r="EG20" s="737">
        <v>0</v>
      </c>
      <c r="EH20" s="737">
        <v>0</v>
      </c>
      <c r="EI20" s="737">
        <v>0</v>
      </c>
      <c r="EJ20" s="737">
        <f t="shared" si="36"/>
        <v>0</v>
      </c>
      <c r="EK20" s="737">
        <f t="shared" si="37"/>
        <v>0</v>
      </c>
      <c r="EL20" s="737">
        <f t="shared" si="38"/>
        <v>0</v>
      </c>
    </row>
    <row r="21" spans="1:142" x14ac:dyDescent="0.25">
      <c r="A21" s="668" t="s">
        <v>1017</v>
      </c>
      <c r="B21" s="668" t="s">
        <v>846</v>
      </c>
      <c r="C21" s="668" t="s">
        <v>426</v>
      </c>
      <c r="D21" s="668" t="s">
        <v>426</v>
      </c>
      <c r="E21" s="687">
        <v>1</v>
      </c>
      <c r="F21" s="687">
        <v>0</v>
      </c>
      <c r="G21" s="687">
        <v>0</v>
      </c>
      <c r="H21" s="730">
        <f t="shared" si="8"/>
        <v>1E-3</v>
      </c>
      <c r="I21" s="730">
        <f t="shared" si="9"/>
        <v>0</v>
      </c>
      <c r="J21" s="730">
        <f t="shared" si="10"/>
        <v>0</v>
      </c>
      <c r="S21" s="731" t="s">
        <v>1026</v>
      </c>
      <c r="T21" s="731" t="s">
        <v>1027</v>
      </c>
      <c r="U21" s="731" t="s">
        <v>426</v>
      </c>
      <c r="V21" s="731" t="s">
        <v>426</v>
      </c>
      <c r="W21" s="730">
        <v>0</v>
      </c>
      <c r="X21" s="730">
        <v>0</v>
      </c>
      <c r="Y21" s="730">
        <v>0</v>
      </c>
      <c r="Z21" s="730">
        <f t="shared" si="12"/>
        <v>0</v>
      </c>
      <c r="AA21" s="730">
        <f t="shared" si="13"/>
        <v>0</v>
      </c>
      <c r="AB21" s="730">
        <f t="shared" si="14"/>
        <v>0</v>
      </c>
      <c r="AC21" s="730"/>
      <c r="AL21" s="731" t="s">
        <v>1026</v>
      </c>
      <c r="AM21" s="731" t="s">
        <v>1027</v>
      </c>
      <c r="AN21" s="731" t="s">
        <v>1050</v>
      </c>
      <c r="AO21" s="731" t="s">
        <v>1051</v>
      </c>
      <c r="AP21" s="730">
        <v>3602000</v>
      </c>
      <c r="AQ21" s="730">
        <v>0</v>
      </c>
      <c r="AR21" s="730">
        <v>0</v>
      </c>
      <c r="AS21" s="730">
        <f t="shared" si="16"/>
        <v>3602</v>
      </c>
      <c r="AT21" s="730">
        <f t="shared" si="17"/>
        <v>0</v>
      </c>
      <c r="AU21" s="730">
        <f t="shared" si="18"/>
        <v>0</v>
      </c>
      <c r="BE21" s="688" t="s">
        <v>423</v>
      </c>
      <c r="BF21" s="689" t="s">
        <v>853</v>
      </c>
      <c r="BG21" s="688" t="s">
        <v>424</v>
      </c>
      <c r="BH21" s="689" t="s">
        <v>268</v>
      </c>
      <c r="BI21" s="690">
        <v>0</v>
      </c>
      <c r="BJ21" s="690">
        <v>62019876</v>
      </c>
      <c r="BK21" s="690">
        <v>191088428</v>
      </c>
      <c r="BL21" s="687">
        <f t="shared" si="20"/>
        <v>0</v>
      </c>
      <c r="BM21" s="690">
        <f t="shared" si="21"/>
        <v>62019.875999999997</v>
      </c>
      <c r="BN21" s="690">
        <f t="shared" si="22"/>
        <v>191088.42800000001</v>
      </c>
      <c r="BW21" s="668" t="s">
        <v>423</v>
      </c>
      <c r="BX21" s="729" t="s">
        <v>853</v>
      </c>
      <c r="BY21" s="668" t="s">
        <v>426</v>
      </c>
      <c r="BZ21" s="729" t="s">
        <v>426</v>
      </c>
      <c r="CA21" s="730">
        <v>0</v>
      </c>
      <c r="CB21" s="730">
        <v>0</v>
      </c>
      <c r="CC21" s="730">
        <v>0</v>
      </c>
      <c r="CD21" s="730">
        <f t="shared" si="24"/>
        <v>0</v>
      </c>
      <c r="CE21" s="730">
        <f t="shared" si="25"/>
        <v>0</v>
      </c>
      <c r="CF21" s="730">
        <f t="shared" si="26"/>
        <v>0</v>
      </c>
      <c r="CO21" s="731" t="s">
        <v>423</v>
      </c>
      <c r="CP21" s="731" t="s">
        <v>853</v>
      </c>
      <c r="CQ21" s="668" t="s">
        <v>424</v>
      </c>
      <c r="CR21" s="731" t="s">
        <v>268</v>
      </c>
      <c r="CS21" s="731">
        <v>0</v>
      </c>
      <c r="CT21" s="731">
        <v>26075017</v>
      </c>
      <c r="CU21" s="731">
        <v>13002871</v>
      </c>
      <c r="CV21" s="730">
        <f t="shared" si="28"/>
        <v>0</v>
      </c>
      <c r="CW21" s="730">
        <f t="shared" si="29"/>
        <v>26075.017</v>
      </c>
      <c r="CX21" s="730">
        <f t="shared" si="30"/>
        <v>13002.870999999999</v>
      </c>
      <c r="CZ21" s="688" t="s">
        <v>430</v>
      </c>
      <c r="DA21" s="689" t="s">
        <v>1030</v>
      </c>
      <c r="DB21" s="688" t="s">
        <v>426</v>
      </c>
      <c r="DC21" s="689" t="s">
        <v>426</v>
      </c>
      <c r="DD21" s="690">
        <v>517726596</v>
      </c>
      <c r="DE21" s="737">
        <f t="shared" si="31"/>
        <v>517726.59600000002</v>
      </c>
      <c r="DH21" s="731" t="s">
        <v>423</v>
      </c>
      <c r="DI21" s="731" t="s">
        <v>853</v>
      </c>
      <c r="DJ21" s="731" t="s">
        <v>426</v>
      </c>
      <c r="DK21" s="731" t="s">
        <v>426</v>
      </c>
      <c r="DL21" s="1028">
        <v>0</v>
      </c>
      <c r="DM21" s="1028">
        <v>0</v>
      </c>
      <c r="DN21" s="1028">
        <v>0</v>
      </c>
      <c r="DO21" s="1028">
        <f t="shared" si="32"/>
        <v>0</v>
      </c>
      <c r="DP21" s="1028">
        <f t="shared" si="33"/>
        <v>0</v>
      </c>
      <c r="DQ21" s="1028">
        <f t="shared" si="34"/>
        <v>0</v>
      </c>
      <c r="EC21" s="731" t="s">
        <v>423</v>
      </c>
      <c r="ED21" s="731" t="s">
        <v>853</v>
      </c>
      <c r="EE21" s="668" t="s">
        <v>425</v>
      </c>
      <c r="EF21" s="731" t="s">
        <v>311</v>
      </c>
      <c r="EG21" s="737">
        <v>0</v>
      </c>
      <c r="EH21" s="737">
        <v>2413664</v>
      </c>
      <c r="EI21" s="737">
        <v>1561420</v>
      </c>
      <c r="EJ21" s="737">
        <f t="shared" si="36"/>
        <v>0</v>
      </c>
      <c r="EK21" s="737">
        <f t="shared" si="37"/>
        <v>2413.6640000000002</v>
      </c>
      <c r="EL21" s="737">
        <f t="shared" si="38"/>
        <v>1561.42</v>
      </c>
    </row>
    <row r="22" spans="1:142" x14ac:dyDescent="0.25">
      <c r="A22" s="668" t="s">
        <v>884</v>
      </c>
      <c r="B22" s="668" t="s">
        <v>885</v>
      </c>
      <c r="C22" s="668" t="s">
        <v>426</v>
      </c>
      <c r="D22" s="668" t="s">
        <v>426</v>
      </c>
      <c r="E22" s="687">
        <v>1</v>
      </c>
      <c r="F22" s="687">
        <v>0</v>
      </c>
      <c r="G22" s="687">
        <v>0</v>
      </c>
      <c r="H22" s="730">
        <f t="shared" si="8"/>
        <v>1E-3</v>
      </c>
      <c r="I22" s="730">
        <f t="shared" si="9"/>
        <v>0</v>
      </c>
      <c r="J22" s="730">
        <f t="shared" si="10"/>
        <v>0</v>
      </c>
      <c r="S22" s="731" t="s">
        <v>1026</v>
      </c>
      <c r="T22" s="731" t="s">
        <v>1027</v>
      </c>
      <c r="U22" s="731" t="s">
        <v>426</v>
      </c>
      <c r="V22" s="731" t="s">
        <v>426</v>
      </c>
      <c r="W22" s="730">
        <v>0</v>
      </c>
      <c r="X22" s="730">
        <v>0</v>
      </c>
      <c r="Y22" s="730">
        <v>0</v>
      </c>
      <c r="Z22" s="730">
        <f t="shared" si="12"/>
        <v>0</v>
      </c>
      <c r="AA22" s="730">
        <f t="shared" si="13"/>
        <v>0</v>
      </c>
      <c r="AB22" s="730">
        <f t="shared" si="14"/>
        <v>0</v>
      </c>
      <c r="AC22" s="730"/>
      <c r="AL22" s="731" t="s">
        <v>1026</v>
      </c>
      <c r="AM22" s="731" t="s">
        <v>1027</v>
      </c>
      <c r="AN22" s="731" t="s">
        <v>1050</v>
      </c>
      <c r="AO22" s="731" t="s">
        <v>1051</v>
      </c>
      <c r="AP22" s="730">
        <v>0</v>
      </c>
      <c r="AQ22" s="730">
        <v>31607</v>
      </c>
      <c r="AR22" s="730">
        <v>300000</v>
      </c>
      <c r="AS22" s="730">
        <f t="shared" si="16"/>
        <v>0</v>
      </c>
      <c r="AT22" s="730">
        <f t="shared" si="17"/>
        <v>31.606999999999999</v>
      </c>
      <c r="AU22" s="730">
        <f t="shared" si="18"/>
        <v>300</v>
      </c>
      <c r="BC22" s="737"/>
      <c r="BE22" s="688" t="s">
        <v>423</v>
      </c>
      <c r="BF22" s="689" t="s">
        <v>853</v>
      </c>
      <c r="BG22" s="688" t="s">
        <v>450</v>
      </c>
      <c r="BH22" s="689" t="s">
        <v>267</v>
      </c>
      <c r="BI22" s="690">
        <v>0</v>
      </c>
      <c r="BJ22" s="690">
        <v>27100000</v>
      </c>
      <c r="BK22" s="690">
        <v>113200000</v>
      </c>
      <c r="BL22" s="687">
        <f t="shared" si="20"/>
        <v>0</v>
      </c>
      <c r="BM22" s="690">
        <f t="shared" si="21"/>
        <v>27100</v>
      </c>
      <c r="BN22" s="690">
        <f t="shared" si="22"/>
        <v>113200</v>
      </c>
      <c r="BW22" s="668" t="s">
        <v>423</v>
      </c>
      <c r="BX22" s="729" t="s">
        <v>853</v>
      </c>
      <c r="BY22" s="668" t="s">
        <v>425</v>
      </c>
      <c r="BZ22" s="729" t="s">
        <v>311</v>
      </c>
      <c r="CA22" s="730">
        <v>0</v>
      </c>
      <c r="CB22" s="730">
        <v>300000</v>
      </c>
      <c r="CC22" s="730">
        <v>25651</v>
      </c>
      <c r="CD22" s="730">
        <f t="shared" si="24"/>
        <v>0</v>
      </c>
      <c r="CE22" s="730">
        <f t="shared" si="25"/>
        <v>300</v>
      </c>
      <c r="CF22" s="730">
        <f t="shared" si="26"/>
        <v>25.651</v>
      </c>
      <c r="CO22" s="731" t="s">
        <v>423</v>
      </c>
      <c r="CP22" s="731" t="s">
        <v>853</v>
      </c>
      <c r="CQ22" s="668" t="s">
        <v>448</v>
      </c>
      <c r="CR22" s="731" t="s">
        <v>449</v>
      </c>
      <c r="CS22" s="731">
        <v>0</v>
      </c>
      <c r="CT22" s="731">
        <v>69802535</v>
      </c>
      <c r="CU22" s="731">
        <v>69802535</v>
      </c>
      <c r="CV22" s="730">
        <f t="shared" si="28"/>
        <v>0</v>
      </c>
      <c r="CW22" s="730">
        <f t="shared" si="29"/>
        <v>69802.535000000003</v>
      </c>
      <c r="CX22" s="730">
        <f t="shared" si="30"/>
        <v>69802.535000000003</v>
      </c>
      <c r="DE22" s="737"/>
      <c r="DH22" s="731" t="s">
        <v>423</v>
      </c>
      <c r="DI22" s="731" t="s">
        <v>853</v>
      </c>
      <c r="DJ22" s="731" t="s">
        <v>448</v>
      </c>
      <c r="DK22" s="731" t="s">
        <v>449</v>
      </c>
      <c r="DL22" s="1028">
        <v>0</v>
      </c>
      <c r="DM22" s="1028">
        <v>69802535</v>
      </c>
      <c r="DN22" s="1028">
        <v>139302535</v>
      </c>
      <c r="DO22" s="1028">
        <f t="shared" si="32"/>
        <v>0</v>
      </c>
      <c r="DP22" s="1028">
        <f t="shared" si="33"/>
        <v>69802.535000000003</v>
      </c>
      <c r="DQ22" s="1028">
        <f t="shared" si="34"/>
        <v>139302.535</v>
      </c>
      <c r="EC22" s="731" t="s">
        <v>423</v>
      </c>
      <c r="ED22" s="731" t="s">
        <v>853</v>
      </c>
      <c r="EE22" s="668" t="s">
        <v>450</v>
      </c>
      <c r="EF22" s="731" t="s">
        <v>267</v>
      </c>
      <c r="EG22" s="737">
        <v>0</v>
      </c>
      <c r="EH22" s="737">
        <v>968504150</v>
      </c>
      <c r="EI22" s="737">
        <v>940504150</v>
      </c>
      <c r="EJ22" s="737">
        <f t="shared" si="36"/>
        <v>0</v>
      </c>
      <c r="EK22" s="737">
        <f t="shared" si="37"/>
        <v>968504.15</v>
      </c>
      <c r="EL22" s="737">
        <f t="shared" si="38"/>
        <v>940504.15</v>
      </c>
    </row>
    <row r="23" spans="1:142" x14ac:dyDescent="0.25">
      <c r="A23" s="668" t="s">
        <v>987</v>
      </c>
      <c r="B23" s="668" t="s">
        <v>855</v>
      </c>
      <c r="C23" s="668" t="s">
        <v>426</v>
      </c>
      <c r="D23" s="668" t="s">
        <v>426</v>
      </c>
      <c r="E23" s="687">
        <v>1</v>
      </c>
      <c r="F23" s="687">
        <v>0</v>
      </c>
      <c r="G23" s="687">
        <v>0</v>
      </c>
      <c r="H23" s="730">
        <f t="shared" si="8"/>
        <v>1E-3</v>
      </c>
      <c r="I23" s="730">
        <f t="shared" si="9"/>
        <v>0</v>
      </c>
      <c r="J23" s="730">
        <f t="shared" si="10"/>
        <v>0</v>
      </c>
      <c r="S23" s="731" t="s">
        <v>1026</v>
      </c>
      <c r="T23" s="731" t="s">
        <v>1027</v>
      </c>
      <c r="U23" s="731" t="s">
        <v>1028</v>
      </c>
      <c r="V23" s="731" t="s">
        <v>1029</v>
      </c>
      <c r="W23" s="730">
        <v>0</v>
      </c>
      <c r="X23" s="730">
        <v>72000000</v>
      </c>
      <c r="Y23" s="730">
        <v>238000000</v>
      </c>
      <c r="Z23" s="730">
        <f t="shared" si="12"/>
        <v>0</v>
      </c>
      <c r="AA23" s="730">
        <f t="shared" si="13"/>
        <v>72000</v>
      </c>
      <c r="AB23" s="730">
        <f t="shared" si="14"/>
        <v>238000</v>
      </c>
      <c r="AC23" s="730"/>
      <c r="AL23" s="731" t="s">
        <v>1026</v>
      </c>
      <c r="AM23" s="731" t="s">
        <v>1027</v>
      </c>
      <c r="AN23" s="731" t="s">
        <v>426</v>
      </c>
      <c r="AO23" s="731" t="s">
        <v>426</v>
      </c>
      <c r="AP23" s="730">
        <v>0</v>
      </c>
      <c r="AQ23" s="730">
        <v>0</v>
      </c>
      <c r="AR23" s="730">
        <v>0</v>
      </c>
      <c r="AS23" s="730">
        <f t="shared" si="16"/>
        <v>0</v>
      </c>
      <c r="AT23" s="730">
        <f t="shared" si="17"/>
        <v>0</v>
      </c>
      <c r="AU23" s="730">
        <f t="shared" si="18"/>
        <v>0</v>
      </c>
      <c r="BE23" s="688" t="s">
        <v>423</v>
      </c>
      <c r="BF23" s="689" t="s">
        <v>853</v>
      </c>
      <c r="BG23" s="688" t="s">
        <v>426</v>
      </c>
      <c r="BH23" s="689" t="s">
        <v>426</v>
      </c>
      <c r="BI23" s="690">
        <v>0</v>
      </c>
      <c r="BJ23" s="690">
        <v>0</v>
      </c>
      <c r="BK23" s="690">
        <v>0</v>
      </c>
      <c r="BL23" s="687">
        <f t="shared" si="20"/>
        <v>0</v>
      </c>
      <c r="BM23" s="690">
        <f t="shared" si="21"/>
        <v>0</v>
      </c>
      <c r="BN23" s="690">
        <f t="shared" si="22"/>
        <v>0</v>
      </c>
      <c r="BW23" s="668" t="s">
        <v>423</v>
      </c>
      <c r="BX23" s="729" t="s">
        <v>853</v>
      </c>
      <c r="BY23" s="668" t="s">
        <v>447</v>
      </c>
      <c r="BZ23" s="729" t="s">
        <v>270</v>
      </c>
      <c r="CA23" s="730">
        <v>0</v>
      </c>
      <c r="CB23" s="730">
        <v>560074</v>
      </c>
      <c r="CC23" s="730">
        <v>560074</v>
      </c>
      <c r="CD23" s="730">
        <f t="shared" si="24"/>
        <v>0</v>
      </c>
      <c r="CE23" s="730">
        <f t="shared" si="25"/>
        <v>560.07399999999996</v>
      </c>
      <c r="CF23" s="730">
        <f t="shared" si="26"/>
        <v>560.07399999999996</v>
      </c>
      <c r="CO23" s="731" t="s">
        <v>423</v>
      </c>
      <c r="CP23" s="731" t="s">
        <v>853</v>
      </c>
      <c r="CQ23" s="668" t="s">
        <v>425</v>
      </c>
      <c r="CR23" s="731" t="s">
        <v>311</v>
      </c>
      <c r="CS23" s="731">
        <v>0</v>
      </c>
      <c r="CT23" s="731">
        <v>300000</v>
      </c>
      <c r="CU23" s="731">
        <v>25651</v>
      </c>
      <c r="CV23" s="730">
        <f t="shared" si="28"/>
        <v>0</v>
      </c>
      <c r="CW23" s="730">
        <f t="shared" si="29"/>
        <v>300</v>
      </c>
      <c r="CX23" s="730">
        <f t="shared" si="30"/>
        <v>25.651</v>
      </c>
      <c r="DH23" s="731" t="s">
        <v>423</v>
      </c>
      <c r="DI23" s="731" t="s">
        <v>853</v>
      </c>
      <c r="DJ23" s="731" t="s">
        <v>424</v>
      </c>
      <c r="DK23" s="731" t="s">
        <v>268</v>
      </c>
      <c r="DL23" s="1028">
        <v>0</v>
      </c>
      <c r="DM23" s="1028">
        <v>110555207</v>
      </c>
      <c r="DN23" s="1028">
        <v>191467112</v>
      </c>
      <c r="DO23" s="1028">
        <f t="shared" si="32"/>
        <v>0</v>
      </c>
      <c r="DP23" s="1028">
        <f t="shared" si="33"/>
        <v>110555.20699999999</v>
      </c>
      <c r="DQ23" s="1028">
        <f t="shared" si="34"/>
        <v>191467.11199999999</v>
      </c>
      <c r="EC23" s="731" t="s">
        <v>423</v>
      </c>
      <c r="ED23" s="731" t="s">
        <v>853</v>
      </c>
      <c r="EE23" s="668" t="s">
        <v>424</v>
      </c>
      <c r="EF23" s="731" t="s">
        <v>268</v>
      </c>
      <c r="EG23" s="737">
        <v>0</v>
      </c>
      <c r="EH23" s="737">
        <v>26075017</v>
      </c>
      <c r="EI23" s="737">
        <v>17360253</v>
      </c>
      <c r="EJ23" s="737">
        <f t="shared" si="36"/>
        <v>0</v>
      </c>
      <c r="EK23" s="737">
        <f t="shared" si="37"/>
        <v>26075.017</v>
      </c>
      <c r="EL23" s="737">
        <f t="shared" si="38"/>
        <v>17360.253000000001</v>
      </c>
    </row>
    <row r="24" spans="1:142" x14ac:dyDescent="0.25">
      <c r="A24" s="668" t="s">
        <v>1018</v>
      </c>
      <c r="B24" s="668" t="s">
        <v>856</v>
      </c>
      <c r="C24" s="668" t="s">
        <v>426</v>
      </c>
      <c r="D24" s="668" t="s">
        <v>426</v>
      </c>
      <c r="E24" s="687">
        <v>1</v>
      </c>
      <c r="F24" s="687">
        <v>0</v>
      </c>
      <c r="G24" s="687">
        <v>0</v>
      </c>
      <c r="H24" s="730">
        <f t="shared" si="8"/>
        <v>1E-3</v>
      </c>
      <c r="I24" s="730">
        <f t="shared" si="9"/>
        <v>0</v>
      </c>
      <c r="J24" s="730">
        <f t="shared" si="10"/>
        <v>0</v>
      </c>
      <c r="S24" s="731" t="s">
        <v>1017</v>
      </c>
      <c r="T24" s="731" t="s">
        <v>846</v>
      </c>
      <c r="U24" s="731" t="s">
        <v>426</v>
      </c>
      <c r="V24" s="731" t="s">
        <v>426</v>
      </c>
      <c r="W24" s="730">
        <v>1</v>
      </c>
      <c r="X24" s="730">
        <v>0</v>
      </c>
      <c r="Y24" s="730">
        <v>0</v>
      </c>
      <c r="Z24" s="730">
        <f t="shared" si="12"/>
        <v>1E-3</v>
      </c>
      <c r="AA24" s="730">
        <f t="shared" si="13"/>
        <v>0</v>
      </c>
      <c r="AB24" s="730">
        <f t="shared" si="14"/>
        <v>0</v>
      </c>
      <c r="AC24" s="730"/>
      <c r="AL24" s="731" t="s">
        <v>1026</v>
      </c>
      <c r="AM24" s="731" t="s">
        <v>1027</v>
      </c>
      <c r="AN24" s="731" t="s">
        <v>1028</v>
      </c>
      <c r="AO24" s="731" t="s">
        <v>1029</v>
      </c>
      <c r="AP24" s="730">
        <v>0</v>
      </c>
      <c r="AQ24" s="730">
        <v>108000000</v>
      </c>
      <c r="AR24" s="730">
        <v>238000000</v>
      </c>
      <c r="AS24" s="730">
        <f t="shared" si="16"/>
        <v>0</v>
      </c>
      <c r="AT24" s="730">
        <f t="shared" si="17"/>
        <v>108000</v>
      </c>
      <c r="AU24" s="730">
        <f t="shared" si="18"/>
        <v>238000</v>
      </c>
      <c r="BE24" s="688" t="s">
        <v>1026</v>
      </c>
      <c r="BF24" s="689" t="s">
        <v>1027</v>
      </c>
      <c r="BG24" s="688" t="s">
        <v>1028</v>
      </c>
      <c r="BH24" s="689" t="s">
        <v>1029</v>
      </c>
      <c r="BI24" s="690">
        <v>468000000</v>
      </c>
      <c r="BJ24" s="690">
        <v>0</v>
      </c>
      <c r="BK24" s="690">
        <v>0</v>
      </c>
      <c r="BL24" s="687">
        <f t="shared" si="20"/>
        <v>468000</v>
      </c>
      <c r="BM24" s="690">
        <f t="shared" si="21"/>
        <v>0</v>
      </c>
      <c r="BN24" s="690">
        <f t="shared" si="22"/>
        <v>0</v>
      </c>
      <c r="BW24" s="668" t="s">
        <v>1026</v>
      </c>
      <c r="BX24" s="729" t="s">
        <v>1027</v>
      </c>
      <c r="BY24" s="668" t="s">
        <v>1028</v>
      </c>
      <c r="BZ24" s="729" t="s">
        <v>1029</v>
      </c>
      <c r="CA24" s="730">
        <v>467809000</v>
      </c>
      <c r="CB24" s="730">
        <v>0</v>
      </c>
      <c r="CC24" s="730">
        <v>0</v>
      </c>
      <c r="CD24" s="730">
        <f t="shared" si="24"/>
        <v>467809</v>
      </c>
      <c r="CE24" s="730">
        <f t="shared" si="25"/>
        <v>0</v>
      </c>
      <c r="CF24" s="730">
        <f t="shared" si="26"/>
        <v>0</v>
      </c>
      <c r="CO24" s="731" t="s">
        <v>1026</v>
      </c>
      <c r="CP24" s="731" t="s">
        <v>1027</v>
      </c>
      <c r="CQ24" s="668" t="s">
        <v>1028</v>
      </c>
      <c r="CR24" s="731" t="s">
        <v>1029</v>
      </c>
      <c r="CS24" s="731">
        <v>467809000</v>
      </c>
      <c r="CT24" s="731">
        <v>0</v>
      </c>
      <c r="CU24" s="731">
        <v>0</v>
      </c>
      <c r="CV24" s="730">
        <f t="shared" si="28"/>
        <v>467809</v>
      </c>
      <c r="CW24" s="730">
        <f t="shared" si="29"/>
        <v>0</v>
      </c>
      <c r="CX24" s="730">
        <f t="shared" si="30"/>
        <v>0</v>
      </c>
      <c r="DE24" s="737"/>
      <c r="DH24" s="731" t="s">
        <v>423</v>
      </c>
      <c r="DI24" s="731" t="s">
        <v>853</v>
      </c>
      <c r="DJ24" s="731" t="s">
        <v>425</v>
      </c>
      <c r="DK24" s="731" t="s">
        <v>311</v>
      </c>
      <c r="DL24" s="1028">
        <v>0</v>
      </c>
      <c r="DM24" s="1028">
        <v>1116092</v>
      </c>
      <c r="DN24" s="1028">
        <v>2222664</v>
      </c>
      <c r="DO24" s="1028">
        <f t="shared" si="32"/>
        <v>0</v>
      </c>
      <c r="DP24" s="1028">
        <f t="shared" si="33"/>
        <v>1116.0920000000001</v>
      </c>
      <c r="DQ24" s="1028">
        <f t="shared" si="34"/>
        <v>2222.6640000000002</v>
      </c>
      <c r="EC24" s="731" t="s">
        <v>423</v>
      </c>
      <c r="ED24" s="731" t="s">
        <v>853</v>
      </c>
      <c r="EE24" s="668" t="s">
        <v>424</v>
      </c>
      <c r="EF24" s="731" t="s">
        <v>268</v>
      </c>
      <c r="EG24" s="737">
        <v>0</v>
      </c>
      <c r="EH24" s="737">
        <v>191467112</v>
      </c>
      <c r="EI24" s="737">
        <v>126737588</v>
      </c>
      <c r="EJ24" s="737">
        <f t="shared" si="36"/>
        <v>0</v>
      </c>
      <c r="EK24" s="737">
        <f t="shared" si="37"/>
        <v>191467.11199999999</v>
      </c>
      <c r="EL24" s="737">
        <f t="shared" si="38"/>
        <v>126737.588</v>
      </c>
    </row>
    <row r="25" spans="1:142" x14ac:dyDescent="0.25">
      <c r="A25" s="668" t="s">
        <v>852</v>
      </c>
      <c r="B25" s="668" t="s">
        <v>51</v>
      </c>
      <c r="C25" s="668" t="s">
        <v>426</v>
      </c>
      <c r="D25" s="668" t="s">
        <v>426</v>
      </c>
      <c r="E25" s="687">
        <v>9996</v>
      </c>
      <c r="F25" s="687">
        <v>0</v>
      </c>
      <c r="G25" s="687">
        <v>0</v>
      </c>
      <c r="H25" s="730">
        <f t="shared" si="8"/>
        <v>9.9960000000000004</v>
      </c>
      <c r="I25" s="730">
        <f t="shared" si="9"/>
        <v>0</v>
      </c>
      <c r="J25" s="730">
        <f t="shared" si="10"/>
        <v>0</v>
      </c>
      <c r="S25" s="731" t="s">
        <v>884</v>
      </c>
      <c r="T25" s="731" t="s">
        <v>885</v>
      </c>
      <c r="U25" s="731" t="s">
        <v>426</v>
      </c>
      <c r="V25" s="731" t="s">
        <v>426</v>
      </c>
      <c r="W25" s="730">
        <v>1</v>
      </c>
      <c r="X25" s="730">
        <v>0</v>
      </c>
      <c r="Y25" s="730">
        <v>0</v>
      </c>
      <c r="Z25" s="730">
        <f t="shared" si="12"/>
        <v>1E-3</v>
      </c>
      <c r="AA25" s="730">
        <f t="shared" si="13"/>
        <v>0</v>
      </c>
      <c r="AB25" s="730">
        <f t="shared" si="14"/>
        <v>0</v>
      </c>
      <c r="AC25" s="730"/>
      <c r="AL25" s="731" t="s">
        <v>1026</v>
      </c>
      <c r="AM25" s="731" t="s">
        <v>1027</v>
      </c>
      <c r="AN25" s="731" t="s">
        <v>426</v>
      </c>
      <c r="AO25" s="731" t="s">
        <v>426</v>
      </c>
      <c r="AP25" s="730">
        <v>0</v>
      </c>
      <c r="AQ25" s="730">
        <v>0</v>
      </c>
      <c r="AR25" s="730">
        <v>0</v>
      </c>
      <c r="AS25" s="730">
        <f t="shared" si="16"/>
        <v>0</v>
      </c>
      <c r="AT25" s="730">
        <f t="shared" si="17"/>
        <v>0</v>
      </c>
      <c r="AU25" s="730">
        <f t="shared" si="18"/>
        <v>0</v>
      </c>
      <c r="BE25" s="688" t="s">
        <v>1026</v>
      </c>
      <c r="BF25" s="689" t="s">
        <v>1027</v>
      </c>
      <c r="BG25" s="688" t="s">
        <v>1050</v>
      </c>
      <c r="BH25" s="689" t="s">
        <v>1051</v>
      </c>
      <c r="BI25" s="690">
        <v>3602000</v>
      </c>
      <c r="BJ25" s="690">
        <v>0</v>
      </c>
      <c r="BK25" s="690">
        <v>0</v>
      </c>
      <c r="BL25" s="687">
        <f t="shared" si="20"/>
        <v>3602</v>
      </c>
      <c r="BM25" s="690">
        <f t="shared" si="21"/>
        <v>0</v>
      </c>
      <c r="BN25" s="690">
        <f t="shared" si="22"/>
        <v>0</v>
      </c>
      <c r="BW25" s="668" t="s">
        <v>1026</v>
      </c>
      <c r="BX25" s="729" t="s">
        <v>1027</v>
      </c>
      <c r="BY25" s="668" t="s">
        <v>1050</v>
      </c>
      <c r="BZ25" s="729" t="s">
        <v>1051</v>
      </c>
      <c r="CA25" s="730">
        <v>3602000</v>
      </c>
      <c r="CB25" s="730">
        <v>0</v>
      </c>
      <c r="CC25" s="730">
        <v>0</v>
      </c>
      <c r="CD25" s="730">
        <f t="shared" si="24"/>
        <v>3602</v>
      </c>
      <c r="CE25" s="730">
        <f t="shared" si="25"/>
        <v>0</v>
      </c>
      <c r="CF25" s="730">
        <f t="shared" si="26"/>
        <v>0</v>
      </c>
      <c r="CO25" s="731" t="s">
        <v>1026</v>
      </c>
      <c r="CP25" s="731" t="s">
        <v>1027</v>
      </c>
      <c r="CQ25" s="668" t="s">
        <v>1050</v>
      </c>
      <c r="CR25" s="731" t="s">
        <v>1051</v>
      </c>
      <c r="CS25" s="731">
        <v>3602000</v>
      </c>
      <c r="CT25" s="731">
        <v>0</v>
      </c>
      <c r="CU25" s="731">
        <v>0</v>
      </c>
      <c r="CV25" s="730">
        <f t="shared" si="28"/>
        <v>3602</v>
      </c>
      <c r="CW25" s="730">
        <f t="shared" si="29"/>
        <v>0</v>
      </c>
      <c r="CX25" s="730">
        <f t="shared" si="30"/>
        <v>0</v>
      </c>
      <c r="DH25" s="731" t="s">
        <v>1026</v>
      </c>
      <c r="DI25" s="731" t="s">
        <v>1027</v>
      </c>
      <c r="DJ25" s="731" t="s">
        <v>1028</v>
      </c>
      <c r="DK25" s="731" t="s">
        <v>1029</v>
      </c>
      <c r="DL25" s="1028">
        <v>467665600</v>
      </c>
      <c r="DM25" s="1028">
        <v>0</v>
      </c>
      <c r="DN25" s="1028">
        <v>0</v>
      </c>
      <c r="DO25" s="1028">
        <f t="shared" si="32"/>
        <v>467665.6</v>
      </c>
      <c r="DP25" s="1028">
        <f t="shared" si="33"/>
        <v>0</v>
      </c>
      <c r="DQ25" s="1028">
        <f t="shared" si="34"/>
        <v>0</v>
      </c>
      <c r="EC25" s="731" t="s">
        <v>1026</v>
      </c>
      <c r="ED25" s="731" t="s">
        <v>1027</v>
      </c>
      <c r="EE25" s="668" t="s">
        <v>1028</v>
      </c>
      <c r="EF25" s="731" t="s">
        <v>1029</v>
      </c>
      <c r="EG25" s="737">
        <v>467641600</v>
      </c>
      <c r="EH25" s="737">
        <v>0</v>
      </c>
      <c r="EI25" s="737">
        <v>0</v>
      </c>
      <c r="EJ25" s="737">
        <f t="shared" si="36"/>
        <v>467641.59999999998</v>
      </c>
      <c r="EK25" s="737">
        <f t="shared" si="37"/>
        <v>0</v>
      </c>
      <c r="EL25" s="737">
        <f t="shared" si="38"/>
        <v>0</v>
      </c>
    </row>
    <row r="26" spans="1:142" x14ac:dyDescent="0.25">
      <c r="A26" s="668" t="s">
        <v>429</v>
      </c>
      <c r="B26" s="668" t="s">
        <v>140</v>
      </c>
      <c r="C26" s="668" t="s">
        <v>426</v>
      </c>
      <c r="D26" s="668" t="s">
        <v>426</v>
      </c>
      <c r="E26" s="687">
        <v>8610052000</v>
      </c>
      <c r="F26" s="687">
        <v>0</v>
      </c>
      <c r="G26" s="687">
        <v>0</v>
      </c>
      <c r="H26" s="730">
        <f t="shared" si="8"/>
        <v>8610052</v>
      </c>
      <c r="I26" s="730">
        <f t="shared" si="9"/>
        <v>0</v>
      </c>
      <c r="J26" s="730">
        <f t="shared" si="10"/>
        <v>0</v>
      </c>
      <c r="S26" s="731" t="s">
        <v>987</v>
      </c>
      <c r="T26" s="731" t="s">
        <v>855</v>
      </c>
      <c r="U26" s="731" t="s">
        <v>426</v>
      </c>
      <c r="V26" s="731" t="s">
        <v>426</v>
      </c>
      <c r="W26" s="730">
        <v>1</v>
      </c>
      <c r="X26" s="730">
        <v>0</v>
      </c>
      <c r="Y26" s="730">
        <v>0</v>
      </c>
      <c r="Z26" s="730">
        <f t="shared" si="12"/>
        <v>1E-3</v>
      </c>
      <c r="AA26" s="730">
        <f t="shared" si="13"/>
        <v>0</v>
      </c>
      <c r="AB26" s="730">
        <f t="shared" si="14"/>
        <v>0</v>
      </c>
      <c r="AC26" s="730"/>
      <c r="AL26" s="731" t="s">
        <v>1017</v>
      </c>
      <c r="AM26" s="731" t="s">
        <v>846</v>
      </c>
      <c r="AN26" s="731" t="s">
        <v>426</v>
      </c>
      <c r="AO26" s="731" t="s">
        <v>426</v>
      </c>
      <c r="AP26" s="730">
        <v>1</v>
      </c>
      <c r="AQ26" s="730">
        <v>0</v>
      </c>
      <c r="AR26" s="730">
        <v>0</v>
      </c>
      <c r="AS26" s="730">
        <f t="shared" si="16"/>
        <v>1E-3</v>
      </c>
      <c r="AT26" s="730">
        <f t="shared" si="17"/>
        <v>0</v>
      </c>
      <c r="AU26" s="730">
        <f t="shared" si="18"/>
        <v>0</v>
      </c>
      <c r="BE26" s="688" t="s">
        <v>1026</v>
      </c>
      <c r="BF26" s="689" t="s">
        <v>1027</v>
      </c>
      <c r="BG26" s="688" t="s">
        <v>1028</v>
      </c>
      <c r="BH26" s="689" t="s">
        <v>1029</v>
      </c>
      <c r="BI26" s="690">
        <v>0</v>
      </c>
      <c r="BJ26" s="690">
        <v>150000000</v>
      </c>
      <c r="BK26" s="690">
        <v>238000000</v>
      </c>
      <c r="BL26" s="687">
        <f t="shared" si="20"/>
        <v>0</v>
      </c>
      <c r="BM26" s="690">
        <f t="shared" si="21"/>
        <v>150000</v>
      </c>
      <c r="BN26" s="690">
        <f t="shared" si="22"/>
        <v>238000</v>
      </c>
      <c r="BW26" s="668" t="s">
        <v>1026</v>
      </c>
      <c r="BX26" s="729" t="s">
        <v>1027</v>
      </c>
      <c r="BY26" s="668" t="s">
        <v>1077</v>
      </c>
      <c r="BZ26" s="729" t="s">
        <v>1078</v>
      </c>
      <c r="CA26" s="730">
        <v>191000</v>
      </c>
      <c r="CB26" s="730">
        <v>0</v>
      </c>
      <c r="CC26" s="730">
        <v>0</v>
      </c>
      <c r="CD26" s="730">
        <f t="shared" si="24"/>
        <v>191</v>
      </c>
      <c r="CE26" s="730">
        <f t="shared" si="25"/>
        <v>0</v>
      </c>
      <c r="CF26" s="730">
        <f t="shared" si="26"/>
        <v>0</v>
      </c>
      <c r="CO26" s="731" t="s">
        <v>1026</v>
      </c>
      <c r="CP26" s="731" t="s">
        <v>1027</v>
      </c>
      <c r="CQ26" s="668" t="s">
        <v>1077</v>
      </c>
      <c r="CR26" s="731" t="s">
        <v>1078</v>
      </c>
      <c r="CS26" s="731">
        <v>191000</v>
      </c>
      <c r="CT26" s="731">
        <v>0</v>
      </c>
      <c r="CU26" s="731">
        <v>0</v>
      </c>
      <c r="CV26" s="730">
        <f t="shared" si="28"/>
        <v>191</v>
      </c>
      <c r="CW26" s="730">
        <f t="shared" si="29"/>
        <v>0</v>
      </c>
      <c r="CX26" s="730">
        <f t="shared" si="30"/>
        <v>0</v>
      </c>
      <c r="DH26" s="731" t="s">
        <v>1026</v>
      </c>
      <c r="DI26" s="731" t="s">
        <v>1027</v>
      </c>
      <c r="DJ26" s="731" t="s">
        <v>1050</v>
      </c>
      <c r="DK26" s="731" t="s">
        <v>1051</v>
      </c>
      <c r="DL26" s="1028">
        <v>3602000</v>
      </c>
      <c r="DM26" s="1028">
        <v>0</v>
      </c>
      <c r="DN26" s="1028">
        <v>0</v>
      </c>
      <c r="DO26" s="1028">
        <f t="shared" si="32"/>
        <v>3602</v>
      </c>
      <c r="DP26" s="1028">
        <f t="shared" si="33"/>
        <v>0</v>
      </c>
      <c r="DQ26" s="1028">
        <f t="shared" si="34"/>
        <v>0</v>
      </c>
      <c r="EC26" s="731" t="s">
        <v>1026</v>
      </c>
      <c r="ED26" s="731" t="s">
        <v>1027</v>
      </c>
      <c r="EE26" s="668" t="s">
        <v>1050</v>
      </c>
      <c r="EF26" s="731" t="s">
        <v>1051</v>
      </c>
      <c r="EG26" s="737">
        <v>3602000</v>
      </c>
      <c r="EH26" s="737">
        <v>0</v>
      </c>
      <c r="EI26" s="737">
        <v>0</v>
      </c>
      <c r="EJ26" s="737">
        <f t="shared" si="36"/>
        <v>3602</v>
      </c>
      <c r="EK26" s="737">
        <f t="shared" si="37"/>
        <v>0</v>
      </c>
      <c r="EL26" s="737">
        <f t="shared" si="38"/>
        <v>0</v>
      </c>
    </row>
    <row r="27" spans="1:142" x14ac:dyDescent="0.25">
      <c r="A27" s="668" t="s">
        <v>779</v>
      </c>
      <c r="B27" s="668" t="s">
        <v>780</v>
      </c>
      <c r="C27" s="668" t="s">
        <v>426</v>
      </c>
      <c r="D27" s="668" t="s">
        <v>426</v>
      </c>
      <c r="E27" s="687">
        <v>44226748000</v>
      </c>
      <c r="F27" s="687">
        <v>0</v>
      </c>
      <c r="G27" s="687">
        <v>0</v>
      </c>
      <c r="H27" s="730">
        <f t="shared" si="8"/>
        <v>44226748</v>
      </c>
      <c r="I27" s="730">
        <f t="shared" si="9"/>
        <v>0</v>
      </c>
      <c r="J27" s="730">
        <f t="shared" si="10"/>
        <v>0</v>
      </c>
      <c r="S27" s="731" t="s">
        <v>1018</v>
      </c>
      <c r="T27" s="731" t="s">
        <v>856</v>
      </c>
      <c r="U27" s="731" t="s">
        <v>426</v>
      </c>
      <c r="V27" s="731" t="s">
        <v>426</v>
      </c>
      <c r="W27" s="730">
        <v>1</v>
      </c>
      <c r="X27" s="730">
        <v>0</v>
      </c>
      <c r="Y27" s="730">
        <v>0</v>
      </c>
      <c r="Z27" s="730">
        <f t="shared" si="12"/>
        <v>1E-3</v>
      </c>
      <c r="AA27" s="730">
        <f t="shared" si="13"/>
        <v>0</v>
      </c>
      <c r="AB27" s="730">
        <f t="shared" si="14"/>
        <v>0</v>
      </c>
      <c r="AC27" s="730"/>
      <c r="AL27" s="731" t="s">
        <v>884</v>
      </c>
      <c r="AM27" s="731" t="s">
        <v>885</v>
      </c>
      <c r="AN27" s="731" t="s">
        <v>426</v>
      </c>
      <c r="AO27" s="731" t="s">
        <v>426</v>
      </c>
      <c r="AP27" s="730">
        <v>1</v>
      </c>
      <c r="AQ27" s="730">
        <v>0</v>
      </c>
      <c r="AR27" s="730">
        <v>0</v>
      </c>
      <c r="AS27" s="730">
        <f t="shared" si="16"/>
        <v>1E-3</v>
      </c>
      <c r="AT27" s="730">
        <f t="shared" si="17"/>
        <v>0</v>
      </c>
      <c r="AU27" s="730">
        <f t="shared" si="18"/>
        <v>0</v>
      </c>
      <c r="BE27" s="688" t="s">
        <v>1026</v>
      </c>
      <c r="BF27" s="689" t="s">
        <v>1027</v>
      </c>
      <c r="BG27" s="688" t="s">
        <v>426</v>
      </c>
      <c r="BH27" s="689" t="s">
        <v>426</v>
      </c>
      <c r="BI27" s="690">
        <v>0</v>
      </c>
      <c r="BJ27" s="690">
        <v>0</v>
      </c>
      <c r="BK27" s="690">
        <v>0</v>
      </c>
      <c r="BL27" s="687">
        <f t="shared" si="20"/>
        <v>0</v>
      </c>
      <c r="BM27" s="690">
        <f t="shared" si="21"/>
        <v>0</v>
      </c>
      <c r="BN27" s="690">
        <f t="shared" si="22"/>
        <v>0</v>
      </c>
      <c r="BW27" s="668" t="s">
        <v>1026</v>
      </c>
      <c r="BX27" s="729" t="s">
        <v>1027</v>
      </c>
      <c r="BY27" s="668" t="s">
        <v>426</v>
      </c>
      <c r="BZ27" s="729" t="s">
        <v>426</v>
      </c>
      <c r="CA27" s="730">
        <v>0</v>
      </c>
      <c r="CB27" s="730">
        <v>0</v>
      </c>
      <c r="CC27" s="730">
        <v>0</v>
      </c>
      <c r="CD27" s="730">
        <f t="shared" si="24"/>
        <v>0</v>
      </c>
      <c r="CE27" s="730">
        <f t="shared" si="25"/>
        <v>0</v>
      </c>
      <c r="CF27" s="730">
        <f t="shared" si="26"/>
        <v>0</v>
      </c>
      <c r="CO27" s="731" t="s">
        <v>1026</v>
      </c>
      <c r="CP27" s="731" t="s">
        <v>1027</v>
      </c>
      <c r="CQ27" s="668" t="s">
        <v>1028</v>
      </c>
      <c r="CR27" s="731" t="s">
        <v>1029</v>
      </c>
      <c r="CS27" s="731">
        <v>0</v>
      </c>
      <c r="CT27" s="731">
        <v>454000000</v>
      </c>
      <c r="CU27" s="731">
        <v>220000000</v>
      </c>
      <c r="CV27" s="730">
        <f t="shared" si="28"/>
        <v>0</v>
      </c>
      <c r="CW27" s="730">
        <f t="shared" si="29"/>
        <v>454000</v>
      </c>
      <c r="CX27" s="730">
        <f t="shared" si="30"/>
        <v>220000</v>
      </c>
      <c r="DH27" s="731" t="s">
        <v>1026</v>
      </c>
      <c r="DI27" s="731" t="s">
        <v>1027</v>
      </c>
      <c r="DJ27" s="731" t="s">
        <v>1077</v>
      </c>
      <c r="DK27" s="731" t="s">
        <v>1078</v>
      </c>
      <c r="DL27" s="1028">
        <v>334400</v>
      </c>
      <c r="DM27" s="1028">
        <v>0</v>
      </c>
      <c r="DN27" s="1028">
        <v>0</v>
      </c>
      <c r="DO27" s="1028">
        <f t="shared" si="32"/>
        <v>334.4</v>
      </c>
      <c r="DP27" s="1028">
        <f t="shared" si="33"/>
        <v>0</v>
      </c>
      <c r="DQ27" s="1028">
        <f t="shared" si="34"/>
        <v>0</v>
      </c>
      <c r="EC27" s="731" t="s">
        <v>1026</v>
      </c>
      <c r="ED27" s="731" t="s">
        <v>1027</v>
      </c>
      <c r="EE27" s="668" t="s">
        <v>1077</v>
      </c>
      <c r="EF27" s="731" t="s">
        <v>1078</v>
      </c>
      <c r="EG27" s="737">
        <v>358400</v>
      </c>
      <c r="EH27" s="737">
        <v>0</v>
      </c>
      <c r="EI27" s="737">
        <v>0</v>
      </c>
      <c r="EJ27" s="737">
        <f t="shared" si="36"/>
        <v>358.4</v>
      </c>
      <c r="EK27" s="737">
        <f t="shared" si="37"/>
        <v>0</v>
      </c>
      <c r="EL27" s="737">
        <f t="shared" si="38"/>
        <v>0</v>
      </c>
    </row>
    <row r="28" spans="1:142" x14ac:dyDescent="0.25">
      <c r="A28" s="668" t="s">
        <v>781</v>
      </c>
      <c r="B28" s="668" t="s">
        <v>782</v>
      </c>
      <c r="C28" s="668" t="s">
        <v>426</v>
      </c>
      <c r="D28" s="668" t="s">
        <v>426</v>
      </c>
      <c r="E28" s="687">
        <v>23889916000</v>
      </c>
      <c r="F28" s="687">
        <v>0</v>
      </c>
      <c r="G28" s="687">
        <v>0</v>
      </c>
      <c r="H28" s="730">
        <f t="shared" si="8"/>
        <v>23889916</v>
      </c>
      <c r="I28" s="730">
        <f t="shared" si="9"/>
        <v>0</v>
      </c>
      <c r="J28" s="730">
        <f t="shared" si="10"/>
        <v>0</v>
      </c>
      <c r="S28" s="731" t="s">
        <v>852</v>
      </c>
      <c r="T28" s="731" t="s">
        <v>51</v>
      </c>
      <c r="U28" s="731" t="s">
        <v>426</v>
      </c>
      <c r="V28" s="731" t="s">
        <v>426</v>
      </c>
      <c r="W28" s="730">
        <v>9996</v>
      </c>
      <c r="X28" s="730">
        <v>0</v>
      </c>
      <c r="Y28" s="730">
        <v>0</v>
      </c>
      <c r="Z28" s="730">
        <f t="shared" si="12"/>
        <v>9.9960000000000004</v>
      </c>
      <c r="AA28" s="730">
        <f t="shared" si="13"/>
        <v>0</v>
      </c>
      <c r="AB28" s="730">
        <f t="shared" si="14"/>
        <v>0</v>
      </c>
      <c r="AC28" s="730"/>
      <c r="AL28" s="731" t="s">
        <v>987</v>
      </c>
      <c r="AM28" s="731" t="s">
        <v>855</v>
      </c>
      <c r="AN28" s="731" t="s">
        <v>426</v>
      </c>
      <c r="AO28" s="731" t="s">
        <v>426</v>
      </c>
      <c r="AP28" s="730">
        <v>1</v>
      </c>
      <c r="AQ28" s="730">
        <v>0</v>
      </c>
      <c r="AR28" s="730">
        <v>0</v>
      </c>
      <c r="AS28" s="730">
        <f t="shared" si="16"/>
        <v>1E-3</v>
      </c>
      <c r="AT28" s="730">
        <f t="shared" si="17"/>
        <v>0</v>
      </c>
      <c r="AU28" s="730">
        <f t="shared" si="18"/>
        <v>0</v>
      </c>
      <c r="BE28" s="688" t="s">
        <v>1026</v>
      </c>
      <c r="BF28" s="689" t="s">
        <v>1027</v>
      </c>
      <c r="BG28" s="688" t="s">
        <v>426</v>
      </c>
      <c r="BH28" s="689" t="s">
        <v>426</v>
      </c>
      <c r="BI28" s="690">
        <v>0</v>
      </c>
      <c r="BJ28" s="690">
        <v>0</v>
      </c>
      <c r="BK28" s="690">
        <v>0</v>
      </c>
      <c r="BL28" s="687">
        <f t="shared" si="20"/>
        <v>0</v>
      </c>
      <c r="BM28" s="690">
        <f t="shared" si="21"/>
        <v>0</v>
      </c>
      <c r="BN28" s="690">
        <f t="shared" si="22"/>
        <v>0</v>
      </c>
      <c r="BW28" s="668" t="s">
        <v>1026</v>
      </c>
      <c r="BX28" s="729" t="s">
        <v>1027</v>
      </c>
      <c r="BY28" s="668" t="s">
        <v>1028</v>
      </c>
      <c r="BZ28" s="729" t="s">
        <v>1029</v>
      </c>
      <c r="CA28" s="730">
        <v>0</v>
      </c>
      <c r="CB28" s="730">
        <v>238000000</v>
      </c>
      <c r="CC28" s="730">
        <v>186000000</v>
      </c>
      <c r="CD28" s="730">
        <f t="shared" si="24"/>
        <v>0</v>
      </c>
      <c r="CE28" s="730">
        <f t="shared" si="25"/>
        <v>238000</v>
      </c>
      <c r="CF28" s="730">
        <f t="shared" si="26"/>
        <v>186000</v>
      </c>
      <c r="CO28" s="731" t="s">
        <v>1026</v>
      </c>
      <c r="CP28" s="731" t="s">
        <v>1027</v>
      </c>
      <c r="CQ28" s="668" t="s">
        <v>426</v>
      </c>
      <c r="CR28" s="731" t="s">
        <v>426</v>
      </c>
      <c r="CS28" s="731">
        <v>0</v>
      </c>
      <c r="CT28" s="731">
        <v>0</v>
      </c>
      <c r="CU28" s="731">
        <v>0</v>
      </c>
      <c r="CV28" s="730">
        <f t="shared" si="28"/>
        <v>0</v>
      </c>
      <c r="CW28" s="730">
        <f t="shared" si="29"/>
        <v>0</v>
      </c>
      <c r="CX28" s="730">
        <f t="shared" si="30"/>
        <v>0</v>
      </c>
      <c r="DH28" s="731" t="s">
        <v>1026</v>
      </c>
      <c r="DI28" s="731" t="s">
        <v>1027</v>
      </c>
      <c r="DJ28" s="731" t="s">
        <v>1077</v>
      </c>
      <c r="DK28" s="731" t="s">
        <v>1078</v>
      </c>
      <c r="DL28" s="1028">
        <v>0</v>
      </c>
      <c r="DM28" s="1028">
        <v>113209</v>
      </c>
      <c r="DN28" s="1028">
        <v>334248</v>
      </c>
      <c r="DO28" s="1028">
        <f t="shared" si="32"/>
        <v>0</v>
      </c>
      <c r="DP28" s="1028">
        <f t="shared" si="33"/>
        <v>113.209</v>
      </c>
      <c r="DQ28" s="1028">
        <f t="shared" si="34"/>
        <v>334.24799999999999</v>
      </c>
      <c r="EC28" s="731" t="s">
        <v>1026</v>
      </c>
      <c r="ED28" s="731" t="s">
        <v>1027</v>
      </c>
      <c r="EE28" s="668" t="s">
        <v>1050</v>
      </c>
      <c r="EF28" s="731" t="s">
        <v>1051</v>
      </c>
      <c r="EG28" s="737">
        <v>0</v>
      </c>
      <c r="EH28" s="737">
        <v>970378</v>
      </c>
      <c r="EI28" s="737">
        <v>476733</v>
      </c>
      <c r="EJ28" s="737">
        <f t="shared" si="36"/>
        <v>0</v>
      </c>
      <c r="EK28" s="737">
        <f t="shared" si="37"/>
        <v>970.37800000000004</v>
      </c>
      <c r="EL28" s="737">
        <f t="shared" si="38"/>
        <v>476.733</v>
      </c>
    </row>
    <row r="29" spans="1:142" x14ac:dyDescent="0.25">
      <c r="A29" s="668" t="s">
        <v>783</v>
      </c>
      <c r="B29" s="668" t="s">
        <v>784</v>
      </c>
      <c r="C29" s="668" t="s">
        <v>426</v>
      </c>
      <c r="D29" s="668" t="s">
        <v>426</v>
      </c>
      <c r="E29" s="687">
        <v>17949263000</v>
      </c>
      <c r="F29" s="687">
        <v>0</v>
      </c>
      <c r="G29" s="687">
        <v>0</v>
      </c>
      <c r="H29" s="730">
        <f t="shared" si="8"/>
        <v>17949263</v>
      </c>
      <c r="I29" s="730">
        <f t="shared" si="9"/>
        <v>0</v>
      </c>
      <c r="J29" s="730">
        <f t="shared" si="10"/>
        <v>0</v>
      </c>
      <c r="S29" s="731" t="s">
        <v>429</v>
      </c>
      <c r="T29" s="731" t="s">
        <v>140</v>
      </c>
      <c r="U29" s="731" t="s">
        <v>426</v>
      </c>
      <c r="V29" s="731" t="s">
        <v>426</v>
      </c>
      <c r="W29" s="730">
        <v>8610052000</v>
      </c>
      <c r="X29" s="730">
        <v>0</v>
      </c>
      <c r="Y29" s="730">
        <v>0</v>
      </c>
      <c r="Z29" s="730">
        <f t="shared" si="12"/>
        <v>8610052</v>
      </c>
      <c r="AA29" s="730">
        <f t="shared" si="13"/>
        <v>0</v>
      </c>
      <c r="AB29" s="730">
        <f t="shared" si="14"/>
        <v>0</v>
      </c>
      <c r="AC29" s="730"/>
      <c r="AL29" s="731" t="s">
        <v>1018</v>
      </c>
      <c r="AM29" s="731" t="s">
        <v>856</v>
      </c>
      <c r="AN29" s="731" t="s">
        <v>426</v>
      </c>
      <c r="AO29" s="731" t="s">
        <v>426</v>
      </c>
      <c r="AP29" s="730">
        <v>1</v>
      </c>
      <c r="AQ29" s="730">
        <v>0</v>
      </c>
      <c r="AR29" s="730">
        <v>0</v>
      </c>
      <c r="AS29" s="730">
        <f t="shared" si="16"/>
        <v>1E-3</v>
      </c>
      <c r="AT29" s="730">
        <f t="shared" si="17"/>
        <v>0</v>
      </c>
      <c r="AU29" s="730">
        <f t="shared" si="18"/>
        <v>0</v>
      </c>
      <c r="BE29" s="688" t="s">
        <v>1026</v>
      </c>
      <c r="BF29" s="689" t="s">
        <v>1027</v>
      </c>
      <c r="BG29" s="688" t="s">
        <v>1050</v>
      </c>
      <c r="BH29" s="689" t="s">
        <v>1051</v>
      </c>
      <c r="BI29" s="690">
        <v>0</v>
      </c>
      <c r="BJ29" s="690">
        <v>31607</v>
      </c>
      <c r="BK29" s="690">
        <v>300000</v>
      </c>
      <c r="BL29" s="687">
        <f t="shared" si="20"/>
        <v>0</v>
      </c>
      <c r="BM29" s="690">
        <f t="shared" si="21"/>
        <v>31.606999999999999</v>
      </c>
      <c r="BN29" s="690">
        <f t="shared" si="22"/>
        <v>300</v>
      </c>
      <c r="BW29" s="668" t="s">
        <v>1026</v>
      </c>
      <c r="BX29" s="729" t="s">
        <v>1027</v>
      </c>
      <c r="BY29" s="668" t="s">
        <v>1077</v>
      </c>
      <c r="BZ29" s="729" t="s">
        <v>1078</v>
      </c>
      <c r="CA29" s="730">
        <v>0</v>
      </c>
      <c r="CB29" s="730">
        <v>190848</v>
      </c>
      <c r="CC29" s="730">
        <v>0</v>
      </c>
      <c r="CD29" s="730">
        <f t="shared" si="24"/>
        <v>0</v>
      </c>
      <c r="CE29" s="730">
        <f t="shared" si="25"/>
        <v>190.84800000000001</v>
      </c>
      <c r="CF29" s="730">
        <f t="shared" si="26"/>
        <v>0</v>
      </c>
      <c r="CO29" s="731" t="s">
        <v>1026</v>
      </c>
      <c r="CP29" s="731" t="s">
        <v>1027</v>
      </c>
      <c r="CQ29" s="668" t="s">
        <v>1077</v>
      </c>
      <c r="CR29" s="731" t="s">
        <v>1078</v>
      </c>
      <c r="CS29" s="731">
        <v>0</v>
      </c>
      <c r="CT29" s="731">
        <v>190848</v>
      </c>
      <c r="CU29" s="731">
        <v>0</v>
      </c>
      <c r="CV29" s="730">
        <f t="shared" si="28"/>
        <v>0</v>
      </c>
      <c r="CW29" s="730">
        <f t="shared" si="29"/>
        <v>190.84800000000001</v>
      </c>
      <c r="CX29" s="730">
        <f t="shared" si="30"/>
        <v>0</v>
      </c>
      <c r="DH29" s="731" t="s">
        <v>1026</v>
      </c>
      <c r="DI29" s="731" t="s">
        <v>1027</v>
      </c>
      <c r="DJ29" s="731" t="s">
        <v>1050</v>
      </c>
      <c r="DK29" s="731" t="s">
        <v>1051</v>
      </c>
      <c r="DL29" s="1028">
        <v>0</v>
      </c>
      <c r="DM29" s="1028">
        <v>444924</v>
      </c>
      <c r="DN29" s="1028">
        <v>870378</v>
      </c>
      <c r="DO29" s="1028">
        <f t="shared" si="32"/>
        <v>0</v>
      </c>
      <c r="DP29" s="1028">
        <f t="shared" si="33"/>
        <v>444.92399999999998</v>
      </c>
      <c r="DQ29" s="1028">
        <f t="shared" si="34"/>
        <v>870.37800000000004</v>
      </c>
      <c r="EC29" s="731" t="s">
        <v>1026</v>
      </c>
      <c r="ED29" s="731" t="s">
        <v>1027</v>
      </c>
      <c r="EE29" s="668" t="s">
        <v>426</v>
      </c>
      <c r="EF29" s="731" t="s">
        <v>426</v>
      </c>
      <c r="EG29" s="737">
        <v>0</v>
      </c>
      <c r="EH29" s="737">
        <v>0</v>
      </c>
      <c r="EI29" s="737">
        <v>0</v>
      </c>
      <c r="EJ29" s="737">
        <f t="shared" si="36"/>
        <v>0</v>
      </c>
      <c r="EK29" s="737">
        <f t="shared" si="37"/>
        <v>0</v>
      </c>
      <c r="EL29" s="737">
        <f t="shared" si="38"/>
        <v>0</v>
      </c>
    </row>
    <row r="30" spans="1:142" x14ac:dyDescent="0.25">
      <c r="A30" s="668" t="s">
        <v>783</v>
      </c>
      <c r="B30" s="668" t="s">
        <v>784</v>
      </c>
      <c r="C30" s="668" t="s">
        <v>426</v>
      </c>
      <c r="D30" s="668" t="s">
        <v>426</v>
      </c>
      <c r="E30" s="687">
        <v>0</v>
      </c>
      <c r="F30" s="687">
        <v>0</v>
      </c>
      <c r="G30" s="687">
        <v>0</v>
      </c>
      <c r="H30" s="730">
        <f t="shared" si="8"/>
        <v>0</v>
      </c>
      <c r="I30" s="730">
        <f t="shared" si="9"/>
        <v>0</v>
      </c>
      <c r="J30" s="730">
        <f t="shared" si="10"/>
        <v>0</v>
      </c>
      <c r="S30" s="731" t="s">
        <v>779</v>
      </c>
      <c r="T30" s="731" t="s">
        <v>780</v>
      </c>
      <c r="U30" s="731" t="s">
        <v>426</v>
      </c>
      <c r="V30" s="731" t="s">
        <v>426</v>
      </c>
      <c r="W30" s="730">
        <v>44226748000</v>
      </c>
      <c r="X30" s="730">
        <v>0</v>
      </c>
      <c r="Y30" s="730">
        <v>0</v>
      </c>
      <c r="Z30" s="730">
        <f t="shared" si="12"/>
        <v>44226748</v>
      </c>
      <c r="AA30" s="730">
        <f t="shared" si="13"/>
        <v>0</v>
      </c>
      <c r="AB30" s="730">
        <f t="shared" si="14"/>
        <v>0</v>
      </c>
      <c r="AC30" s="730"/>
      <c r="AL30" s="731" t="s">
        <v>852</v>
      </c>
      <c r="AM30" s="731" t="s">
        <v>51</v>
      </c>
      <c r="AN30" s="731" t="s">
        <v>426</v>
      </c>
      <c r="AO30" s="731" t="s">
        <v>426</v>
      </c>
      <c r="AP30" s="730">
        <v>9996</v>
      </c>
      <c r="AQ30" s="730">
        <v>0</v>
      </c>
      <c r="AR30" s="730">
        <v>0</v>
      </c>
      <c r="AS30" s="730">
        <f t="shared" si="16"/>
        <v>9.9960000000000004</v>
      </c>
      <c r="AT30" s="730">
        <f t="shared" si="17"/>
        <v>0</v>
      </c>
      <c r="AU30" s="730">
        <f t="shared" si="18"/>
        <v>0</v>
      </c>
      <c r="BE30" s="688" t="s">
        <v>1017</v>
      </c>
      <c r="BF30" s="689" t="s">
        <v>846</v>
      </c>
      <c r="BG30" s="688" t="s">
        <v>426</v>
      </c>
      <c r="BH30" s="689" t="s">
        <v>426</v>
      </c>
      <c r="BI30" s="690">
        <v>1</v>
      </c>
      <c r="BJ30" s="690">
        <v>0</v>
      </c>
      <c r="BK30" s="690">
        <v>0</v>
      </c>
      <c r="BL30" s="687">
        <f t="shared" si="20"/>
        <v>1E-3</v>
      </c>
      <c r="BM30" s="690">
        <f t="shared" si="21"/>
        <v>0</v>
      </c>
      <c r="BN30" s="690">
        <f t="shared" si="22"/>
        <v>0</v>
      </c>
      <c r="BW30" s="668" t="s">
        <v>1026</v>
      </c>
      <c r="BX30" s="729" t="s">
        <v>1027</v>
      </c>
      <c r="BY30" s="668" t="s">
        <v>426</v>
      </c>
      <c r="BZ30" s="729" t="s">
        <v>426</v>
      </c>
      <c r="CA30" s="730">
        <v>0</v>
      </c>
      <c r="CB30" s="730">
        <v>0</v>
      </c>
      <c r="CC30" s="730">
        <v>0</v>
      </c>
      <c r="CD30" s="730">
        <f t="shared" si="24"/>
        <v>0</v>
      </c>
      <c r="CE30" s="730">
        <f t="shared" si="25"/>
        <v>0</v>
      </c>
      <c r="CF30" s="730">
        <f t="shared" si="26"/>
        <v>0</v>
      </c>
      <c r="CO30" s="731" t="s">
        <v>1026</v>
      </c>
      <c r="CP30" s="731" t="s">
        <v>1027</v>
      </c>
      <c r="CQ30" s="668" t="s">
        <v>426</v>
      </c>
      <c r="CR30" s="731" t="s">
        <v>426</v>
      </c>
      <c r="CS30" s="731">
        <v>0</v>
      </c>
      <c r="CT30" s="731">
        <v>0</v>
      </c>
      <c r="CU30" s="731">
        <v>0</v>
      </c>
      <c r="CV30" s="730">
        <f t="shared" si="28"/>
        <v>0</v>
      </c>
      <c r="CW30" s="730">
        <f t="shared" si="29"/>
        <v>0</v>
      </c>
      <c r="CX30" s="730">
        <f t="shared" si="30"/>
        <v>0</v>
      </c>
      <c r="DH30" s="731" t="s">
        <v>1026</v>
      </c>
      <c r="DI30" s="731" t="s">
        <v>1027</v>
      </c>
      <c r="DJ30" s="731" t="s">
        <v>426</v>
      </c>
      <c r="DK30" s="731" t="s">
        <v>426</v>
      </c>
      <c r="DL30" s="1028">
        <v>0</v>
      </c>
      <c r="DM30" s="1028">
        <v>0</v>
      </c>
      <c r="DN30" s="1028">
        <v>0</v>
      </c>
      <c r="DO30" s="1028">
        <f t="shared" si="32"/>
        <v>0</v>
      </c>
      <c r="DP30" s="1028">
        <f t="shared" si="33"/>
        <v>0</v>
      </c>
      <c r="DQ30" s="1028">
        <f t="shared" si="34"/>
        <v>0</v>
      </c>
      <c r="EC30" s="731" t="s">
        <v>1026</v>
      </c>
      <c r="ED30" s="731" t="s">
        <v>1027</v>
      </c>
      <c r="EE30" s="668" t="s">
        <v>1077</v>
      </c>
      <c r="EF30" s="731" t="s">
        <v>1078</v>
      </c>
      <c r="EG30" s="737">
        <v>0</v>
      </c>
      <c r="EH30" s="737">
        <v>334248</v>
      </c>
      <c r="EI30" s="737">
        <v>113209</v>
      </c>
      <c r="EJ30" s="737">
        <f t="shared" si="36"/>
        <v>0</v>
      </c>
      <c r="EK30" s="737">
        <f t="shared" si="37"/>
        <v>334.24799999999999</v>
      </c>
      <c r="EL30" s="737">
        <f t="shared" si="38"/>
        <v>113.209</v>
      </c>
    </row>
    <row r="31" spans="1:142" x14ac:dyDescent="0.25">
      <c r="A31" s="668" t="s">
        <v>783</v>
      </c>
      <c r="B31" s="668" t="s">
        <v>784</v>
      </c>
      <c r="C31" s="668" t="s">
        <v>426</v>
      </c>
      <c r="D31" s="668" t="s">
        <v>426</v>
      </c>
      <c r="E31" s="687">
        <v>0</v>
      </c>
      <c r="F31" s="687">
        <v>11026865968</v>
      </c>
      <c r="G31" s="687">
        <v>11026865968</v>
      </c>
      <c r="H31" s="730">
        <f t="shared" si="8"/>
        <v>0</v>
      </c>
      <c r="I31" s="730">
        <f t="shared" si="9"/>
        <v>11026865.968</v>
      </c>
      <c r="J31" s="730">
        <f t="shared" si="10"/>
        <v>11026865.968</v>
      </c>
      <c r="S31" s="731" t="s">
        <v>781</v>
      </c>
      <c r="T31" s="731" t="s">
        <v>782</v>
      </c>
      <c r="U31" s="731" t="s">
        <v>426</v>
      </c>
      <c r="V31" s="731" t="s">
        <v>426</v>
      </c>
      <c r="W31" s="730">
        <v>23589916000</v>
      </c>
      <c r="X31" s="730">
        <v>0</v>
      </c>
      <c r="Y31" s="730">
        <v>0</v>
      </c>
      <c r="Z31" s="730">
        <f t="shared" si="12"/>
        <v>23589916</v>
      </c>
      <c r="AA31" s="730">
        <f t="shared" si="13"/>
        <v>0</v>
      </c>
      <c r="AB31" s="730">
        <f t="shared" si="14"/>
        <v>0</v>
      </c>
      <c r="AC31" s="730"/>
      <c r="AL31" s="731" t="s">
        <v>429</v>
      </c>
      <c r="AM31" s="731" t="s">
        <v>140</v>
      </c>
      <c r="AN31" s="731" t="s">
        <v>426</v>
      </c>
      <c r="AO31" s="731" t="s">
        <v>426</v>
      </c>
      <c r="AP31" s="730">
        <v>8610052000</v>
      </c>
      <c r="AQ31" s="730">
        <v>0</v>
      </c>
      <c r="AR31" s="730">
        <v>0</v>
      </c>
      <c r="AS31" s="730">
        <f t="shared" si="16"/>
        <v>8610052</v>
      </c>
      <c r="AT31" s="730">
        <f t="shared" si="17"/>
        <v>0</v>
      </c>
      <c r="AU31" s="730">
        <f t="shared" si="18"/>
        <v>0</v>
      </c>
      <c r="BE31" s="688" t="s">
        <v>884</v>
      </c>
      <c r="BF31" s="689" t="s">
        <v>885</v>
      </c>
      <c r="BG31" s="688" t="s">
        <v>426</v>
      </c>
      <c r="BH31" s="689" t="s">
        <v>426</v>
      </c>
      <c r="BI31" s="690">
        <v>1</v>
      </c>
      <c r="BJ31" s="690">
        <v>0</v>
      </c>
      <c r="BK31" s="690">
        <v>0</v>
      </c>
      <c r="BL31" s="687">
        <f t="shared" si="20"/>
        <v>1E-3</v>
      </c>
      <c r="BM31" s="690">
        <f t="shared" si="21"/>
        <v>0</v>
      </c>
      <c r="BN31" s="690">
        <f t="shared" si="22"/>
        <v>0</v>
      </c>
      <c r="BW31" s="668" t="s">
        <v>1026</v>
      </c>
      <c r="BX31" s="729" t="s">
        <v>1027</v>
      </c>
      <c r="BY31" s="668" t="s">
        <v>1050</v>
      </c>
      <c r="BZ31" s="729" t="s">
        <v>1051</v>
      </c>
      <c r="CA31" s="730">
        <v>0</v>
      </c>
      <c r="CB31" s="730">
        <v>400000</v>
      </c>
      <c r="CC31" s="730">
        <v>63214</v>
      </c>
      <c r="CD31" s="730">
        <f t="shared" si="24"/>
        <v>0</v>
      </c>
      <c r="CE31" s="730">
        <f t="shared" si="25"/>
        <v>400</v>
      </c>
      <c r="CF31" s="730">
        <f t="shared" si="26"/>
        <v>63.213999999999999</v>
      </c>
      <c r="CO31" s="731" t="s">
        <v>1026</v>
      </c>
      <c r="CP31" s="731" t="s">
        <v>1027</v>
      </c>
      <c r="CQ31" s="668" t="s">
        <v>1050</v>
      </c>
      <c r="CR31" s="731" t="s">
        <v>1051</v>
      </c>
      <c r="CS31" s="731">
        <v>0</v>
      </c>
      <c r="CT31" s="731">
        <v>870378</v>
      </c>
      <c r="CU31" s="731">
        <v>444924</v>
      </c>
      <c r="CV31" s="730">
        <f t="shared" si="28"/>
        <v>0</v>
      </c>
      <c r="CW31" s="730">
        <f t="shared" si="29"/>
        <v>870.37800000000004</v>
      </c>
      <c r="CX31" s="730">
        <f t="shared" si="30"/>
        <v>444.92399999999998</v>
      </c>
      <c r="DH31" s="731" t="s">
        <v>1026</v>
      </c>
      <c r="DI31" s="731" t="s">
        <v>1027</v>
      </c>
      <c r="DJ31" s="731" t="s">
        <v>1028</v>
      </c>
      <c r="DK31" s="731" t="s">
        <v>1029</v>
      </c>
      <c r="DL31" s="1028">
        <v>0</v>
      </c>
      <c r="DM31" s="1028">
        <v>259666667</v>
      </c>
      <c r="DN31" s="1028">
        <v>465666667</v>
      </c>
      <c r="DO31" s="1028">
        <f t="shared" si="32"/>
        <v>0</v>
      </c>
      <c r="DP31" s="1028">
        <f t="shared" si="33"/>
        <v>259666.66699999999</v>
      </c>
      <c r="DQ31" s="1028">
        <f t="shared" si="34"/>
        <v>465666.66700000002</v>
      </c>
      <c r="EC31" s="731" t="s">
        <v>1026</v>
      </c>
      <c r="ED31" s="731" t="s">
        <v>1027</v>
      </c>
      <c r="EE31" s="668" t="s">
        <v>426</v>
      </c>
      <c r="EF31" s="731" t="s">
        <v>426</v>
      </c>
      <c r="EG31" s="737">
        <v>0</v>
      </c>
      <c r="EH31" s="737">
        <v>0</v>
      </c>
      <c r="EI31" s="737">
        <v>0</v>
      </c>
      <c r="EJ31" s="737">
        <f t="shared" si="36"/>
        <v>0</v>
      </c>
      <c r="EK31" s="737">
        <f t="shared" si="37"/>
        <v>0</v>
      </c>
      <c r="EL31" s="737">
        <f t="shared" si="38"/>
        <v>0</v>
      </c>
    </row>
    <row r="32" spans="1:142" x14ac:dyDescent="0.25">
      <c r="A32" s="668" t="s">
        <v>785</v>
      </c>
      <c r="B32" s="668" t="s">
        <v>786</v>
      </c>
      <c r="C32" s="668" t="s">
        <v>426</v>
      </c>
      <c r="D32" s="668" t="s">
        <v>426</v>
      </c>
      <c r="E32" s="687">
        <v>0</v>
      </c>
      <c r="F32" s="687">
        <v>0</v>
      </c>
      <c r="G32" s="687">
        <v>0</v>
      </c>
      <c r="H32" s="730">
        <f t="shared" si="8"/>
        <v>0</v>
      </c>
      <c r="I32" s="730">
        <f t="shared" si="9"/>
        <v>0</v>
      </c>
      <c r="J32" s="730">
        <f t="shared" si="10"/>
        <v>0</v>
      </c>
      <c r="S32" s="731" t="s">
        <v>781</v>
      </c>
      <c r="T32" s="731" t="s">
        <v>782</v>
      </c>
      <c r="U32" s="731" t="s">
        <v>426</v>
      </c>
      <c r="V32" s="731" t="s">
        <v>426</v>
      </c>
      <c r="W32" s="730">
        <v>0</v>
      </c>
      <c r="X32" s="730">
        <v>107808223</v>
      </c>
      <c r="Y32" s="730">
        <v>162468440</v>
      </c>
      <c r="Z32" s="730">
        <f t="shared" si="12"/>
        <v>0</v>
      </c>
      <c r="AA32" s="730">
        <f t="shared" si="13"/>
        <v>107808.223</v>
      </c>
      <c r="AB32" s="730">
        <f t="shared" si="14"/>
        <v>162468.44</v>
      </c>
      <c r="AC32" s="730"/>
      <c r="AL32" s="731" t="s">
        <v>429</v>
      </c>
      <c r="AM32" s="731" t="s">
        <v>140</v>
      </c>
      <c r="AN32" s="731" t="s">
        <v>426</v>
      </c>
      <c r="AO32" s="731" t="s">
        <v>426</v>
      </c>
      <c r="AP32" s="730">
        <v>0</v>
      </c>
      <c r="AQ32" s="730">
        <v>0</v>
      </c>
      <c r="AR32" s="730">
        <v>470864300</v>
      </c>
      <c r="AS32" s="730">
        <f t="shared" si="16"/>
        <v>0</v>
      </c>
      <c r="AT32" s="730">
        <f t="shared" si="17"/>
        <v>0</v>
      </c>
      <c r="AU32" s="730">
        <f t="shared" si="18"/>
        <v>470864.3</v>
      </c>
      <c r="BE32" s="688" t="s">
        <v>987</v>
      </c>
      <c r="BF32" s="689" t="s">
        <v>855</v>
      </c>
      <c r="BG32" s="688" t="s">
        <v>426</v>
      </c>
      <c r="BH32" s="689" t="s">
        <v>426</v>
      </c>
      <c r="BI32" s="690">
        <v>1</v>
      </c>
      <c r="BJ32" s="690">
        <v>0</v>
      </c>
      <c r="BK32" s="690">
        <v>0</v>
      </c>
      <c r="BL32" s="687">
        <f t="shared" si="20"/>
        <v>1E-3</v>
      </c>
      <c r="BM32" s="690">
        <f t="shared" si="21"/>
        <v>0</v>
      </c>
      <c r="BN32" s="690">
        <f t="shared" si="22"/>
        <v>0</v>
      </c>
      <c r="BW32" s="668" t="s">
        <v>1017</v>
      </c>
      <c r="BX32" s="729" t="s">
        <v>846</v>
      </c>
      <c r="BY32" s="668" t="s">
        <v>426</v>
      </c>
      <c r="BZ32" s="729" t="s">
        <v>426</v>
      </c>
      <c r="CA32" s="730">
        <v>1</v>
      </c>
      <c r="CB32" s="730">
        <v>0</v>
      </c>
      <c r="CC32" s="730">
        <v>0</v>
      </c>
      <c r="CD32" s="730">
        <f t="shared" si="24"/>
        <v>1E-3</v>
      </c>
      <c r="CE32" s="730">
        <f t="shared" si="25"/>
        <v>0</v>
      </c>
      <c r="CF32" s="730">
        <f t="shared" si="26"/>
        <v>0</v>
      </c>
      <c r="CO32" s="731" t="s">
        <v>1017</v>
      </c>
      <c r="CP32" s="731" t="s">
        <v>846</v>
      </c>
      <c r="CQ32" s="668" t="s">
        <v>426</v>
      </c>
      <c r="CR32" s="731" t="s">
        <v>426</v>
      </c>
      <c r="CS32" s="731">
        <v>1</v>
      </c>
      <c r="CT32" s="731">
        <v>0</v>
      </c>
      <c r="CU32" s="731">
        <v>0</v>
      </c>
      <c r="CV32" s="730">
        <f t="shared" si="28"/>
        <v>1E-3</v>
      </c>
      <c r="CW32" s="730">
        <f t="shared" si="29"/>
        <v>0</v>
      </c>
      <c r="CX32" s="730">
        <f t="shared" si="30"/>
        <v>0</v>
      </c>
      <c r="DH32" s="731" t="s">
        <v>1026</v>
      </c>
      <c r="DI32" s="731" t="s">
        <v>1027</v>
      </c>
      <c r="DJ32" s="731" t="s">
        <v>426</v>
      </c>
      <c r="DK32" s="731" t="s">
        <v>426</v>
      </c>
      <c r="DL32" s="1028">
        <v>0</v>
      </c>
      <c r="DM32" s="1028">
        <v>0</v>
      </c>
      <c r="DN32" s="1028">
        <v>0</v>
      </c>
      <c r="DO32" s="1028">
        <f t="shared" si="32"/>
        <v>0</v>
      </c>
      <c r="DP32" s="1028">
        <f t="shared" si="33"/>
        <v>0</v>
      </c>
      <c r="DQ32" s="1028">
        <f t="shared" si="34"/>
        <v>0</v>
      </c>
      <c r="EC32" s="731" t="s">
        <v>1026</v>
      </c>
      <c r="ED32" s="731" t="s">
        <v>1027</v>
      </c>
      <c r="EE32" s="668" t="s">
        <v>1028</v>
      </c>
      <c r="EF32" s="731" t="s">
        <v>1029</v>
      </c>
      <c r="EG32" s="737">
        <v>0</v>
      </c>
      <c r="EH32" s="737">
        <v>465666667</v>
      </c>
      <c r="EI32" s="737">
        <v>295666667</v>
      </c>
      <c r="EJ32" s="737">
        <f t="shared" si="36"/>
        <v>0</v>
      </c>
      <c r="EK32" s="737">
        <f t="shared" si="37"/>
        <v>465666.66700000002</v>
      </c>
      <c r="EL32" s="737">
        <f t="shared" si="38"/>
        <v>295666.66700000002</v>
      </c>
    </row>
    <row r="33" spans="1:142" x14ac:dyDescent="0.25">
      <c r="A33" s="668" t="s">
        <v>787</v>
      </c>
      <c r="B33" s="668" t="s">
        <v>788</v>
      </c>
      <c r="C33" s="668" t="s">
        <v>426</v>
      </c>
      <c r="D33" s="668" t="s">
        <v>426</v>
      </c>
      <c r="E33" s="687">
        <v>6527670000</v>
      </c>
      <c r="F33" s="687">
        <v>0</v>
      </c>
      <c r="G33" s="687">
        <v>0</v>
      </c>
      <c r="H33" s="730">
        <f t="shared" si="8"/>
        <v>6527670</v>
      </c>
      <c r="I33" s="730">
        <f t="shared" si="9"/>
        <v>0</v>
      </c>
      <c r="J33" s="730">
        <f t="shared" si="10"/>
        <v>0</v>
      </c>
      <c r="S33" s="731" t="s">
        <v>783</v>
      </c>
      <c r="T33" s="731" t="s">
        <v>784</v>
      </c>
      <c r="U33" s="731" t="s">
        <v>426</v>
      </c>
      <c r="V33" s="731" t="s">
        <v>426</v>
      </c>
      <c r="W33" s="730">
        <v>17949263000</v>
      </c>
      <c r="X33" s="730">
        <v>0</v>
      </c>
      <c r="Y33" s="730">
        <v>0</v>
      </c>
      <c r="Z33" s="730">
        <f t="shared" si="12"/>
        <v>17949263</v>
      </c>
      <c r="AA33" s="730">
        <f t="shared" si="13"/>
        <v>0</v>
      </c>
      <c r="AB33" s="730">
        <f t="shared" si="14"/>
        <v>0</v>
      </c>
      <c r="AC33" s="730"/>
      <c r="AL33" s="731" t="s">
        <v>779</v>
      </c>
      <c r="AM33" s="731" t="s">
        <v>780</v>
      </c>
      <c r="AN33" s="731" t="s">
        <v>426</v>
      </c>
      <c r="AO33" s="731" t="s">
        <v>426</v>
      </c>
      <c r="AP33" s="730">
        <v>44226748000</v>
      </c>
      <c r="AQ33" s="730">
        <v>0</v>
      </c>
      <c r="AR33" s="730">
        <v>0</v>
      </c>
      <c r="AS33" s="730">
        <f t="shared" si="16"/>
        <v>44226748</v>
      </c>
      <c r="AT33" s="730">
        <f t="shared" si="17"/>
        <v>0</v>
      </c>
      <c r="AU33" s="730">
        <f t="shared" si="18"/>
        <v>0</v>
      </c>
      <c r="BE33" s="688" t="s">
        <v>1018</v>
      </c>
      <c r="BF33" s="689" t="s">
        <v>856</v>
      </c>
      <c r="BG33" s="688" t="s">
        <v>426</v>
      </c>
      <c r="BH33" s="689" t="s">
        <v>426</v>
      </c>
      <c r="BI33" s="690">
        <v>1</v>
      </c>
      <c r="BJ33" s="690">
        <v>0</v>
      </c>
      <c r="BK33" s="690">
        <v>0</v>
      </c>
      <c r="BL33" s="687">
        <f t="shared" si="20"/>
        <v>1E-3</v>
      </c>
      <c r="BM33" s="690">
        <f t="shared" si="21"/>
        <v>0</v>
      </c>
      <c r="BN33" s="690">
        <f t="shared" si="22"/>
        <v>0</v>
      </c>
      <c r="BW33" s="668" t="s">
        <v>884</v>
      </c>
      <c r="BX33" s="729" t="s">
        <v>885</v>
      </c>
      <c r="BY33" s="668" t="s">
        <v>426</v>
      </c>
      <c r="BZ33" s="729" t="s">
        <v>426</v>
      </c>
      <c r="CA33" s="730">
        <v>1</v>
      </c>
      <c r="CB33" s="730">
        <v>0</v>
      </c>
      <c r="CC33" s="730">
        <v>0</v>
      </c>
      <c r="CD33" s="730">
        <f t="shared" si="24"/>
        <v>1E-3</v>
      </c>
      <c r="CE33" s="730">
        <f t="shared" si="25"/>
        <v>0</v>
      </c>
      <c r="CF33" s="730">
        <f t="shared" si="26"/>
        <v>0</v>
      </c>
      <c r="CO33" s="731" t="s">
        <v>884</v>
      </c>
      <c r="CP33" s="731" t="s">
        <v>885</v>
      </c>
      <c r="CQ33" s="668" t="s">
        <v>426</v>
      </c>
      <c r="CR33" s="731" t="s">
        <v>426</v>
      </c>
      <c r="CS33" s="731">
        <v>1</v>
      </c>
      <c r="CT33" s="731">
        <v>0</v>
      </c>
      <c r="CU33" s="731">
        <v>0</v>
      </c>
      <c r="CV33" s="730">
        <f t="shared" si="28"/>
        <v>1E-3</v>
      </c>
      <c r="CW33" s="730">
        <f t="shared" si="29"/>
        <v>0</v>
      </c>
      <c r="CX33" s="730">
        <f t="shared" si="30"/>
        <v>0</v>
      </c>
      <c r="DH33" s="731" t="s">
        <v>1017</v>
      </c>
      <c r="DI33" s="731" t="s">
        <v>846</v>
      </c>
      <c r="DJ33" s="731" t="s">
        <v>426</v>
      </c>
      <c r="DK33" s="731" t="s">
        <v>426</v>
      </c>
      <c r="DL33" s="1028">
        <v>1</v>
      </c>
      <c r="DM33" s="1028">
        <v>0</v>
      </c>
      <c r="DN33" s="1028">
        <v>0</v>
      </c>
      <c r="DO33" s="1028">
        <f t="shared" si="32"/>
        <v>1E-3</v>
      </c>
      <c r="DP33" s="1028">
        <f t="shared" si="33"/>
        <v>0</v>
      </c>
      <c r="DQ33" s="1028">
        <f t="shared" si="34"/>
        <v>0</v>
      </c>
      <c r="EC33" s="731" t="s">
        <v>1017</v>
      </c>
      <c r="ED33" s="731" t="s">
        <v>846</v>
      </c>
      <c r="EE33" s="668" t="s">
        <v>426</v>
      </c>
      <c r="EF33" s="731" t="s">
        <v>426</v>
      </c>
      <c r="EG33" s="737">
        <v>1</v>
      </c>
      <c r="EH33" s="737">
        <v>0</v>
      </c>
      <c r="EI33" s="737">
        <v>0</v>
      </c>
      <c r="EJ33" s="737">
        <f t="shared" si="36"/>
        <v>1E-3</v>
      </c>
      <c r="EK33" s="737">
        <f t="shared" si="37"/>
        <v>0</v>
      </c>
      <c r="EL33" s="737">
        <f t="shared" si="38"/>
        <v>0</v>
      </c>
    </row>
    <row r="34" spans="1:142" x14ac:dyDescent="0.25">
      <c r="A34" s="668" t="s">
        <v>787</v>
      </c>
      <c r="B34" s="668" t="s">
        <v>788</v>
      </c>
      <c r="C34" s="668" t="s">
        <v>426</v>
      </c>
      <c r="D34" s="668" t="s">
        <v>426</v>
      </c>
      <c r="E34" s="687">
        <v>0</v>
      </c>
      <c r="F34" s="687">
        <v>16805000</v>
      </c>
      <c r="G34" s="687">
        <v>16805000</v>
      </c>
      <c r="H34" s="730">
        <f t="shared" si="8"/>
        <v>0</v>
      </c>
      <c r="I34" s="730">
        <f t="shared" si="9"/>
        <v>16805</v>
      </c>
      <c r="J34" s="730">
        <f t="shared" si="10"/>
        <v>16805</v>
      </c>
      <c r="S34" s="731" t="s">
        <v>783</v>
      </c>
      <c r="T34" s="731" t="s">
        <v>784</v>
      </c>
      <c r="U34" s="731" t="s">
        <v>426</v>
      </c>
      <c r="V34" s="731" t="s">
        <v>426</v>
      </c>
      <c r="W34" s="730">
        <v>0</v>
      </c>
      <c r="X34" s="730">
        <v>11026865968</v>
      </c>
      <c r="Y34" s="730">
        <v>11026865968</v>
      </c>
      <c r="Z34" s="730">
        <f t="shared" si="12"/>
        <v>0</v>
      </c>
      <c r="AA34" s="730">
        <f t="shared" si="13"/>
        <v>11026865.968</v>
      </c>
      <c r="AB34" s="730">
        <f t="shared" si="14"/>
        <v>11026865.968</v>
      </c>
      <c r="AC34" s="730"/>
      <c r="AL34" s="731" t="s">
        <v>781</v>
      </c>
      <c r="AM34" s="731" t="s">
        <v>782</v>
      </c>
      <c r="AN34" s="731" t="s">
        <v>426</v>
      </c>
      <c r="AO34" s="731" t="s">
        <v>426</v>
      </c>
      <c r="AP34" s="730">
        <v>23589916000</v>
      </c>
      <c r="AQ34" s="730">
        <v>0</v>
      </c>
      <c r="AR34" s="730">
        <v>0</v>
      </c>
      <c r="AS34" s="730">
        <f t="shared" si="16"/>
        <v>23589916</v>
      </c>
      <c r="AT34" s="730">
        <f t="shared" si="17"/>
        <v>0</v>
      </c>
      <c r="AU34" s="730">
        <f t="shared" si="18"/>
        <v>0</v>
      </c>
      <c r="BE34" s="688" t="s">
        <v>852</v>
      </c>
      <c r="BF34" s="689" t="s">
        <v>51</v>
      </c>
      <c r="BG34" s="688" t="s">
        <v>426</v>
      </c>
      <c r="BH34" s="689" t="s">
        <v>426</v>
      </c>
      <c r="BI34" s="690">
        <v>9996</v>
      </c>
      <c r="BJ34" s="690">
        <v>0</v>
      </c>
      <c r="BK34" s="690">
        <v>0</v>
      </c>
      <c r="BL34" s="687">
        <f t="shared" si="20"/>
        <v>9.9960000000000004</v>
      </c>
      <c r="BM34" s="690">
        <f t="shared" si="21"/>
        <v>0</v>
      </c>
      <c r="BN34" s="690">
        <f t="shared" si="22"/>
        <v>0</v>
      </c>
      <c r="BW34" s="668" t="s">
        <v>884</v>
      </c>
      <c r="BX34" s="729" t="s">
        <v>885</v>
      </c>
      <c r="BY34" s="668" t="s">
        <v>426</v>
      </c>
      <c r="BZ34" s="729" t="s">
        <v>426</v>
      </c>
      <c r="CA34" s="730">
        <v>0</v>
      </c>
      <c r="CB34" s="730">
        <v>3637177</v>
      </c>
      <c r="CC34" s="730">
        <v>3637177</v>
      </c>
      <c r="CD34" s="730">
        <f t="shared" si="24"/>
        <v>0</v>
      </c>
      <c r="CE34" s="730">
        <f t="shared" si="25"/>
        <v>3637.1770000000001</v>
      </c>
      <c r="CF34" s="730">
        <f t="shared" si="26"/>
        <v>3637.1770000000001</v>
      </c>
      <c r="CO34" s="731" t="s">
        <v>884</v>
      </c>
      <c r="CP34" s="731" t="s">
        <v>885</v>
      </c>
      <c r="CQ34" s="668" t="s">
        <v>426</v>
      </c>
      <c r="CR34" s="731" t="s">
        <v>426</v>
      </c>
      <c r="CS34" s="731">
        <v>0</v>
      </c>
      <c r="CT34" s="731">
        <v>3637177</v>
      </c>
      <c r="CU34" s="731">
        <v>3637177</v>
      </c>
      <c r="CV34" s="730">
        <f t="shared" si="28"/>
        <v>0</v>
      </c>
      <c r="CW34" s="730">
        <f t="shared" si="29"/>
        <v>3637.1770000000001</v>
      </c>
      <c r="CX34" s="730">
        <f t="shared" si="30"/>
        <v>3637.1770000000001</v>
      </c>
      <c r="DH34" s="731" t="s">
        <v>884</v>
      </c>
      <c r="DI34" s="731" t="s">
        <v>885</v>
      </c>
      <c r="DJ34" s="731" t="s">
        <v>426</v>
      </c>
      <c r="DK34" s="731" t="s">
        <v>426</v>
      </c>
      <c r="DL34" s="1028">
        <v>1</v>
      </c>
      <c r="DM34" s="1028">
        <v>0</v>
      </c>
      <c r="DN34" s="1028">
        <v>0</v>
      </c>
      <c r="DO34" s="1028">
        <f t="shared" si="32"/>
        <v>1E-3</v>
      </c>
      <c r="DP34" s="1028">
        <f t="shared" si="33"/>
        <v>0</v>
      </c>
      <c r="DQ34" s="1028">
        <f t="shared" si="34"/>
        <v>0</v>
      </c>
      <c r="EC34" s="731" t="s">
        <v>884</v>
      </c>
      <c r="ED34" s="731" t="s">
        <v>885</v>
      </c>
      <c r="EE34" s="668" t="s">
        <v>426</v>
      </c>
      <c r="EF34" s="731" t="s">
        <v>426</v>
      </c>
      <c r="EG34" s="737">
        <v>1</v>
      </c>
      <c r="EH34" s="737">
        <v>0</v>
      </c>
      <c r="EI34" s="737">
        <v>0</v>
      </c>
      <c r="EJ34" s="737">
        <f t="shared" si="36"/>
        <v>1E-3</v>
      </c>
      <c r="EK34" s="737">
        <f t="shared" si="37"/>
        <v>0</v>
      </c>
      <c r="EL34" s="737">
        <f t="shared" si="38"/>
        <v>0</v>
      </c>
    </row>
    <row r="35" spans="1:142" x14ac:dyDescent="0.25">
      <c r="A35" s="668" t="s">
        <v>789</v>
      </c>
      <c r="B35" s="668" t="s">
        <v>790</v>
      </c>
      <c r="C35" s="668" t="s">
        <v>426</v>
      </c>
      <c r="D35" s="668" t="s">
        <v>426</v>
      </c>
      <c r="E35" s="687">
        <v>5360526000</v>
      </c>
      <c r="F35" s="687">
        <v>0</v>
      </c>
      <c r="G35" s="687">
        <v>0</v>
      </c>
      <c r="H35" s="730">
        <f t="shared" si="8"/>
        <v>5360526</v>
      </c>
      <c r="I35" s="730">
        <f t="shared" si="9"/>
        <v>0</v>
      </c>
      <c r="J35" s="730">
        <f t="shared" si="10"/>
        <v>0</v>
      </c>
      <c r="S35" s="731" t="s">
        <v>783</v>
      </c>
      <c r="T35" s="731" t="s">
        <v>784</v>
      </c>
      <c r="U35" s="731" t="s">
        <v>426</v>
      </c>
      <c r="V35" s="731" t="s">
        <v>426</v>
      </c>
      <c r="W35" s="730">
        <v>0</v>
      </c>
      <c r="X35" s="730">
        <v>0</v>
      </c>
      <c r="Y35" s="730">
        <v>0</v>
      </c>
      <c r="Z35" s="730">
        <f t="shared" si="12"/>
        <v>0</v>
      </c>
      <c r="AA35" s="730">
        <f t="shared" si="13"/>
        <v>0</v>
      </c>
      <c r="AB35" s="730">
        <f t="shared" si="14"/>
        <v>0</v>
      </c>
      <c r="AC35" s="730"/>
      <c r="AL35" s="731" t="s">
        <v>781</v>
      </c>
      <c r="AM35" s="731" t="s">
        <v>782</v>
      </c>
      <c r="AN35" s="731" t="s">
        <v>426</v>
      </c>
      <c r="AO35" s="731" t="s">
        <v>426</v>
      </c>
      <c r="AP35" s="730">
        <v>0</v>
      </c>
      <c r="AQ35" s="730">
        <v>4617611266</v>
      </c>
      <c r="AR35" s="730">
        <v>4617611266</v>
      </c>
      <c r="AS35" s="730">
        <f t="shared" si="16"/>
        <v>0</v>
      </c>
      <c r="AT35" s="730">
        <f t="shared" si="17"/>
        <v>4617611.2659999998</v>
      </c>
      <c r="AU35" s="730">
        <f t="shared" si="18"/>
        <v>4617611.2659999998</v>
      </c>
      <c r="BE35" s="688" t="s">
        <v>429</v>
      </c>
      <c r="BF35" s="689" t="s">
        <v>140</v>
      </c>
      <c r="BG35" s="688" t="s">
        <v>426</v>
      </c>
      <c r="BH35" s="689" t="s">
        <v>426</v>
      </c>
      <c r="BI35" s="690">
        <v>8610052000</v>
      </c>
      <c r="BJ35" s="690">
        <v>0</v>
      </c>
      <c r="BK35" s="690">
        <v>0</v>
      </c>
      <c r="BL35" s="687">
        <f t="shared" si="20"/>
        <v>8610052</v>
      </c>
      <c r="BM35" s="690">
        <f t="shared" si="21"/>
        <v>0</v>
      </c>
      <c r="BN35" s="690">
        <f t="shared" si="22"/>
        <v>0</v>
      </c>
      <c r="BW35" s="668" t="s">
        <v>987</v>
      </c>
      <c r="BX35" s="729" t="s">
        <v>855</v>
      </c>
      <c r="BY35" s="668" t="s">
        <v>426</v>
      </c>
      <c r="BZ35" s="729" t="s">
        <v>426</v>
      </c>
      <c r="CA35" s="730">
        <v>1</v>
      </c>
      <c r="CB35" s="730">
        <v>0</v>
      </c>
      <c r="CC35" s="730">
        <v>0</v>
      </c>
      <c r="CD35" s="730">
        <f t="shared" si="24"/>
        <v>1E-3</v>
      </c>
      <c r="CE35" s="730">
        <f t="shared" si="25"/>
        <v>0</v>
      </c>
      <c r="CF35" s="730">
        <f t="shared" si="26"/>
        <v>0</v>
      </c>
      <c r="CO35" s="731" t="s">
        <v>987</v>
      </c>
      <c r="CP35" s="731" t="s">
        <v>855</v>
      </c>
      <c r="CQ35" s="668" t="s">
        <v>426</v>
      </c>
      <c r="CR35" s="731" t="s">
        <v>426</v>
      </c>
      <c r="CS35" s="731">
        <v>1</v>
      </c>
      <c r="CT35" s="731">
        <v>0</v>
      </c>
      <c r="CU35" s="731">
        <v>0</v>
      </c>
      <c r="CV35" s="730">
        <f t="shared" si="28"/>
        <v>1E-3</v>
      </c>
      <c r="CW35" s="730">
        <f t="shared" si="29"/>
        <v>0</v>
      </c>
      <c r="CX35" s="730">
        <f t="shared" si="30"/>
        <v>0</v>
      </c>
      <c r="DH35" s="731" t="s">
        <v>884</v>
      </c>
      <c r="DI35" s="731" t="s">
        <v>885</v>
      </c>
      <c r="DJ35" s="731" t="s">
        <v>426</v>
      </c>
      <c r="DK35" s="731" t="s">
        <v>426</v>
      </c>
      <c r="DL35" s="1028">
        <v>0</v>
      </c>
      <c r="DM35" s="1028">
        <v>3637177</v>
      </c>
      <c r="DN35" s="1028">
        <v>3637177</v>
      </c>
      <c r="DO35" s="1028">
        <f t="shared" si="32"/>
        <v>0</v>
      </c>
      <c r="DP35" s="1028">
        <f t="shared" si="33"/>
        <v>3637.1770000000001</v>
      </c>
      <c r="DQ35" s="1028">
        <f t="shared" si="34"/>
        <v>3637.1770000000001</v>
      </c>
      <c r="EC35" s="731" t="s">
        <v>884</v>
      </c>
      <c r="ED35" s="731" t="s">
        <v>885</v>
      </c>
      <c r="EE35" s="668" t="s">
        <v>426</v>
      </c>
      <c r="EF35" s="731" t="s">
        <v>426</v>
      </c>
      <c r="EG35" s="737">
        <v>0</v>
      </c>
      <c r="EH35" s="737">
        <v>3637177</v>
      </c>
      <c r="EI35" s="737">
        <v>3637177</v>
      </c>
      <c r="EJ35" s="737">
        <f t="shared" si="36"/>
        <v>0</v>
      </c>
      <c r="EK35" s="737">
        <f t="shared" si="37"/>
        <v>3637.1770000000001</v>
      </c>
      <c r="EL35" s="737">
        <f t="shared" si="38"/>
        <v>3637.1770000000001</v>
      </c>
    </row>
    <row r="36" spans="1:142" x14ac:dyDescent="0.25">
      <c r="A36" s="668" t="s">
        <v>791</v>
      </c>
      <c r="B36" s="668" t="s">
        <v>792</v>
      </c>
      <c r="C36" s="668" t="s">
        <v>426</v>
      </c>
      <c r="D36" s="668" t="s">
        <v>426</v>
      </c>
      <c r="E36" s="687">
        <v>2440674000</v>
      </c>
      <c r="F36" s="687">
        <v>0</v>
      </c>
      <c r="G36" s="687">
        <v>0</v>
      </c>
      <c r="H36" s="730">
        <f t="shared" si="8"/>
        <v>2440674</v>
      </c>
      <c r="I36" s="730">
        <f t="shared" si="9"/>
        <v>0</v>
      </c>
      <c r="J36" s="730">
        <f t="shared" si="10"/>
        <v>0</v>
      </c>
      <c r="S36" s="731" t="s">
        <v>785</v>
      </c>
      <c r="T36" s="731" t="s">
        <v>786</v>
      </c>
      <c r="U36" s="731" t="s">
        <v>426</v>
      </c>
      <c r="V36" s="731" t="s">
        <v>426</v>
      </c>
      <c r="W36" s="730">
        <v>300000000</v>
      </c>
      <c r="X36" s="730">
        <v>0</v>
      </c>
      <c r="Y36" s="730">
        <v>0</v>
      </c>
      <c r="Z36" s="730">
        <f t="shared" si="12"/>
        <v>300000</v>
      </c>
      <c r="AA36" s="730">
        <f t="shared" si="13"/>
        <v>0</v>
      </c>
      <c r="AB36" s="730">
        <f t="shared" si="14"/>
        <v>0</v>
      </c>
      <c r="AC36" s="730"/>
      <c r="AL36" s="731" t="s">
        <v>783</v>
      </c>
      <c r="AM36" s="731" t="s">
        <v>784</v>
      </c>
      <c r="AN36" s="731" t="s">
        <v>426</v>
      </c>
      <c r="AO36" s="731" t="s">
        <v>426</v>
      </c>
      <c r="AP36" s="730">
        <v>17949263000</v>
      </c>
      <c r="AQ36" s="730">
        <v>0</v>
      </c>
      <c r="AR36" s="730">
        <v>0</v>
      </c>
      <c r="AS36" s="730">
        <f t="shared" si="16"/>
        <v>17949263</v>
      </c>
      <c r="AT36" s="730">
        <f t="shared" si="17"/>
        <v>0</v>
      </c>
      <c r="AU36" s="730">
        <f t="shared" si="18"/>
        <v>0</v>
      </c>
      <c r="BE36" s="688" t="s">
        <v>429</v>
      </c>
      <c r="BF36" s="689" t="s">
        <v>140</v>
      </c>
      <c r="BG36" s="688" t="s">
        <v>426</v>
      </c>
      <c r="BH36" s="689" t="s">
        <v>426</v>
      </c>
      <c r="BI36" s="690">
        <v>0</v>
      </c>
      <c r="BJ36" s="690">
        <v>1755065125</v>
      </c>
      <c r="BK36" s="690">
        <v>2121979646</v>
      </c>
      <c r="BL36" s="687">
        <f t="shared" si="20"/>
        <v>0</v>
      </c>
      <c r="BM36" s="690">
        <f t="shared" si="21"/>
        <v>1755065.125</v>
      </c>
      <c r="BN36" s="690">
        <f t="shared" si="22"/>
        <v>2121979.6460000002</v>
      </c>
      <c r="BW36" s="668" t="s">
        <v>1018</v>
      </c>
      <c r="BX36" s="729" t="s">
        <v>856</v>
      </c>
      <c r="BY36" s="668" t="s">
        <v>426</v>
      </c>
      <c r="BZ36" s="729" t="s">
        <v>426</v>
      </c>
      <c r="CA36" s="730">
        <v>1</v>
      </c>
      <c r="CB36" s="730">
        <v>0</v>
      </c>
      <c r="CC36" s="730">
        <v>0</v>
      </c>
      <c r="CD36" s="730">
        <f t="shared" si="24"/>
        <v>1E-3</v>
      </c>
      <c r="CE36" s="730">
        <f t="shared" si="25"/>
        <v>0</v>
      </c>
      <c r="CF36" s="730">
        <f t="shared" si="26"/>
        <v>0</v>
      </c>
      <c r="CO36" s="731" t="s">
        <v>1018</v>
      </c>
      <c r="CP36" s="731" t="s">
        <v>856</v>
      </c>
      <c r="CQ36" s="668" t="s">
        <v>426</v>
      </c>
      <c r="CR36" s="731" t="s">
        <v>426</v>
      </c>
      <c r="CS36" s="731">
        <v>1</v>
      </c>
      <c r="CT36" s="731">
        <v>0</v>
      </c>
      <c r="CU36" s="731">
        <v>0</v>
      </c>
      <c r="CV36" s="730">
        <f t="shared" si="28"/>
        <v>1E-3</v>
      </c>
      <c r="CW36" s="730">
        <f t="shared" si="29"/>
        <v>0</v>
      </c>
      <c r="CX36" s="730">
        <f t="shared" si="30"/>
        <v>0</v>
      </c>
      <c r="DH36" s="731" t="s">
        <v>987</v>
      </c>
      <c r="DI36" s="731" t="s">
        <v>855</v>
      </c>
      <c r="DJ36" s="731" t="s">
        <v>426</v>
      </c>
      <c r="DK36" s="731" t="s">
        <v>426</v>
      </c>
      <c r="DL36" s="1028">
        <v>1</v>
      </c>
      <c r="DM36" s="1028">
        <v>0</v>
      </c>
      <c r="DN36" s="1028">
        <v>0</v>
      </c>
      <c r="DO36" s="1028">
        <f t="shared" si="32"/>
        <v>1E-3</v>
      </c>
      <c r="DP36" s="1028">
        <f t="shared" si="33"/>
        <v>0</v>
      </c>
      <c r="DQ36" s="1028">
        <f t="shared" si="34"/>
        <v>0</v>
      </c>
      <c r="EC36" s="731" t="s">
        <v>987</v>
      </c>
      <c r="ED36" s="731" t="s">
        <v>855</v>
      </c>
      <c r="EE36" s="668" t="s">
        <v>426</v>
      </c>
      <c r="EF36" s="731" t="s">
        <v>426</v>
      </c>
      <c r="EG36" s="737">
        <v>1</v>
      </c>
      <c r="EH36" s="737">
        <v>0</v>
      </c>
      <c r="EI36" s="737">
        <v>0</v>
      </c>
      <c r="EJ36" s="737">
        <f t="shared" si="36"/>
        <v>1E-3</v>
      </c>
      <c r="EK36" s="737">
        <f t="shared" si="37"/>
        <v>0</v>
      </c>
      <c r="EL36" s="737">
        <f t="shared" si="38"/>
        <v>0</v>
      </c>
    </row>
    <row r="37" spans="1:142" x14ac:dyDescent="0.25">
      <c r="A37" s="668" t="s">
        <v>793</v>
      </c>
      <c r="B37" s="668" t="s">
        <v>794</v>
      </c>
      <c r="C37" s="668" t="s">
        <v>426</v>
      </c>
      <c r="D37" s="668" t="s">
        <v>426</v>
      </c>
      <c r="E37" s="687">
        <v>2266492000</v>
      </c>
      <c r="F37" s="687">
        <v>0</v>
      </c>
      <c r="G37" s="687">
        <v>0</v>
      </c>
      <c r="H37" s="730">
        <f t="shared" si="8"/>
        <v>2266492</v>
      </c>
      <c r="I37" s="730">
        <f t="shared" si="9"/>
        <v>0</v>
      </c>
      <c r="J37" s="730">
        <f t="shared" si="10"/>
        <v>0</v>
      </c>
      <c r="S37" s="731" t="s">
        <v>787</v>
      </c>
      <c r="T37" s="731" t="s">
        <v>788</v>
      </c>
      <c r="U37" s="731" t="s">
        <v>426</v>
      </c>
      <c r="V37" s="731" t="s">
        <v>426</v>
      </c>
      <c r="W37" s="730">
        <v>6527670000</v>
      </c>
      <c r="X37" s="730">
        <v>0</v>
      </c>
      <c r="Y37" s="730">
        <v>0</v>
      </c>
      <c r="Z37" s="730">
        <f t="shared" si="12"/>
        <v>6527670</v>
      </c>
      <c r="AA37" s="730">
        <f t="shared" si="13"/>
        <v>0</v>
      </c>
      <c r="AB37" s="730">
        <f t="shared" si="14"/>
        <v>0</v>
      </c>
      <c r="AC37" s="730"/>
      <c r="AL37" s="731" t="s">
        <v>783</v>
      </c>
      <c r="AM37" s="731" t="s">
        <v>784</v>
      </c>
      <c r="AN37" s="731" t="s">
        <v>426</v>
      </c>
      <c r="AO37" s="731" t="s">
        <v>426</v>
      </c>
      <c r="AP37" s="730">
        <v>0</v>
      </c>
      <c r="AQ37" s="730">
        <v>0</v>
      </c>
      <c r="AR37" s="730">
        <v>0</v>
      </c>
      <c r="AS37" s="730">
        <f t="shared" si="16"/>
        <v>0</v>
      </c>
      <c r="AT37" s="730">
        <f t="shared" si="17"/>
        <v>0</v>
      </c>
      <c r="AU37" s="730">
        <f t="shared" si="18"/>
        <v>0</v>
      </c>
      <c r="BE37" s="688" t="s">
        <v>779</v>
      </c>
      <c r="BF37" s="689" t="s">
        <v>780</v>
      </c>
      <c r="BG37" s="688" t="s">
        <v>426</v>
      </c>
      <c r="BH37" s="689" t="s">
        <v>426</v>
      </c>
      <c r="BI37" s="690">
        <v>42426748000</v>
      </c>
      <c r="BJ37" s="690">
        <v>0</v>
      </c>
      <c r="BK37" s="690">
        <v>0</v>
      </c>
      <c r="BL37" s="687">
        <f t="shared" si="20"/>
        <v>42426748</v>
      </c>
      <c r="BM37" s="690">
        <f t="shared" si="21"/>
        <v>0</v>
      </c>
      <c r="BN37" s="690">
        <f t="shared" si="22"/>
        <v>0</v>
      </c>
      <c r="BW37" s="668" t="s">
        <v>852</v>
      </c>
      <c r="BX37" s="729" t="s">
        <v>51</v>
      </c>
      <c r="BY37" s="668" t="s">
        <v>426</v>
      </c>
      <c r="BZ37" s="729" t="s">
        <v>426</v>
      </c>
      <c r="CA37" s="730">
        <v>9996</v>
      </c>
      <c r="CB37" s="730">
        <v>0</v>
      </c>
      <c r="CC37" s="730">
        <v>0</v>
      </c>
      <c r="CD37" s="730">
        <f t="shared" si="24"/>
        <v>9.9960000000000004</v>
      </c>
      <c r="CE37" s="730">
        <f t="shared" si="25"/>
        <v>0</v>
      </c>
      <c r="CF37" s="730">
        <f t="shared" si="26"/>
        <v>0</v>
      </c>
      <c r="CO37" s="731" t="s">
        <v>852</v>
      </c>
      <c r="CP37" s="731" t="s">
        <v>51</v>
      </c>
      <c r="CQ37" s="668" t="s">
        <v>426</v>
      </c>
      <c r="CR37" s="731" t="s">
        <v>426</v>
      </c>
      <c r="CS37" s="731">
        <v>9996</v>
      </c>
      <c r="CT37" s="731">
        <v>0</v>
      </c>
      <c r="CU37" s="731">
        <v>0</v>
      </c>
      <c r="CV37" s="730">
        <f t="shared" si="28"/>
        <v>9.9960000000000004</v>
      </c>
      <c r="CW37" s="730">
        <f t="shared" si="29"/>
        <v>0</v>
      </c>
      <c r="CX37" s="730">
        <f t="shared" si="30"/>
        <v>0</v>
      </c>
      <c r="DH37" s="731" t="s">
        <v>1018</v>
      </c>
      <c r="DI37" s="731" t="s">
        <v>856</v>
      </c>
      <c r="DJ37" s="731" t="s">
        <v>426</v>
      </c>
      <c r="DK37" s="731" t="s">
        <v>426</v>
      </c>
      <c r="DL37" s="1028">
        <v>1</v>
      </c>
      <c r="DM37" s="1028">
        <v>0</v>
      </c>
      <c r="DN37" s="1028">
        <v>0</v>
      </c>
      <c r="DO37" s="1028">
        <f t="shared" si="32"/>
        <v>1E-3</v>
      </c>
      <c r="DP37" s="1028">
        <f t="shared" si="33"/>
        <v>0</v>
      </c>
      <c r="DQ37" s="1028">
        <f t="shared" si="34"/>
        <v>0</v>
      </c>
      <c r="EC37" s="731" t="s">
        <v>1018</v>
      </c>
      <c r="ED37" s="731" t="s">
        <v>856</v>
      </c>
      <c r="EE37" s="668" t="s">
        <v>426</v>
      </c>
      <c r="EF37" s="731" t="s">
        <v>426</v>
      </c>
      <c r="EG37" s="737">
        <v>1</v>
      </c>
      <c r="EH37" s="737">
        <v>0</v>
      </c>
      <c r="EI37" s="737">
        <v>0</v>
      </c>
      <c r="EJ37" s="737">
        <f t="shared" si="36"/>
        <v>1E-3</v>
      </c>
      <c r="EK37" s="737">
        <f t="shared" si="37"/>
        <v>0</v>
      </c>
      <c r="EL37" s="737">
        <f t="shared" si="38"/>
        <v>0</v>
      </c>
    </row>
    <row r="38" spans="1:142" x14ac:dyDescent="0.25">
      <c r="A38" s="668" t="s">
        <v>795</v>
      </c>
      <c r="B38" s="668" t="s">
        <v>796</v>
      </c>
      <c r="C38" s="668" t="s">
        <v>426</v>
      </c>
      <c r="D38" s="668" t="s">
        <v>426</v>
      </c>
      <c r="E38" s="687">
        <v>8048156000</v>
      </c>
      <c r="F38" s="687">
        <v>0</v>
      </c>
      <c r="G38" s="687">
        <v>0</v>
      </c>
      <c r="H38" s="730">
        <f t="shared" si="8"/>
        <v>8048156</v>
      </c>
      <c r="I38" s="730">
        <f t="shared" si="9"/>
        <v>0</v>
      </c>
      <c r="J38" s="730">
        <f t="shared" si="10"/>
        <v>0</v>
      </c>
      <c r="S38" s="731" t="s">
        <v>787</v>
      </c>
      <c r="T38" s="731" t="s">
        <v>788</v>
      </c>
      <c r="U38" s="731" t="s">
        <v>426</v>
      </c>
      <c r="V38" s="731" t="s">
        <v>426</v>
      </c>
      <c r="W38" s="730">
        <v>0</v>
      </c>
      <c r="X38" s="730">
        <v>16805000</v>
      </c>
      <c r="Y38" s="730">
        <v>16805000</v>
      </c>
      <c r="Z38" s="730">
        <f t="shared" si="12"/>
        <v>0</v>
      </c>
      <c r="AA38" s="730">
        <f t="shared" si="13"/>
        <v>16805</v>
      </c>
      <c r="AB38" s="730">
        <f t="shared" si="14"/>
        <v>16805</v>
      </c>
      <c r="AC38" s="730"/>
      <c r="AL38" s="731" t="s">
        <v>783</v>
      </c>
      <c r="AM38" s="731" t="s">
        <v>784</v>
      </c>
      <c r="AN38" s="731" t="s">
        <v>426</v>
      </c>
      <c r="AO38" s="731" t="s">
        <v>426</v>
      </c>
      <c r="AP38" s="730">
        <v>0</v>
      </c>
      <c r="AQ38" s="730">
        <v>11026865968</v>
      </c>
      <c r="AR38" s="730">
        <v>11026865968</v>
      </c>
      <c r="AS38" s="730">
        <f t="shared" ref="AS38:AS57" si="39">+AP38/$AS$1*$AT$1</f>
        <v>0</v>
      </c>
      <c r="AT38" s="730">
        <f t="shared" ref="AT38:AT57" si="40">+AQ38/$AS$1*$AT$1</f>
        <v>11026865.968</v>
      </c>
      <c r="AU38" s="730">
        <f t="shared" ref="AU38:AU57" si="41">+AR38/$AS$1*$AT$1</f>
        <v>11026865.968</v>
      </c>
      <c r="BE38" s="688" t="s">
        <v>779</v>
      </c>
      <c r="BF38" s="689" t="s">
        <v>780</v>
      </c>
      <c r="BG38" s="688" t="s">
        <v>426</v>
      </c>
      <c r="BH38" s="689" t="s">
        <v>426</v>
      </c>
      <c r="BI38" s="690">
        <v>0</v>
      </c>
      <c r="BJ38" s="690">
        <v>195967906</v>
      </c>
      <c r="BK38" s="690">
        <v>290371162</v>
      </c>
      <c r="BL38" s="687">
        <f t="shared" si="20"/>
        <v>0</v>
      </c>
      <c r="BM38" s="690">
        <f t="shared" si="21"/>
        <v>195967.90599999999</v>
      </c>
      <c r="BN38" s="690">
        <f t="shared" si="22"/>
        <v>290371.16200000001</v>
      </c>
      <c r="BW38" s="668" t="s">
        <v>429</v>
      </c>
      <c r="BX38" s="729" t="s">
        <v>140</v>
      </c>
      <c r="BY38" s="668" t="s">
        <v>426</v>
      </c>
      <c r="BZ38" s="729" t="s">
        <v>426</v>
      </c>
      <c r="CA38" s="730">
        <v>8610052000</v>
      </c>
      <c r="CB38" s="730">
        <v>0</v>
      </c>
      <c r="CC38" s="730">
        <v>0</v>
      </c>
      <c r="CD38" s="730">
        <f t="shared" si="24"/>
        <v>8610052</v>
      </c>
      <c r="CE38" s="730">
        <f t="shared" si="25"/>
        <v>0</v>
      </c>
      <c r="CF38" s="730">
        <f t="shared" si="26"/>
        <v>0</v>
      </c>
      <c r="CO38" s="731" t="s">
        <v>429</v>
      </c>
      <c r="CP38" s="731" t="s">
        <v>140</v>
      </c>
      <c r="CQ38" s="668" t="s">
        <v>426</v>
      </c>
      <c r="CR38" s="731" t="s">
        <v>426</v>
      </c>
      <c r="CS38" s="731">
        <v>8610052000</v>
      </c>
      <c r="CT38" s="731">
        <v>0</v>
      </c>
      <c r="CU38" s="731">
        <v>0</v>
      </c>
      <c r="CV38" s="730">
        <f t="shared" si="28"/>
        <v>8610052</v>
      </c>
      <c r="CW38" s="730">
        <f t="shared" si="29"/>
        <v>0</v>
      </c>
      <c r="CX38" s="730">
        <f t="shared" si="30"/>
        <v>0</v>
      </c>
      <c r="DH38" s="731" t="s">
        <v>852</v>
      </c>
      <c r="DI38" s="731" t="s">
        <v>51</v>
      </c>
      <c r="DJ38" s="731" t="s">
        <v>426</v>
      </c>
      <c r="DK38" s="731" t="s">
        <v>426</v>
      </c>
      <c r="DL38" s="1028">
        <v>9996</v>
      </c>
      <c r="DM38" s="1028">
        <v>0</v>
      </c>
      <c r="DN38" s="1028">
        <v>0</v>
      </c>
      <c r="DO38" s="1028">
        <f t="shared" si="32"/>
        <v>9.9960000000000004</v>
      </c>
      <c r="DP38" s="1028">
        <f t="shared" si="33"/>
        <v>0</v>
      </c>
      <c r="DQ38" s="1028">
        <f t="shared" si="34"/>
        <v>0</v>
      </c>
      <c r="EC38" s="731" t="s">
        <v>852</v>
      </c>
      <c r="ED38" s="731" t="s">
        <v>51</v>
      </c>
      <c r="EE38" s="668" t="s">
        <v>426</v>
      </c>
      <c r="EF38" s="731" t="s">
        <v>426</v>
      </c>
      <c r="EG38" s="737">
        <v>9996</v>
      </c>
      <c r="EH38" s="737">
        <v>0</v>
      </c>
      <c r="EI38" s="737">
        <v>0</v>
      </c>
      <c r="EJ38" s="737">
        <f t="shared" si="36"/>
        <v>9.9960000000000004</v>
      </c>
      <c r="EK38" s="737">
        <f t="shared" si="37"/>
        <v>0</v>
      </c>
      <c r="EL38" s="737">
        <f t="shared" si="38"/>
        <v>0</v>
      </c>
    </row>
    <row r="39" spans="1:142" x14ac:dyDescent="0.25">
      <c r="A39" s="668" t="s">
        <v>797</v>
      </c>
      <c r="B39" s="668" t="s">
        <v>798</v>
      </c>
      <c r="C39" s="668" t="s">
        <v>426</v>
      </c>
      <c r="D39" s="668" t="s">
        <v>426</v>
      </c>
      <c r="E39" s="687">
        <v>31470675000</v>
      </c>
      <c r="F39" s="687">
        <v>0</v>
      </c>
      <c r="G39" s="687">
        <v>0</v>
      </c>
      <c r="H39" s="730">
        <f t="shared" si="8"/>
        <v>31470675</v>
      </c>
      <c r="I39" s="730">
        <f t="shared" si="9"/>
        <v>0</v>
      </c>
      <c r="J39" s="730">
        <f t="shared" si="10"/>
        <v>0</v>
      </c>
      <c r="S39" s="731" t="s">
        <v>789</v>
      </c>
      <c r="T39" s="731" t="s">
        <v>790</v>
      </c>
      <c r="U39" s="731" t="s">
        <v>426</v>
      </c>
      <c r="V39" s="731" t="s">
        <v>426</v>
      </c>
      <c r="W39" s="730">
        <v>5360526000</v>
      </c>
      <c r="X39" s="730">
        <v>0</v>
      </c>
      <c r="Y39" s="730">
        <v>0</v>
      </c>
      <c r="Z39" s="730">
        <f t="shared" si="12"/>
        <v>5360526</v>
      </c>
      <c r="AA39" s="730">
        <f t="shared" si="13"/>
        <v>0</v>
      </c>
      <c r="AB39" s="730">
        <f t="shared" si="14"/>
        <v>0</v>
      </c>
      <c r="AC39" s="730"/>
      <c r="AL39" s="731" t="s">
        <v>785</v>
      </c>
      <c r="AM39" s="731" t="s">
        <v>786</v>
      </c>
      <c r="AN39" s="731" t="s">
        <v>426</v>
      </c>
      <c r="AO39" s="731" t="s">
        <v>426</v>
      </c>
      <c r="AP39" s="730">
        <v>300000000</v>
      </c>
      <c r="AQ39" s="730">
        <v>0</v>
      </c>
      <c r="AR39" s="730">
        <v>0</v>
      </c>
      <c r="AS39" s="730">
        <f t="shared" si="39"/>
        <v>300000</v>
      </c>
      <c r="AT39" s="730">
        <f t="shared" si="40"/>
        <v>0</v>
      </c>
      <c r="AU39" s="730">
        <f t="shared" si="41"/>
        <v>0</v>
      </c>
      <c r="BE39" s="688" t="s">
        <v>781</v>
      </c>
      <c r="BF39" s="689" t="s">
        <v>782</v>
      </c>
      <c r="BG39" s="688" t="s">
        <v>426</v>
      </c>
      <c r="BH39" s="689" t="s">
        <v>426</v>
      </c>
      <c r="BI39" s="690">
        <v>25389916000</v>
      </c>
      <c r="BJ39" s="690">
        <v>0</v>
      </c>
      <c r="BK39" s="690">
        <v>0</v>
      </c>
      <c r="BL39" s="687">
        <f t="shared" si="20"/>
        <v>25389916</v>
      </c>
      <c r="BM39" s="690">
        <f t="shared" si="21"/>
        <v>0</v>
      </c>
      <c r="BN39" s="690">
        <f t="shared" si="22"/>
        <v>0</v>
      </c>
      <c r="BW39" s="668" t="s">
        <v>429</v>
      </c>
      <c r="BX39" s="729" t="s">
        <v>140</v>
      </c>
      <c r="BY39" s="668" t="s">
        <v>426</v>
      </c>
      <c r="BZ39" s="729" t="s">
        <v>426</v>
      </c>
      <c r="CA39" s="730">
        <v>0</v>
      </c>
      <c r="CB39" s="730">
        <v>2121979646</v>
      </c>
      <c r="CC39" s="730">
        <v>1755065125</v>
      </c>
      <c r="CD39" s="730">
        <f t="shared" si="24"/>
        <v>0</v>
      </c>
      <c r="CE39" s="730">
        <f t="shared" si="25"/>
        <v>2121979.6460000002</v>
      </c>
      <c r="CF39" s="730">
        <f t="shared" si="26"/>
        <v>1755065.125</v>
      </c>
      <c r="CO39" s="731" t="s">
        <v>429</v>
      </c>
      <c r="CP39" s="731" t="s">
        <v>140</v>
      </c>
      <c r="CQ39" s="668" t="s">
        <v>426</v>
      </c>
      <c r="CR39" s="731" t="s">
        <v>426</v>
      </c>
      <c r="CS39" s="731">
        <v>0</v>
      </c>
      <c r="CT39" s="731">
        <v>2121979646</v>
      </c>
      <c r="CU39" s="731">
        <v>1755065125</v>
      </c>
      <c r="CV39" s="730">
        <f t="shared" si="28"/>
        <v>0</v>
      </c>
      <c r="CW39" s="730">
        <f t="shared" si="29"/>
        <v>2121979.6460000002</v>
      </c>
      <c r="CX39" s="730">
        <f t="shared" si="30"/>
        <v>1755065.125</v>
      </c>
      <c r="DH39" s="731" t="s">
        <v>429</v>
      </c>
      <c r="DI39" s="731" t="s">
        <v>140</v>
      </c>
      <c r="DJ39" s="731" t="s">
        <v>426</v>
      </c>
      <c r="DK39" s="731" t="s">
        <v>426</v>
      </c>
      <c r="DL39" s="1028">
        <v>8610052000</v>
      </c>
      <c r="DM39" s="1028">
        <v>0</v>
      </c>
      <c r="DN39" s="1028">
        <v>0</v>
      </c>
      <c r="DO39" s="1028">
        <f t="shared" si="32"/>
        <v>8610052</v>
      </c>
      <c r="DP39" s="1028">
        <f t="shared" si="33"/>
        <v>0</v>
      </c>
      <c r="DQ39" s="1028">
        <f t="shared" si="34"/>
        <v>0</v>
      </c>
      <c r="EC39" s="731" t="s">
        <v>429</v>
      </c>
      <c r="ED39" s="731" t="s">
        <v>140</v>
      </c>
      <c r="EE39" s="668" t="s">
        <v>426</v>
      </c>
      <c r="EF39" s="731" t="s">
        <v>426</v>
      </c>
      <c r="EG39" s="737">
        <v>8610052000</v>
      </c>
      <c r="EH39" s="737">
        <v>0</v>
      </c>
      <c r="EI39" s="737">
        <v>0</v>
      </c>
      <c r="EJ39" s="737">
        <f t="shared" si="36"/>
        <v>8610052</v>
      </c>
      <c r="EK39" s="737">
        <f t="shared" si="37"/>
        <v>0</v>
      </c>
      <c r="EL39" s="737">
        <f t="shared" si="38"/>
        <v>0</v>
      </c>
    </row>
    <row r="40" spans="1:142" x14ac:dyDescent="0.25">
      <c r="A40" s="668" t="s">
        <v>799</v>
      </c>
      <c r="B40" s="668" t="s">
        <v>800</v>
      </c>
      <c r="C40" s="668" t="s">
        <v>426</v>
      </c>
      <c r="D40" s="668" t="s">
        <v>426</v>
      </c>
      <c r="E40" s="687">
        <v>9562068000</v>
      </c>
      <c r="F40" s="687">
        <v>0</v>
      </c>
      <c r="G40" s="687">
        <v>0</v>
      </c>
      <c r="H40" s="730">
        <f t="shared" si="8"/>
        <v>9562068</v>
      </c>
      <c r="I40" s="730">
        <f t="shared" si="9"/>
        <v>0</v>
      </c>
      <c r="J40" s="730">
        <f t="shared" si="10"/>
        <v>0</v>
      </c>
      <c r="S40" s="731" t="s">
        <v>791</v>
      </c>
      <c r="T40" s="731" t="s">
        <v>792</v>
      </c>
      <c r="U40" s="731" t="s">
        <v>426</v>
      </c>
      <c r="V40" s="731" t="s">
        <v>426</v>
      </c>
      <c r="W40" s="730">
        <v>2440674000</v>
      </c>
      <c r="X40" s="730">
        <v>0</v>
      </c>
      <c r="Y40" s="730">
        <v>0</v>
      </c>
      <c r="Z40" s="730">
        <f t="shared" si="12"/>
        <v>2440674</v>
      </c>
      <c r="AA40" s="730">
        <f t="shared" si="13"/>
        <v>0</v>
      </c>
      <c r="AB40" s="730">
        <f t="shared" si="14"/>
        <v>0</v>
      </c>
      <c r="AC40" s="730"/>
      <c r="AL40" s="731" t="s">
        <v>785</v>
      </c>
      <c r="AM40" s="731" t="s">
        <v>786</v>
      </c>
      <c r="AN40" s="731" t="s">
        <v>426</v>
      </c>
      <c r="AO40" s="731" t="s">
        <v>426</v>
      </c>
      <c r="AP40" s="730">
        <v>0</v>
      </c>
      <c r="AQ40" s="730">
        <v>68570015</v>
      </c>
      <c r="AR40" s="730">
        <v>68570015</v>
      </c>
      <c r="AS40" s="730">
        <f t="shared" si="39"/>
        <v>0</v>
      </c>
      <c r="AT40" s="730">
        <f t="shared" si="40"/>
        <v>68570.014999999999</v>
      </c>
      <c r="AU40" s="730">
        <f t="shared" si="41"/>
        <v>68570.014999999999</v>
      </c>
      <c r="BE40" s="688" t="s">
        <v>781</v>
      </c>
      <c r="BF40" s="689" t="s">
        <v>782</v>
      </c>
      <c r="BG40" s="688" t="s">
        <v>426</v>
      </c>
      <c r="BH40" s="689" t="s">
        <v>426</v>
      </c>
      <c r="BI40" s="690">
        <v>0</v>
      </c>
      <c r="BJ40" s="690">
        <v>8730519980</v>
      </c>
      <c r="BK40" s="690">
        <v>8730519980</v>
      </c>
      <c r="BL40" s="687">
        <f t="shared" si="20"/>
        <v>0</v>
      </c>
      <c r="BM40" s="690">
        <f t="shared" si="21"/>
        <v>8730519.9800000004</v>
      </c>
      <c r="BN40" s="690">
        <f t="shared" si="22"/>
        <v>8730519.9800000004</v>
      </c>
      <c r="BW40" s="668" t="s">
        <v>779</v>
      </c>
      <c r="BX40" s="729" t="s">
        <v>780</v>
      </c>
      <c r="BY40" s="668" t="s">
        <v>426</v>
      </c>
      <c r="BZ40" s="729" t="s">
        <v>426</v>
      </c>
      <c r="CA40" s="730">
        <v>42426748000</v>
      </c>
      <c r="CB40" s="730">
        <v>0</v>
      </c>
      <c r="CC40" s="730">
        <v>0</v>
      </c>
      <c r="CD40" s="730">
        <f t="shared" si="24"/>
        <v>42426748</v>
      </c>
      <c r="CE40" s="730">
        <f t="shared" si="25"/>
        <v>0</v>
      </c>
      <c r="CF40" s="730">
        <f t="shared" si="26"/>
        <v>0</v>
      </c>
      <c r="CO40" s="731" t="s">
        <v>779</v>
      </c>
      <c r="CP40" s="731" t="s">
        <v>780</v>
      </c>
      <c r="CQ40" s="668" t="s">
        <v>426</v>
      </c>
      <c r="CR40" s="731" t="s">
        <v>426</v>
      </c>
      <c r="CS40" s="731">
        <v>42426748000</v>
      </c>
      <c r="CT40" s="731">
        <v>0</v>
      </c>
      <c r="CU40" s="731">
        <v>0</v>
      </c>
      <c r="CV40" s="730">
        <f t="shared" si="28"/>
        <v>42426748</v>
      </c>
      <c r="CW40" s="730">
        <f t="shared" si="29"/>
        <v>0</v>
      </c>
      <c r="CX40" s="730">
        <f t="shared" si="30"/>
        <v>0</v>
      </c>
      <c r="DH40" s="731" t="s">
        <v>429</v>
      </c>
      <c r="DI40" s="731" t="s">
        <v>140</v>
      </c>
      <c r="DJ40" s="731" t="s">
        <v>426</v>
      </c>
      <c r="DK40" s="731" t="s">
        <v>426</v>
      </c>
      <c r="DL40" s="1028">
        <v>0</v>
      </c>
      <c r="DM40" s="1028">
        <v>1755065125</v>
      </c>
      <c r="DN40" s="1028">
        <v>2121979646</v>
      </c>
      <c r="DO40" s="1028">
        <f t="shared" si="32"/>
        <v>0</v>
      </c>
      <c r="DP40" s="1028">
        <f t="shared" si="33"/>
        <v>1755065.125</v>
      </c>
      <c r="DQ40" s="1028">
        <f t="shared" si="34"/>
        <v>2121979.6460000002</v>
      </c>
      <c r="EC40" s="731" t="s">
        <v>429</v>
      </c>
      <c r="ED40" s="731" t="s">
        <v>140</v>
      </c>
      <c r="EE40" s="668" t="s">
        <v>426</v>
      </c>
      <c r="EF40" s="731" t="s">
        <v>426</v>
      </c>
      <c r="EG40" s="737">
        <v>0</v>
      </c>
      <c r="EH40" s="737">
        <v>2121979646</v>
      </c>
      <c r="EI40" s="737">
        <v>2121979646</v>
      </c>
      <c r="EJ40" s="737">
        <f t="shared" si="36"/>
        <v>0</v>
      </c>
      <c r="EK40" s="737">
        <f t="shared" si="37"/>
        <v>2121979.6460000002</v>
      </c>
      <c r="EL40" s="737">
        <f t="shared" si="38"/>
        <v>2121979.6460000002</v>
      </c>
    </row>
    <row r="41" spans="1:142" x14ac:dyDescent="0.25">
      <c r="A41" s="668" t="s">
        <v>427</v>
      </c>
      <c r="B41" s="668" t="s">
        <v>445</v>
      </c>
      <c r="C41" s="668" t="s">
        <v>426</v>
      </c>
      <c r="D41" s="668" t="s">
        <v>426</v>
      </c>
      <c r="E41" s="687">
        <v>17361590000</v>
      </c>
      <c r="F41" s="687">
        <v>0</v>
      </c>
      <c r="G41" s="687">
        <v>0</v>
      </c>
      <c r="H41" s="730">
        <f t="shared" si="8"/>
        <v>17361590</v>
      </c>
      <c r="I41" s="730">
        <f t="shared" si="9"/>
        <v>0</v>
      </c>
      <c r="J41" s="730">
        <f t="shared" si="10"/>
        <v>0</v>
      </c>
      <c r="S41" s="731" t="s">
        <v>791</v>
      </c>
      <c r="T41" s="731" t="s">
        <v>792</v>
      </c>
      <c r="U41" s="731" t="s">
        <v>426</v>
      </c>
      <c r="V41" s="731" t="s">
        <v>426</v>
      </c>
      <c r="W41" s="730">
        <v>0</v>
      </c>
      <c r="X41" s="730">
        <v>10000000</v>
      </c>
      <c r="Y41" s="730">
        <v>10000000</v>
      </c>
      <c r="Z41" s="730">
        <f t="shared" si="12"/>
        <v>0</v>
      </c>
      <c r="AA41" s="730">
        <f t="shared" si="13"/>
        <v>10000</v>
      </c>
      <c r="AB41" s="730">
        <f t="shared" si="14"/>
        <v>10000</v>
      </c>
      <c r="AC41" s="730"/>
      <c r="AL41" s="731" t="s">
        <v>787</v>
      </c>
      <c r="AM41" s="731" t="s">
        <v>788</v>
      </c>
      <c r="AN41" s="731" t="s">
        <v>426</v>
      </c>
      <c r="AO41" s="731" t="s">
        <v>426</v>
      </c>
      <c r="AP41" s="730">
        <v>6527670000</v>
      </c>
      <c r="AQ41" s="730">
        <v>0</v>
      </c>
      <c r="AR41" s="730">
        <v>0</v>
      </c>
      <c r="AS41" s="730">
        <f t="shared" si="39"/>
        <v>6527670</v>
      </c>
      <c r="AT41" s="730">
        <f t="shared" si="40"/>
        <v>0</v>
      </c>
      <c r="AU41" s="730">
        <f t="shared" si="41"/>
        <v>0</v>
      </c>
      <c r="BE41" s="688" t="s">
        <v>783</v>
      </c>
      <c r="BF41" s="689" t="s">
        <v>784</v>
      </c>
      <c r="BG41" s="688" t="s">
        <v>426</v>
      </c>
      <c r="BH41" s="689" t="s">
        <v>426</v>
      </c>
      <c r="BI41" s="690">
        <v>17949263000</v>
      </c>
      <c r="BJ41" s="690">
        <v>0</v>
      </c>
      <c r="BK41" s="690">
        <v>0</v>
      </c>
      <c r="BL41" s="687">
        <f t="shared" si="20"/>
        <v>17949263</v>
      </c>
      <c r="BM41" s="690">
        <f t="shared" si="21"/>
        <v>0</v>
      </c>
      <c r="BN41" s="690">
        <f t="shared" si="22"/>
        <v>0</v>
      </c>
      <c r="BW41" s="668" t="s">
        <v>779</v>
      </c>
      <c r="BX41" s="729" t="s">
        <v>780</v>
      </c>
      <c r="BY41" s="668" t="s">
        <v>426</v>
      </c>
      <c r="BZ41" s="729" t="s">
        <v>426</v>
      </c>
      <c r="CA41" s="730">
        <v>0</v>
      </c>
      <c r="CB41" s="730">
        <v>1292310132</v>
      </c>
      <c r="CC41" s="730">
        <v>1052307187</v>
      </c>
      <c r="CD41" s="730">
        <f t="shared" si="24"/>
        <v>0</v>
      </c>
      <c r="CE41" s="730">
        <f t="shared" si="25"/>
        <v>1292310.132</v>
      </c>
      <c r="CF41" s="730">
        <f t="shared" si="26"/>
        <v>1052307.1869999999</v>
      </c>
      <c r="CO41" s="731" t="s">
        <v>779</v>
      </c>
      <c r="CP41" s="731" t="s">
        <v>780</v>
      </c>
      <c r="CQ41" s="668" t="s">
        <v>426</v>
      </c>
      <c r="CR41" s="731" t="s">
        <v>426</v>
      </c>
      <c r="CS41" s="731">
        <v>0</v>
      </c>
      <c r="CT41" s="731">
        <v>2703386543</v>
      </c>
      <c r="CU41" s="731">
        <v>2703386543</v>
      </c>
      <c r="CV41" s="730">
        <f t="shared" si="28"/>
        <v>0</v>
      </c>
      <c r="CW41" s="730">
        <f t="shared" si="29"/>
        <v>2703386.5430000001</v>
      </c>
      <c r="CX41" s="730">
        <f t="shared" si="30"/>
        <v>2703386.5430000001</v>
      </c>
      <c r="DH41" s="731" t="s">
        <v>779</v>
      </c>
      <c r="DI41" s="731" t="s">
        <v>780</v>
      </c>
      <c r="DJ41" s="731" t="s">
        <v>426</v>
      </c>
      <c r="DK41" s="731" t="s">
        <v>426</v>
      </c>
      <c r="DL41" s="1028">
        <v>41426748000</v>
      </c>
      <c r="DM41" s="1028">
        <v>0</v>
      </c>
      <c r="DN41" s="1028">
        <v>0</v>
      </c>
      <c r="DO41" s="1028">
        <f t="shared" si="32"/>
        <v>41426748</v>
      </c>
      <c r="DP41" s="1028">
        <f t="shared" si="33"/>
        <v>0</v>
      </c>
      <c r="DQ41" s="1028">
        <f t="shared" si="34"/>
        <v>0</v>
      </c>
      <c r="EC41" s="731" t="s">
        <v>779</v>
      </c>
      <c r="ED41" s="731" t="s">
        <v>780</v>
      </c>
      <c r="EE41" s="668" t="s">
        <v>426</v>
      </c>
      <c r="EF41" s="731" t="s">
        <v>426</v>
      </c>
      <c r="EG41" s="737">
        <v>41426748000</v>
      </c>
      <c r="EH41" s="737">
        <v>0</v>
      </c>
      <c r="EI41" s="737">
        <v>0</v>
      </c>
      <c r="EJ41" s="737">
        <f t="shared" si="36"/>
        <v>41426748</v>
      </c>
      <c r="EK41" s="737">
        <f t="shared" si="37"/>
        <v>0</v>
      </c>
      <c r="EL41" s="737">
        <f t="shared" si="38"/>
        <v>0</v>
      </c>
    </row>
    <row r="42" spans="1:142" x14ac:dyDescent="0.25">
      <c r="A42" s="668" t="s">
        <v>430</v>
      </c>
      <c r="B42" s="668" t="s">
        <v>1030</v>
      </c>
      <c r="C42" s="668" t="s">
        <v>426</v>
      </c>
      <c r="D42" s="668" t="s">
        <v>426</v>
      </c>
      <c r="E42" s="687">
        <v>9905707000</v>
      </c>
      <c r="F42" s="687">
        <v>0</v>
      </c>
      <c r="G42" s="687">
        <v>0</v>
      </c>
      <c r="H42" s="730">
        <f t="shared" si="8"/>
        <v>9905707</v>
      </c>
      <c r="I42" s="730">
        <f t="shared" si="9"/>
        <v>0</v>
      </c>
      <c r="J42" s="730">
        <f t="shared" si="10"/>
        <v>0</v>
      </c>
      <c r="S42" s="731" t="s">
        <v>793</v>
      </c>
      <c r="T42" s="731" t="s">
        <v>794</v>
      </c>
      <c r="U42" s="731" t="s">
        <v>426</v>
      </c>
      <c r="V42" s="731" t="s">
        <v>426</v>
      </c>
      <c r="W42" s="730">
        <v>2266492000</v>
      </c>
      <c r="X42" s="730">
        <v>0</v>
      </c>
      <c r="Y42" s="730">
        <v>0</v>
      </c>
      <c r="Z42" s="730">
        <f t="shared" si="12"/>
        <v>2266492</v>
      </c>
      <c r="AA42" s="730">
        <f t="shared" si="13"/>
        <v>0</v>
      </c>
      <c r="AB42" s="730">
        <f t="shared" si="14"/>
        <v>0</v>
      </c>
      <c r="AC42" s="730"/>
      <c r="AL42" s="731" t="s">
        <v>787</v>
      </c>
      <c r="AM42" s="731" t="s">
        <v>788</v>
      </c>
      <c r="AN42" s="731" t="s">
        <v>426</v>
      </c>
      <c r="AO42" s="731" t="s">
        <v>426</v>
      </c>
      <c r="AP42" s="730">
        <v>0</v>
      </c>
      <c r="AQ42" s="730">
        <v>680765000</v>
      </c>
      <c r="AR42" s="730">
        <v>680765000</v>
      </c>
      <c r="AS42" s="730">
        <f t="shared" si="39"/>
        <v>0</v>
      </c>
      <c r="AT42" s="730">
        <f t="shared" si="40"/>
        <v>680765</v>
      </c>
      <c r="AU42" s="730">
        <f t="shared" si="41"/>
        <v>680765</v>
      </c>
      <c r="BE42" s="688" t="s">
        <v>783</v>
      </c>
      <c r="BF42" s="689" t="s">
        <v>784</v>
      </c>
      <c r="BG42" s="688" t="s">
        <v>426</v>
      </c>
      <c r="BH42" s="689" t="s">
        <v>426</v>
      </c>
      <c r="BI42" s="690">
        <v>0</v>
      </c>
      <c r="BJ42" s="690">
        <v>0</v>
      </c>
      <c r="BK42" s="690">
        <v>0</v>
      </c>
      <c r="BL42" s="687">
        <f t="shared" si="20"/>
        <v>0</v>
      </c>
      <c r="BM42" s="690">
        <f t="shared" si="21"/>
        <v>0</v>
      </c>
      <c r="BN42" s="690">
        <f t="shared" si="22"/>
        <v>0</v>
      </c>
      <c r="BW42" s="668" t="s">
        <v>781</v>
      </c>
      <c r="BX42" s="729" t="s">
        <v>782</v>
      </c>
      <c r="BY42" s="668" t="s">
        <v>426</v>
      </c>
      <c r="BZ42" s="729" t="s">
        <v>426</v>
      </c>
      <c r="CA42" s="730">
        <v>27262555000</v>
      </c>
      <c r="CB42" s="730">
        <v>0</v>
      </c>
      <c r="CC42" s="730">
        <v>0</v>
      </c>
      <c r="CD42" s="730">
        <f t="shared" si="24"/>
        <v>27262555</v>
      </c>
      <c r="CE42" s="730">
        <f t="shared" si="25"/>
        <v>0</v>
      </c>
      <c r="CF42" s="730">
        <f t="shared" si="26"/>
        <v>0</v>
      </c>
      <c r="CO42" s="731" t="s">
        <v>781</v>
      </c>
      <c r="CP42" s="731" t="s">
        <v>782</v>
      </c>
      <c r="CQ42" s="668" t="s">
        <v>426</v>
      </c>
      <c r="CR42" s="731" t="s">
        <v>426</v>
      </c>
      <c r="CS42" s="731">
        <v>27262555000</v>
      </c>
      <c r="CT42" s="731">
        <v>0</v>
      </c>
      <c r="CU42" s="731">
        <v>0</v>
      </c>
      <c r="CV42" s="730">
        <f t="shared" si="28"/>
        <v>27262555</v>
      </c>
      <c r="CW42" s="730">
        <f t="shared" si="29"/>
        <v>0</v>
      </c>
      <c r="CX42" s="730">
        <f t="shared" si="30"/>
        <v>0</v>
      </c>
      <c r="DH42" s="731" t="s">
        <v>779</v>
      </c>
      <c r="DI42" s="731" t="s">
        <v>780</v>
      </c>
      <c r="DJ42" s="731" t="s">
        <v>426</v>
      </c>
      <c r="DK42" s="731" t="s">
        <v>426</v>
      </c>
      <c r="DL42" s="1028">
        <v>0</v>
      </c>
      <c r="DM42" s="1028">
        <v>7796932739</v>
      </c>
      <c r="DN42" s="1028">
        <v>7796932739</v>
      </c>
      <c r="DO42" s="1028">
        <f t="shared" si="32"/>
        <v>0</v>
      </c>
      <c r="DP42" s="1028">
        <f t="shared" si="33"/>
        <v>7796932.7390000001</v>
      </c>
      <c r="DQ42" s="1028">
        <f t="shared" si="34"/>
        <v>7796932.7390000001</v>
      </c>
      <c r="EC42" s="731" t="s">
        <v>779</v>
      </c>
      <c r="ED42" s="731" t="s">
        <v>780</v>
      </c>
      <c r="EE42" s="668" t="s">
        <v>426</v>
      </c>
      <c r="EF42" s="731" t="s">
        <v>426</v>
      </c>
      <c r="EG42" s="737">
        <v>0</v>
      </c>
      <c r="EH42" s="737">
        <v>17736102041</v>
      </c>
      <c r="EI42" s="737">
        <v>16107289926</v>
      </c>
      <c r="EJ42" s="737">
        <f t="shared" si="36"/>
        <v>0</v>
      </c>
      <c r="EK42" s="737">
        <f t="shared" si="37"/>
        <v>17736102.041000001</v>
      </c>
      <c r="EL42" s="737">
        <f t="shared" si="38"/>
        <v>16107289.926000001</v>
      </c>
    </row>
    <row r="43" spans="1:142" x14ac:dyDescent="0.25">
      <c r="A43" s="668" t="s">
        <v>839</v>
      </c>
      <c r="B43" s="668" t="s">
        <v>840</v>
      </c>
      <c r="C43" s="668" t="s">
        <v>426</v>
      </c>
      <c r="D43" s="668" t="s">
        <v>426</v>
      </c>
      <c r="E43" s="687">
        <v>3995732000</v>
      </c>
      <c r="F43" s="687">
        <v>0</v>
      </c>
      <c r="G43" s="687">
        <v>0</v>
      </c>
      <c r="H43" s="730">
        <f t="shared" si="8"/>
        <v>3995732</v>
      </c>
      <c r="I43" s="730">
        <f t="shared" si="9"/>
        <v>0</v>
      </c>
      <c r="J43" s="730">
        <f t="shared" si="10"/>
        <v>0</v>
      </c>
      <c r="S43" s="731" t="s">
        <v>795</v>
      </c>
      <c r="T43" s="731" t="s">
        <v>796</v>
      </c>
      <c r="U43" s="731" t="s">
        <v>426</v>
      </c>
      <c r="V43" s="731" t="s">
        <v>426</v>
      </c>
      <c r="W43" s="730">
        <v>8048156000</v>
      </c>
      <c r="X43" s="730">
        <v>0</v>
      </c>
      <c r="Y43" s="730">
        <v>0</v>
      </c>
      <c r="Z43" s="730">
        <f t="shared" si="12"/>
        <v>8048156</v>
      </c>
      <c r="AA43" s="730">
        <f t="shared" si="13"/>
        <v>0</v>
      </c>
      <c r="AB43" s="730">
        <f t="shared" si="14"/>
        <v>0</v>
      </c>
      <c r="AC43" s="730"/>
      <c r="AL43" s="731" t="s">
        <v>789</v>
      </c>
      <c r="AM43" s="731" t="s">
        <v>790</v>
      </c>
      <c r="AN43" s="731" t="s">
        <v>426</v>
      </c>
      <c r="AO43" s="731" t="s">
        <v>426</v>
      </c>
      <c r="AP43" s="730">
        <v>5360526000</v>
      </c>
      <c r="AQ43" s="730">
        <v>0</v>
      </c>
      <c r="AR43" s="730">
        <v>0</v>
      </c>
      <c r="AS43" s="730">
        <f t="shared" si="39"/>
        <v>5360526</v>
      </c>
      <c r="AT43" s="730">
        <f t="shared" si="40"/>
        <v>0</v>
      </c>
      <c r="AU43" s="730">
        <f t="shared" si="41"/>
        <v>0</v>
      </c>
      <c r="BE43" s="688" t="s">
        <v>783</v>
      </c>
      <c r="BF43" s="689" t="s">
        <v>784</v>
      </c>
      <c r="BG43" s="688" t="s">
        <v>426</v>
      </c>
      <c r="BH43" s="689" t="s">
        <v>426</v>
      </c>
      <c r="BI43" s="690">
        <v>0</v>
      </c>
      <c r="BJ43" s="690">
        <v>11026865968</v>
      </c>
      <c r="BK43" s="690">
        <v>11026865968</v>
      </c>
      <c r="BL43" s="687">
        <f t="shared" si="20"/>
        <v>0</v>
      </c>
      <c r="BM43" s="690">
        <f t="shared" si="21"/>
        <v>11026865.968</v>
      </c>
      <c r="BN43" s="690">
        <f t="shared" si="22"/>
        <v>11026865.968</v>
      </c>
      <c r="BW43" s="668" t="s">
        <v>781</v>
      </c>
      <c r="BX43" s="729" t="s">
        <v>782</v>
      </c>
      <c r="BY43" s="668" t="s">
        <v>426</v>
      </c>
      <c r="BZ43" s="729" t="s">
        <v>426</v>
      </c>
      <c r="CA43" s="730">
        <v>0</v>
      </c>
      <c r="CB43" s="730">
        <v>12282857647</v>
      </c>
      <c r="CC43" s="730">
        <v>12180614799</v>
      </c>
      <c r="CD43" s="730">
        <f t="shared" si="24"/>
        <v>0</v>
      </c>
      <c r="CE43" s="730">
        <f t="shared" si="25"/>
        <v>12282857.647</v>
      </c>
      <c r="CF43" s="730">
        <f t="shared" si="26"/>
        <v>12180614.799000001</v>
      </c>
      <c r="CO43" s="731" t="s">
        <v>781</v>
      </c>
      <c r="CP43" s="731" t="s">
        <v>782</v>
      </c>
      <c r="CQ43" s="668" t="s">
        <v>426</v>
      </c>
      <c r="CR43" s="731" t="s">
        <v>426</v>
      </c>
      <c r="CS43" s="731">
        <v>0</v>
      </c>
      <c r="CT43" s="731">
        <v>14354304159</v>
      </c>
      <c r="CU43" s="731">
        <v>14354304159</v>
      </c>
      <c r="CV43" s="730">
        <f t="shared" si="28"/>
        <v>0</v>
      </c>
      <c r="CW43" s="730">
        <f t="shared" si="29"/>
        <v>14354304.159</v>
      </c>
      <c r="CX43" s="730">
        <f t="shared" si="30"/>
        <v>14354304.159</v>
      </c>
      <c r="DH43" s="731" t="s">
        <v>781</v>
      </c>
      <c r="DI43" s="731" t="s">
        <v>782</v>
      </c>
      <c r="DJ43" s="731" t="s">
        <v>426</v>
      </c>
      <c r="DK43" s="731" t="s">
        <v>426</v>
      </c>
      <c r="DL43" s="1028">
        <v>42262555000</v>
      </c>
      <c r="DM43" s="1028">
        <v>0</v>
      </c>
      <c r="DN43" s="1028">
        <v>0</v>
      </c>
      <c r="DO43" s="1028">
        <f t="shared" si="32"/>
        <v>42262555</v>
      </c>
      <c r="DP43" s="1028">
        <f t="shared" si="33"/>
        <v>0</v>
      </c>
      <c r="DQ43" s="1028">
        <f t="shared" si="34"/>
        <v>0</v>
      </c>
      <c r="EC43" s="731" t="s">
        <v>781</v>
      </c>
      <c r="ED43" s="731" t="s">
        <v>782</v>
      </c>
      <c r="EE43" s="668" t="s">
        <v>426</v>
      </c>
      <c r="EF43" s="731" t="s">
        <v>426</v>
      </c>
      <c r="EG43" s="737">
        <v>42577995000</v>
      </c>
      <c r="EH43" s="737">
        <v>0</v>
      </c>
      <c r="EI43" s="737">
        <v>0</v>
      </c>
      <c r="EJ43" s="737">
        <f t="shared" si="36"/>
        <v>42577995</v>
      </c>
      <c r="EK43" s="737">
        <f t="shared" si="37"/>
        <v>0</v>
      </c>
      <c r="EL43" s="737">
        <f t="shared" si="38"/>
        <v>0</v>
      </c>
    </row>
    <row r="44" spans="1:142" x14ac:dyDescent="0.25">
      <c r="A44" s="668" t="s">
        <v>431</v>
      </c>
      <c r="B44" s="668" t="s">
        <v>127</v>
      </c>
      <c r="C44" s="668" t="s">
        <v>426</v>
      </c>
      <c r="D44" s="668" t="s">
        <v>426</v>
      </c>
      <c r="E44" s="687">
        <v>10100</v>
      </c>
      <c r="F44" s="687">
        <v>0</v>
      </c>
      <c r="G44" s="687">
        <v>0</v>
      </c>
      <c r="H44" s="730">
        <f t="shared" si="8"/>
        <v>10.1</v>
      </c>
      <c r="I44" s="730">
        <f t="shared" si="9"/>
        <v>0</v>
      </c>
      <c r="J44" s="730">
        <f t="shared" si="10"/>
        <v>0</v>
      </c>
      <c r="S44" s="731" t="s">
        <v>797</v>
      </c>
      <c r="T44" s="731" t="s">
        <v>798</v>
      </c>
      <c r="U44" s="731" t="s">
        <v>426</v>
      </c>
      <c r="V44" s="731" t="s">
        <v>426</v>
      </c>
      <c r="W44" s="730">
        <v>31470675000</v>
      </c>
      <c r="X44" s="730">
        <v>0</v>
      </c>
      <c r="Y44" s="730">
        <v>0</v>
      </c>
      <c r="Z44" s="730">
        <f t="shared" si="12"/>
        <v>31470675</v>
      </c>
      <c r="AA44" s="730">
        <f t="shared" si="13"/>
        <v>0</v>
      </c>
      <c r="AB44" s="730">
        <f t="shared" si="14"/>
        <v>0</v>
      </c>
      <c r="AC44" s="730"/>
      <c r="AL44" s="731" t="s">
        <v>791</v>
      </c>
      <c r="AM44" s="731" t="s">
        <v>792</v>
      </c>
      <c r="AN44" s="731" t="s">
        <v>426</v>
      </c>
      <c r="AO44" s="731" t="s">
        <v>426</v>
      </c>
      <c r="AP44" s="730">
        <v>2440674000</v>
      </c>
      <c r="AQ44" s="730">
        <v>0</v>
      </c>
      <c r="AR44" s="730">
        <v>0</v>
      </c>
      <c r="AS44" s="730">
        <f t="shared" si="39"/>
        <v>2440674</v>
      </c>
      <c r="AT44" s="730">
        <f t="shared" si="40"/>
        <v>0</v>
      </c>
      <c r="AU44" s="730">
        <f t="shared" si="41"/>
        <v>0</v>
      </c>
      <c r="BE44" s="688" t="s">
        <v>785</v>
      </c>
      <c r="BF44" s="689" t="s">
        <v>786</v>
      </c>
      <c r="BG44" s="688" t="s">
        <v>426</v>
      </c>
      <c r="BH44" s="689" t="s">
        <v>426</v>
      </c>
      <c r="BI44" s="690">
        <v>300000000</v>
      </c>
      <c r="BJ44" s="690">
        <v>0</v>
      </c>
      <c r="BK44" s="690">
        <v>0</v>
      </c>
      <c r="BL44" s="687">
        <f t="shared" si="20"/>
        <v>300000</v>
      </c>
      <c r="BM44" s="690">
        <f t="shared" si="21"/>
        <v>0</v>
      </c>
      <c r="BN44" s="690">
        <f t="shared" si="22"/>
        <v>0</v>
      </c>
      <c r="BW44" s="668" t="s">
        <v>783</v>
      </c>
      <c r="BX44" s="729" t="s">
        <v>784</v>
      </c>
      <c r="BY44" s="668" t="s">
        <v>426</v>
      </c>
      <c r="BZ44" s="729" t="s">
        <v>426</v>
      </c>
      <c r="CA44" s="730">
        <v>17949263000</v>
      </c>
      <c r="CB44" s="730">
        <v>0</v>
      </c>
      <c r="CC44" s="730">
        <v>0</v>
      </c>
      <c r="CD44" s="730">
        <f t="shared" si="24"/>
        <v>17949263</v>
      </c>
      <c r="CE44" s="730">
        <f t="shared" si="25"/>
        <v>0</v>
      </c>
      <c r="CF44" s="730">
        <f t="shared" si="26"/>
        <v>0</v>
      </c>
      <c r="CO44" s="731" t="s">
        <v>783</v>
      </c>
      <c r="CP44" s="731" t="s">
        <v>784</v>
      </c>
      <c r="CQ44" s="668" t="s">
        <v>426</v>
      </c>
      <c r="CR44" s="731" t="s">
        <v>426</v>
      </c>
      <c r="CS44" s="731">
        <v>17949263000</v>
      </c>
      <c r="CT44" s="731">
        <v>0</v>
      </c>
      <c r="CU44" s="731">
        <v>0</v>
      </c>
      <c r="CV44" s="730">
        <f t="shared" si="28"/>
        <v>17949263</v>
      </c>
      <c r="CW44" s="730">
        <f t="shared" si="29"/>
        <v>0</v>
      </c>
      <c r="CX44" s="730">
        <f t="shared" si="30"/>
        <v>0</v>
      </c>
      <c r="DH44" s="731" t="s">
        <v>781</v>
      </c>
      <c r="DI44" s="731" t="s">
        <v>782</v>
      </c>
      <c r="DJ44" s="731" t="s">
        <v>426</v>
      </c>
      <c r="DK44" s="731" t="s">
        <v>426</v>
      </c>
      <c r="DL44" s="1028">
        <v>0</v>
      </c>
      <c r="DM44" s="1028">
        <v>15792796186</v>
      </c>
      <c r="DN44" s="1028">
        <v>15792796186</v>
      </c>
      <c r="DO44" s="1028">
        <f t="shared" si="32"/>
        <v>0</v>
      </c>
      <c r="DP44" s="1028">
        <f t="shared" si="33"/>
        <v>15792796.186000001</v>
      </c>
      <c r="DQ44" s="1028">
        <f t="shared" si="34"/>
        <v>15792796.186000001</v>
      </c>
      <c r="EC44" s="731" t="s">
        <v>781</v>
      </c>
      <c r="ED44" s="731" t="s">
        <v>782</v>
      </c>
      <c r="EE44" s="668" t="s">
        <v>426</v>
      </c>
      <c r="EF44" s="731" t="s">
        <v>426</v>
      </c>
      <c r="EG44" s="737">
        <v>0</v>
      </c>
      <c r="EH44" s="737">
        <v>16768198232</v>
      </c>
      <c r="EI44" s="737">
        <v>16768198232</v>
      </c>
      <c r="EJ44" s="737">
        <f t="shared" si="36"/>
        <v>0</v>
      </c>
      <c r="EK44" s="737">
        <f t="shared" si="37"/>
        <v>16768198.232000001</v>
      </c>
      <c r="EL44" s="737">
        <f t="shared" si="38"/>
        <v>16768198.232000001</v>
      </c>
    </row>
    <row r="45" spans="1:142" x14ac:dyDescent="0.25">
      <c r="A45" s="668" t="s">
        <v>431</v>
      </c>
      <c r="B45" s="668" t="s">
        <v>127</v>
      </c>
      <c r="C45" s="668" t="s">
        <v>426</v>
      </c>
      <c r="D45" s="668" t="s">
        <v>426</v>
      </c>
      <c r="E45" s="687">
        <v>0</v>
      </c>
      <c r="F45" s="687">
        <v>43933736285</v>
      </c>
      <c r="G45" s="687">
        <v>43933736285</v>
      </c>
      <c r="H45" s="730">
        <f t="shared" si="8"/>
        <v>0</v>
      </c>
      <c r="I45" s="730">
        <f t="shared" si="9"/>
        <v>43933736.284999996</v>
      </c>
      <c r="J45" s="730">
        <f t="shared" si="10"/>
        <v>43933736.284999996</v>
      </c>
      <c r="S45" s="731" t="s">
        <v>799</v>
      </c>
      <c r="T45" s="731" t="s">
        <v>800</v>
      </c>
      <c r="U45" s="731" t="s">
        <v>426</v>
      </c>
      <c r="V45" s="731" t="s">
        <v>426</v>
      </c>
      <c r="W45" s="730">
        <v>9562068000</v>
      </c>
      <c r="X45" s="730">
        <v>0</v>
      </c>
      <c r="Y45" s="730">
        <v>0</v>
      </c>
      <c r="Z45" s="730">
        <f t="shared" si="12"/>
        <v>9562068</v>
      </c>
      <c r="AA45" s="730">
        <f t="shared" si="13"/>
        <v>0</v>
      </c>
      <c r="AB45" s="730">
        <f t="shared" si="14"/>
        <v>0</v>
      </c>
      <c r="AC45" s="730"/>
      <c r="AL45" s="731" t="s">
        <v>791</v>
      </c>
      <c r="AM45" s="731" t="s">
        <v>792</v>
      </c>
      <c r="AN45" s="731" t="s">
        <v>426</v>
      </c>
      <c r="AO45" s="731" t="s">
        <v>426</v>
      </c>
      <c r="AP45" s="730">
        <v>0</v>
      </c>
      <c r="AQ45" s="730">
        <v>31277200</v>
      </c>
      <c r="AR45" s="730">
        <v>31277200</v>
      </c>
      <c r="AS45" s="730">
        <f t="shared" si="39"/>
        <v>0</v>
      </c>
      <c r="AT45" s="730">
        <f t="shared" si="40"/>
        <v>31277.200000000001</v>
      </c>
      <c r="AU45" s="730">
        <f t="shared" si="41"/>
        <v>31277.200000000001</v>
      </c>
      <c r="BE45" s="688" t="s">
        <v>785</v>
      </c>
      <c r="BF45" s="689" t="s">
        <v>786</v>
      </c>
      <c r="BG45" s="688" t="s">
        <v>426</v>
      </c>
      <c r="BH45" s="689" t="s">
        <v>426</v>
      </c>
      <c r="BI45" s="690">
        <v>0</v>
      </c>
      <c r="BJ45" s="690">
        <v>143570014</v>
      </c>
      <c r="BK45" s="690">
        <v>143570014</v>
      </c>
      <c r="BL45" s="687">
        <f t="shared" si="20"/>
        <v>0</v>
      </c>
      <c r="BM45" s="690">
        <f t="shared" si="21"/>
        <v>143570.014</v>
      </c>
      <c r="BN45" s="690">
        <f t="shared" si="22"/>
        <v>143570.014</v>
      </c>
      <c r="BW45" s="668" t="s">
        <v>783</v>
      </c>
      <c r="BX45" s="729" t="s">
        <v>784</v>
      </c>
      <c r="BY45" s="668" t="s">
        <v>426</v>
      </c>
      <c r="BZ45" s="729" t="s">
        <v>426</v>
      </c>
      <c r="CA45" s="730">
        <v>0</v>
      </c>
      <c r="CB45" s="730">
        <v>0</v>
      </c>
      <c r="CC45" s="730">
        <v>0</v>
      </c>
      <c r="CD45" s="730">
        <f t="shared" si="24"/>
        <v>0</v>
      </c>
      <c r="CE45" s="730">
        <f t="shared" si="25"/>
        <v>0</v>
      </c>
      <c r="CF45" s="730">
        <f t="shared" si="26"/>
        <v>0</v>
      </c>
      <c r="CO45" s="731" t="s">
        <v>783</v>
      </c>
      <c r="CP45" s="731" t="s">
        <v>784</v>
      </c>
      <c r="CQ45" s="668" t="s">
        <v>426</v>
      </c>
      <c r="CR45" s="731" t="s">
        <v>426</v>
      </c>
      <c r="CS45" s="731">
        <v>0</v>
      </c>
      <c r="CT45" s="731">
        <v>0</v>
      </c>
      <c r="CU45" s="731">
        <v>0</v>
      </c>
      <c r="CV45" s="730">
        <f t="shared" si="28"/>
        <v>0</v>
      </c>
      <c r="CW45" s="730">
        <f t="shared" si="29"/>
        <v>0</v>
      </c>
      <c r="CX45" s="730">
        <f t="shared" si="30"/>
        <v>0</v>
      </c>
      <c r="DH45" s="731" t="s">
        <v>783</v>
      </c>
      <c r="DI45" s="731" t="s">
        <v>784</v>
      </c>
      <c r="DJ45" s="731" t="s">
        <v>426</v>
      </c>
      <c r="DK45" s="731" t="s">
        <v>426</v>
      </c>
      <c r="DL45" s="1028">
        <v>18949263000</v>
      </c>
      <c r="DM45" s="1028">
        <v>0</v>
      </c>
      <c r="DN45" s="1028">
        <v>0</v>
      </c>
      <c r="DO45" s="1028">
        <f t="shared" si="32"/>
        <v>18949263</v>
      </c>
      <c r="DP45" s="1028">
        <f t="shared" si="33"/>
        <v>0</v>
      </c>
      <c r="DQ45" s="1028">
        <f t="shared" si="34"/>
        <v>0</v>
      </c>
      <c r="EC45" s="731" t="s">
        <v>783</v>
      </c>
      <c r="ED45" s="731" t="s">
        <v>784</v>
      </c>
      <c r="EE45" s="668" t="s">
        <v>426</v>
      </c>
      <c r="EF45" s="731" t="s">
        <v>426</v>
      </c>
      <c r="EG45" s="737">
        <v>18949263000</v>
      </c>
      <c r="EH45" s="737">
        <v>0</v>
      </c>
      <c r="EI45" s="737">
        <v>0</v>
      </c>
      <c r="EJ45" s="737">
        <f t="shared" si="36"/>
        <v>18949263</v>
      </c>
      <c r="EK45" s="737">
        <f t="shared" si="37"/>
        <v>0</v>
      </c>
      <c r="EL45" s="737">
        <f t="shared" si="38"/>
        <v>0</v>
      </c>
    </row>
    <row r="46" spans="1:142" x14ac:dyDescent="0.25">
      <c r="A46" s="668" t="s">
        <v>1031</v>
      </c>
      <c r="B46" s="668" t="s">
        <v>124</v>
      </c>
      <c r="C46" s="668" t="s">
        <v>426</v>
      </c>
      <c r="D46" s="668" t="s">
        <v>426</v>
      </c>
      <c r="E46" s="687">
        <v>100</v>
      </c>
      <c r="F46" s="687">
        <v>0</v>
      </c>
      <c r="G46" s="687">
        <v>0</v>
      </c>
      <c r="H46" s="730">
        <f t="shared" si="8"/>
        <v>0.1</v>
      </c>
      <c r="I46" s="730">
        <f t="shared" si="9"/>
        <v>0</v>
      </c>
      <c r="J46" s="730">
        <f t="shared" si="10"/>
        <v>0</v>
      </c>
      <c r="S46" s="731" t="s">
        <v>799</v>
      </c>
      <c r="T46" s="731" t="s">
        <v>800</v>
      </c>
      <c r="U46" s="731" t="s">
        <v>426</v>
      </c>
      <c r="V46" s="731" t="s">
        <v>426</v>
      </c>
      <c r="W46" s="730">
        <v>0</v>
      </c>
      <c r="X46" s="730">
        <v>2400929703</v>
      </c>
      <c r="Y46" s="730">
        <v>3070652163</v>
      </c>
      <c r="Z46" s="730">
        <f t="shared" si="12"/>
        <v>0</v>
      </c>
      <c r="AA46" s="730">
        <f t="shared" si="13"/>
        <v>2400929.7030000002</v>
      </c>
      <c r="AB46" s="730">
        <f t="shared" si="14"/>
        <v>3070652.1630000002</v>
      </c>
      <c r="AC46" s="730"/>
      <c r="AL46" s="731" t="s">
        <v>793</v>
      </c>
      <c r="AM46" s="731" t="s">
        <v>794</v>
      </c>
      <c r="AN46" s="731" t="s">
        <v>426</v>
      </c>
      <c r="AO46" s="731" t="s">
        <v>426</v>
      </c>
      <c r="AP46" s="730">
        <v>2266492000</v>
      </c>
      <c r="AQ46" s="730">
        <v>0</v>
      </c>
      <c r="AR46" s="730">
        <v>0</v>
      </c>
      <c r="AS46" s="730">
        <f t="shared" si="39"/>
        <v>2266492</v>
      </c>
      <c r="AT46" s="730">
        <f t="shared" si="40"/>
        <v>0</v>
      </c>
      <c r="AU46" s="730">
        <f t="shared" si="41"/>
        <v>0</v>
      </c>
      <c r="BE46" s="688" t="s">
        <v>787</v>
      </c>
      <c r="BF46" s="689" t="s">
        <v>788</v>
      </c>
      <c r="BG46" s="688" t="s">
        <v>426</v>
      </c>
      <c r="BH46" s="689" t="s">
        <v>426</v>
      </c>
      <c r="BI46" s="690">
        <v>6527670000</v>
      </c>
      <c r="BJ46" s="690">
        <v>0</v>
      </c>
      <c r="BK46" s="690">
        <v>0</v>
      </c>
      <c r="BL46" s="687">
        <f t="shared" si="20"/>
        <v>6527670</v>
      </c>
      <c r="BM46" s="690">
        <f t="shared" si="21"/>
        <v>0</v>
      </c>
      <c r="BN46" s="690">
        <f t="shared" si="22"/>
        <v>0</v>
      </c>
      <c r="BW46" s="668" t="s">
        <v>783</v>
      </c>
      <c r="BX46" s="729" t="s">
        <v>784</v>
      </c>
      <c r="BY46" s="668" t="s">
        <v>426</v>
      </c>
      <c r="BZ46" s="729" t="s">
        <v>426</v>
      </c>
      <c r="CA46" s="730">
        <v>0</v>
      </c>
      <c r="CB46" s="730">
        <v>11026865968</v>
      </c>
      <c r="CC46" s="730">
        <v>11026865968</v>
      </c>
      <c r="CD46" s="730">
        <f t="shared" si="24"/>
        <v>0</v>
      </c>
      <c r="CE46" s="730">
        <f t="shared" si="25"/>
        <v>11026865.968</v>
      </c>
      <c r="CF46" s="730">
        <f t="shared" si="26"/>
        <v>11026865.968</v>
      </c>
      <c r="CO46" s="731" t="s">
        <v>783</v>
      </c>
      <c r="CP46" s="731" t="s">
        <v>784</v>
      </c>
      <c r="CQ46" s="668" t="s">
        <v>426</v>
      </c>
      <c r="CR46" s="731" t="s">
        <v>426</v>
      </c>
      <c r="CS46" s="731">
        <v>0</v>
      </c>
      <c r="CT46" s="731">
        <v>11026865968</v>
      </c>
      <c r="CU46" s="731">
        <v>11026865968</v>
      </c>
      <c r="CV46" s="730">
        <f t="shared" si="28"/>
        <v>0</v>
      </c>
      <c r="CW46" s="730">
        <f t="shared" si="29"/>
        <v>11026865.968</v>
      </c>
      <c r="CX46" s="730">
        <f t="shared" si="30"/>
        <v>11026865.968</v>
      </c>
      <c r="DH46" s="731" t="s">
        <v>783</v>
      </c>
      <c r="DI46" s="731" t="s">
        <v>784</v>
      </c>
      <c r="DJ46" s="731" t="s">
        <v>426</v>
      </c>
      <c r="DK46" s="731" t="s">
        <v>426</v>
      </c>
      <c r="DL46" s="1028">
        <v>0</v>
      </c>
      <c r="DM46" s="1028">
        <v>0</v>
      </c>
      <c r="DN46" s="1028">
        <v>0</v>
      </c>
      <c r="DO46" s="1028">
        <f t="shared" si="32"/>
        <v>0</v>
      </c>
      <c r="DP46" s="1028">
        <f t="shared" si="33"/>
        <v>0</v>
      </c>
      <c r="DQ46" s="1028">
        <f t="shared" si="34"/>
        <v>0</v>
      </c>
      <c r="EC46" s="731" t="s">
        <v>783</v>
      </c>
      <c r="ED46" s="731" t="s">
        <v>784</v>
      </c>
      <c r="EE46" s="668" t="s">
        <v>426</v>
      </c>
      <c r="EF46" s="731" t="s">
        <v>426</v>
      </c>
      <c r="EG46" s="737">
        <v>0</v>
      </c>
      <c r="EH46" s="737">
        <v>18917977830</v>
      </c>
      <c r="EI46" s="737">
        <v>18917977830</v>
      </c>
      <c r="EJ46" s="737">
        <f t="shared" si="36"/>
        <v>0</v>
      </c>
      <c r="EK46" s="737">
        <f t="shared" si="37"/>
        <v>18917977.829999998</v>
      </c>
      <c r="EL46" s="737">
        <f t="shared" si="38"/>
        <v>18917977.829999998</v>
      </c>
    </row>
    <row r="47" spans="1:142" x14ac:dyDescent="0.25">
      <c r="S47" s="731" t="s">
        <v>427</v>
      </c>
      <c r="T47" s="731" t="s">
        <v>445</v>
      </c>
      <c r="U47" s="731" t="s">
        <v>426</v>
      </c>
      <c r="V47" s="731" t="s">
        <v>426</v>
      </c>
      <c r="W47" s="730">
        <v>17361590000</v>
      </c>
      <c r="X47" s="730">
        <v>0</v>
      </c>
      <c r="Y47" s="730">
        <v>0</v>
      </c>
      <c r="Z47" s="730">
        <f t="shared" si="12"/>
        <v>17361590</v>
      </c>
      <c r="AA47" s="730">
        <f t="shared" si="13"/>
        <v>0</v>
      </c>
      <c r="AB47" s="730">
        <f t="shared" si="14"/>
        <v>0</v>
      </c>
      <c r="AC47" s="730"/>
      <c r="AL47" s="731" t="s">
        <v>795</v>
      </c>
      <c r="AM47" s="731" t="s">
        <v>796</v>
      </c>
      <c r="AN47" s="731" t="s">
        <v>426</v>
      </c>
      <c r="AO47" s="731" t="s">
        <v>426</v>
      </c>
      <c r="AP47" s="730">
        <v>8048156000</v>
      </c>
      <c r="AQ47" s="730">
        <v>0</v>
      </c>
      <c r="AR47" s="730">
        <v>0</v>
      </c>
      <c r="AS47" s="730">
        <f t="shared" si="39"/>
        <v>8048156</v>
      </c>
      <c r="AT47" s="730">
        <f t="shared" si="40"/>
        <v>0</v>
      </c>
      <c r="AU47" s="730">
        <f t="shared" si="41"/>
        <v>0</v>
      </c>
      <c r="BE47" s="688" t="s">
        <v>787</v>
      </c>
      <c r="BF47" s="689" t="s">
        <v>788</v>
      </c>
      <c r="BG47" s="688" t="s">
        <v>426</v>
      </c>
      <c r="BH47" s="689" t="s">
        <v>426</v>
      </c>
      <c r="BI47" s="690">
        <v>0</v>
      </c>
      <c r="BJ47" s="690">
        <v>1376609000</v>
      </c>
      <c r="BK47" s="690">
        <v>1641209000</v>
      </c>
      <c r="BL47" s="687">
        <f t="shared" si="20"/>
        <v>0</v>
      </c>
      <c r="BM47" s="690">
        <f t="shared" si="21"/>
        <v>1376609</v>
      </c>
      <c r="BN47" s="690">
        <f t="shared" si="22"/>
        <v>1641209</v>
      </c>
      <c r="BW47" s="668" t="s">
        <v>785</v>
      </c>
      <c r="BX47" s="729" t="s">
        <v>786</v>
      </c>
      <c r="BY47" s="668" t="s">
        <v>426</v>
      </c>
      <c r="BZ47" s="729" t="s">
        <v>426</v>
      </c>
      <c r="CA47" s="730">
        <v>300000000</v>
      </c>
      <c r="CB47" s="730">
        <v>0</v>
      </c>
      <c r="CC47" s="730">
        <v>0</v>
      </c>
      <c r="CD47" s="730">
        <f t="shared" si="24"/>
        <v>300000</v>
      </c>
      <c r="CE47" s="730">
        <f t="shared" si="25"/>
        <v>0</v>
      </c>
      <c r="CF47" s="730">
        <f t="shared" si="26"/>
        <v>0</v>
      </c>
      <c r="CO47" s="731" t="s">
        <v>785</v>
      </c>
      <c r="CP47" s="731" t="s">
        <v>786</v>
      </c>
      <c r="CQ47" s="668" t="s">
        <v>426</v>
      </c>
      <c r="CR47" s="731" t="s">
        <v>426</v>
      </c>
      <c r="CS47" s="731">
        <v>300000000</v>
      </c>
      <c r="CT47" s="731">
        <v>0</v>
      </c>
      <c r="CU47" s="731">
        <v>0</v>
      </c>
      <c r="CV47" s="730">
        <f t="shared" si="28"/>
        <v>300000</v>
      </c>
      <c r="CW47" s="730">
        <f t="shared" si="29"/>
        <v>0</v>
      </c>
      <c r="CX47" s="730">
        <f t="shared" si="30"/>
        <v>0</v>
      </c>
      <c r="DH47" s="731" t="s">
        <v>783</v>
      </c>
      <c r="DI47" s="731" t="s">
        <v>784</v>
      </c>
      <c r="DJ47" s="731" t="s">
        <v>426</v>
      </c>
      <c r="DK47" s="731" t="s">
        <v>426</v>
      </c>
      <c r="DL47" s="1028">
        <v>0</v>
      </c>
      <c r="DM47" s="1028">
        <v>18917977830</v>
      </c>
      <c r="DN47" s="1028">
        <v>18917977830</v>
      </c>
      <c r="DO47" s="1028">
        <f t="shared" si="32"/>
        <v>0</v>
      </c>
      <c r="DP47" s="1028">
        <f t="shared" si="33"/>
        <v>18917977.829999998</v>
      </c>
      <c r="DQ47" s="1028">
        <f t="shared" si="34"/>
        <v>18917977.829999998</v>
      </c>
      <c r="EC47" s="731" t="s">
        <v>783</v>
      </c>
      <c r="ED47" s="731" t="s">
        <v>784</v>
      </c>
      <c r="EE47" s="668" t="s">
        <v>426</v>
      </c>
      <c r="EF47" s="731" t="s">
        <v>426</v>
      </c>
      <c r="EG47" s="737">
        <v>0</v>
      </c>
      <c r="EH47" s="737">
        <v>0</v>
      </c>
      <c r="EI47" s="737">
        <v>0</v>
      </c>
      <c r="EJ47" s="737">
        <f t="shared" si="36"/>
        <v>0</v>
      </c>
      <c r="EK47" s="737">
        <f t="shared" si="37"/>
        <v>0</v>
      </c>
      <c r="EL47" s="737">
        <f t="shared" si="38"/>
        <v>0</v>
      </c>
    </row>
    <row r="48" spans="1:142" x14ac:dyDescent="0.25">
      <c r="S48" s="731" t="s">
        <v>430</v>
      </c>
      <c r="T48" s="731" t="s">
        <v>1030</v>
      </c>
      <c r="U48" s="731" t="s">
        <v>426</v>
      </c>
      <c r="V48" s="731" t="s">
        <v>426</v>
      </c>
      <c r="W48" s="730">
        <v>9905707000</v>
      </c>
      <c r="X48" s="730">
        <v>0</v>
      </c>
      <c r="Y48" s="730">
        <v>0</v>
      </c>
      <c r="Z48" s="730">
        <f t="shared" si="12"/>
        <v>9905707</v>
      </c>
      <c r="AA48" s="730">
        <f t="shared" si="13"/>
        <v>0</v>
      </c>
      <c r="AB48" s="730">
        <f t="shared" si="14"/>
        <v>0</v>
      </c>
      <c r="AC48" s="730"/>
      <c r="AL48" s="731" t="s">
        <v>797</v>
      </c>
      <c r="AM48" s="731" t="s">
        <v>798</v>
      </c>
      <c r="AN48" s="731" t="s">
        <v>426</v>
      </c>
      <c r="AO48" s="731" t="s">
        <v>426</v>
      </c>
      <c r="AP48" s="730">
        <v>31470675000</v>
      </c>
      <c r="AQ48" s="730">
        <v>0</v>
      </c>
      <c r="AR48" s="730">
        <v>0</v>
      </c>
      <c r="AS48" s="730">
        <f t="shared" si="39"/>
        <v>31470675</v>
      </c>
      <c r="AT48" s="730">
        <f t="shared" si="40"/>
        <v>0</v>
      </c>
      <c r="AU48" s="730">
        <f t="shared" si="41"/>
        <v>0</v>
      </c>
      <c r="BE48" s="688" t="s">
        <v>789</v>
      </c>
      <c r="BF48" s="689" t="s">
        <v>790</v>
      </c>
      <c r="BG48" s="688" t="s">
        <v>426</v>
      </c>
      <c r="BH48" s="689" t="s">
        <v>426</v>
      </c>
      <c r="BI48" s="690">
        <v>5360526000</v>
      </c>
      <c r="BJ48" s="690">
        <v>0</v>
      </c>
      <c r="BK48" s="690">
        <v>0</v>
      </c>
      <c r="BL48" s="687">
        <f t="shared" si="20"/>
        <v>5360526</v>
      </c>
      <c r="BM48" s="690">
        <f t="shared" si="21"/>
        <v>0</v>
      </c>
      <c r="BN48" s="690">
        <f t="shared" si="22"/>
        <v>0</v>
      </c>
      <c r="BW48" s="668" t="s">
        <v>785</v>
      </c>
      <c r="BX48" s="729" t="s">
        <v>786</v>
      </c>
      <c r="BY48" s="668" t="s">
        <v>426</v>
      </c>
      <c r="BZ48" s="729" t="s">
        <v>426</v>
      </c>
      <c r="CA48" s="730">
        <v>0</v>
      </c>
      <c r="CB48" s="730">
        <v>143570014</v>
      </c>
      <c r="CC48" s="730">
        <v>143570014</v>
      </c>
      <c r="CD48" s="730">
        <f t="shared" si="24"/>
        <v>0</v>
      </c>
      <c r="CE48" s="730">
        <f t="shared" si="25"/>
        <v>143570.014</v>
      </c>
      <c r="CF48" s="730">
        <f t="shared" si="26"/>
        <v>143570.014</v>
      </c>
      <c r="CO48" s="731" t="s">
        <v>785</v>
      </c>
      <c r="CP48" s="731" t="s">
        <v>786</v>
      </c>
      <c r="CQ48" s="668" t="s">
        <v>426</v>
      </c>
      <c r="CR48" s="731" t="s">
        <v>426</v>
      </c>
      <c r="CS48" s="731">
        <v>0</v>
      </c>
      <c r="CT48" s="731">
        <v>143570014</v>
      </c>
      <c r="CU48" s="731">
        <v>143570014</v>
      </c>
      <c r="CV48" s="730">
        <f t="shared" si="28"/>
        <v>0</v>
      </c>
      <c r="CW48" s="730">
        <f t="shared" si="29"/>
        <v>143570.014</v>
      </c>
      <c r="CX48" s="730">
        <f t="shared" si="30"/>
        <v>143570.014</v>
      </c>
      <c r="DH48" s="731" t="s">
        <v>785</v>
      </c>
      <c r="DI48" s="731" t="s">
        <v>786</v>
      </c>
      <c r="DJ48" s="731" t="s">
        <v>426</v>
      </c>
      <c r="DK48" s="731" t="s">
        <v>426</v>
      </c>
      <c r="DL48" s="1028">
        <v>300000000</v>
      </c>
      <c r="DM48" s="1028">
        <v>0</v>
      </c>
      <c r="DN48" s="1028">
        <v>0</v>
      </c>
      <c r="DO48" s="1028">
        <f t="shared" si="32"/>
        <v>300000</v>
      </c>
      <c r="DP48" s="1028">
        <f t="shared" si="33"/>
        <v>0</v>
      </c>
      <c r="DQ48" s="1028">
        <f t="shared" si="34"/>
        <v>0</v>
      </c>
      <c r="EC48" s="731" t="s">
        <v>785</v>
      </c>
      <c r="ED48" s="731" t="s">
        <v>786</v>
      </c>
      <c r="EE48" s="668" t="s">
        <v>426</v>
      </c>
      <c r="EF48" s="731" t="s">
        <v>426</v>
      </c>
      <c r="EG48" s="737">
        <v>300000000</v>
      </c>
      <c r="EH48" s="737">
        <v>0</v>
      </c>
      <c r="EI48" s="737">
        <v>0</v>
      </c>
      <c r="EJ48" s="737">
        <f t="shared" si="36"/>
        <v>300000</v>
      </c>
      <c r="EK48" s="737">
        <f t="shared" si="37"/>
        <v>0</v>
      </c>
      <c r="EL48" s="737">
        <f t="shared" si="38"/>
        <v>0</v>
      </c>
    </row>
    <row r="49" spans="19:142" x14ac:dyDescent="0.25">
      <c r="S49" s="731" t="s">
        <v>839</v>
      </c>
      <c r="T49" s="731" t="s">
        <v>840</v>
      </c>
      <c r="U49" s="731" t="s">
        <v>426</v>
      </c>
      <c r="V49" s="731" t="s">
        <v>426</v>
      </c>
      <c r="W49" s="730">
        <v>3995732000</v>
      </c>
      <c r="X49" s="730">
        <v>0</v>
      </c>
      <c r="Y49" s="730">
        <v>0</v>
      </c>
      <c r="Z49" s="730">
        <f t="shared" si="12"/>
        <v>3995732</v>
      </c>
      <c r="AA49" s="730">
        <f t="shared" si="13"/>
        <v>0</v>
      </c>
      <c r="AB49" s="730">
        <f t="shared" si="14"/>
        <v>0</v>
      </c>
      <c r="AC49" s="730"/>
      <c r="AL49" s="731" t="s">
        <v>797</v>
      </c>
      <c r="AM49" s="731" t="s">
        <v>798</v>
      </c>
      <c r="AN49" s="731" t="s">
        <v>426</v>
      </c>
      <c r="AO49" s="731" t="s">
        <v>426</v>
      </c>
      <c r="AP49" s="730">
        <v>0</v>
      </c>
      <c r="AQ49" s="730">
        <v>96325179</v>
      </c>
      <c r="AR49" s="730">
        <v>146674724</v>
      </c>
      <c r="AS49" s="730">
        <f t="shared" si="39"/>
        <v>0</v>
      </c>
      <c r="AT49" s="730">
        <f t="shared" si="40"/>
        <v>96325.179000000004</v>
      </c>
      <c r="AU49" s="730">
        <f t="shared" si="41"/>
        <v>146674.72399999999</v>
      </c>
      <c r="BE49" s="688" t="s">
        <v>791</v>
      </c>
      <c r="BF49" s="689" t="s">
        <v>792</v>
      </c>
      <c r="BG49" s="688" t="s">
        <v>426</v>
      </c>
      <c r="BH49" s="689" t="s">
        <v>426</v>
      </c>
      <c r="BI49" s="690">
        <v>2440674000</v>
      </c>
      <c r="BJ49" s="690">
        <v>0</v>
      </c>
      <c r="BK49" s="690">
        <v>0</v>
      </c>
      <c r="BL49" s="687">
        <f t="shared" si="20"/>
        <v>2440674</v>
      </c>
      <c r="BM49" s="690">
        <f t="shared" si="21"/>
        <v>0</v>
      </c>
      <c r="BN49" s="690">
        <f t="shared" si="22"/>
        <v>0</v>
      </c>
      <c r="BW49" s="668" t="s">
        <v>787</v>
      </c>
      <c r="BX49" s="729" t="s">
        <v>788</v>
      </c>
      <c r="BY49" s="668" t="s">
        <v>426</v>
      </c>
      <c r="BZ49" s="729" t="s">
        <v>426</v>
      </c>
      <c r="CA49" s="730">
        <v>6527670000</v>
      </c>
      <c r="CB49" s="730">
        <v>0</v>
      </c>
      <c r="CC49" s="730">
        <v>0</v>
      </c>
      <c r="CD49" s="730">
        <f t="shared" si="24"/>
        <v>6527670</v>
      </c>
      <c r="CE49" s="730">
        <f t="shared" si="25"/>
        <v>0</v>
      </c>
      <c r="CF49" s="730">
        <f t="shared" si="26"/>
        <v>0</v>
      </c>
      <c r="CO49" s="731" t="s">
        <v>787</v>
      </c>
      <c r="CP49" s="731" t="s">
        <v>788</v>
      </c>
      <c r="CQ49" s="668" t="s">
        <v>426</v>
      </c>
      <c r="CR49" s="731" t="s">
        <v>426</v>
      </c>
      <c r="CS49" s="731">
        <v>6527670000</v>
      </c>
      <c r="CT49" s="731">
        <v>0</v>
      </c>
      <c r="CU49" s="731">
        <v>0</v>
      </c>
      <c r="CV49" s="730">
        <f t="shared" si="28"/>
        <v>6527670</v>
      </c>
      <c r="CW49" s="730">
        <f t="shared" si="29"/>
        <v>0</v>
      </c>
      <c r="CX49" s="730">
        <f t="shared" si="30"/>
        <v>0</v>
      </c>
      <c r="DH49" s="731" t="s">
        <v>785</v>
      </c>
      <c r="DI49" s="731" t="s">
        <v>786</v>
      </c>
      <c r="DJ49" s="731" t="s">
        <v>426</v>
      </c>
      <c r="DK49" s="731" t="s">
        <v>426</v>
      </c>
      <c r="DL49" s="1028">
        <v>0</v>
      </c>
      <c r="DM49" s="1028">
        <v>143570014</v>
      </c>
      <c r="DN49" s="1028">
        <v>143570014</v>
      </c>
      <c r="DO49" s="1028">
        <f t="shared" si="32"/>
        <v>0</v>
      </c>
      <c r="DP49" s="1028">
        <f t="shared" si="33"/>
        <v>143570.014</v>
      </c>
      <c r="DQ49" s="1028">
        <f t="shared" si="34"/>
        <v>143570.014</v>
      </c>
      <c r="EC49" s="731" t="s">
        <v>785</v>
      </c>
      <c r="ED49" s="731" t="s">
        <v>786</v>
      </c>
      <c r="EE49" s="668" t="s">
        <v>426</v>
      </c>
      <c r="EF49" s="731" t="s">
        <v>426</v>
      </c>
      <c r="EG49" s="737">
        <v>0</v>
      </c>
      <c r="EH49" s="737">
        <v>143570014</v>
      </c>
      <c r="EI49" s="737">
        <v>143570014</v>
      </c>
      <c r="EJ49" s="737">
        <f t="shared" si="36"/>
        <v>0</v>
      </c>
      <c r="EK49" s="737">
        <f t="shared" si="37"/>
        <v>143570.014</v>
      </c>
      <c r="EL49" s="737">
        <f t="shared" si="38"/>
        <v>143570.014</v>
      </c>
    </row>
    <row r="50" spans="19:142" x14ac:dyDescent="0.25">
      <c r="S50" s="731" t="s">
        <v>431</v>
      </c>
      <c r="T50" s="731" t="s">
        <v>127</v>
      </c>
      <c r="U50" s="731" t="s">
        <v>426</v>
      </c>
      <c r="V50" s="731" t="s">
        <v>426</v>
      </c>
      <c r="W50" s="730">
        <v>10100</v>
      </c>
      <c r="X50" s="730">
        <v>0</v>
      </c>
      <c r="Y50" s="730">
        <v>0</v>
      </c>
      <c r="Z50" s="730">
        <f t="shared" si="12"/>
        <v>10.1</v>
      </c>
      <c r="AA50" s="730">
        <f t="shared" si="13"/>
        <v>0</v>
      </c>
      <c r="AB50" s="730">
        <f t="shared" si="14"/>
        <v>0</v>
      </c>
      <c r="AC50" s="730"/>
      <c r="AL50" s="731" t="s">
        <v>799</v>
      </c>
      <c r="AM50" s="731" t="s">
        <v>800</v>
      </c>
      <c r="AN50" s="731" t="s">
        <v>426</v>
      </c>
      <c r="AO50" s="731" t="s">
        <v>426</v>
      </c>
      <c r="AP50" s="730">
        <v>9562068000</v>
      </c>
      <c r="AQ50" s="730">
        <v>0</v>
      </c>
      <c r="AR50" s="730">
        <v>0</v>
      </c>
      <c r="AS50" s="730">
        <f t="shared" si="39"/>
        <v>9562068</v>
      </c>
      <c r="AT50" s="730">
        <f t="shared" si="40"/>
        <v>0</v>
      </c>
      <c r="AU50" s="730">
        <f t="shared" si="41"/>
        <v>0</v>
      </c>
      <c r="BE50" s="688" t="s">
        <v>791</v>
      </c>
      <c r="BF50" s="689" t="s">
        <v>792</v>
      </c>
      <c r="BG50" s="688" t="s">
        <v>426</v>
      </c>
      <c r="BH50" s="689" t="s">
        <v>426</v>
      </c>
      <c r="BI50" s="690">
        <v>0</v>
      </c>
      <c r="BJ50" s="690">
        <v>31277200</v>
      </c>
      <c r="BK50" s="690">
        <v>104962352</v>
      </c>
      <c r="BL50" s="687">
        <f t="shared" si="20"/>
        <v>0</v>
      </c>
      <c r="BM50" s="690">
        <f t="shared" si="21"/>
        <v>31277.200000000001</v>
      </c>
      <c r="BN50" s="690">
        <f t="shared" si="22"/>
        <v>104962.352</v>
      </c>
      <c r="BW50" s="668" t="s">
        <v>787</v>
      </c>
      <c r="BX50" s="729" t="s">
        <v>788</v>
      </c>
      <c r="BY50" s="668" t="s">
        <v>426</v>
      </c>
      <c r="BZ50" s="729" t="s">
        <v>426</v>
      </c>
      <c r="CA50" s="730">
        <v>0</v>
      </c>
      <c r="CB50" s="730">
        <v>2228404399</v>
      </c>
      <c r="CC50" s="730">
        <v>2129404399</v>
      </c>
      <c r="CD50" s="730">
        <f t="shared" si="24"/>
        <v>0</v>
      </c>
      <c r="CE50" s="730">
        <f t="shared" si="25"/>
        <v>2228404.3990000002</v>
      </c>
      <c r="CF50" s="730">
        <f t="shared" si="26"/>
        <v>2129404.3990000002</v>
      </c>
      <c r="CO50" s="731" t="s">
        <v>787</v>
      </c>
      <c r="CP50" s="731" t="s">
        <v>788</v>
      </c>
      <c r="CQ50" s="668" t="s">
        <v>426</v>
      </c>
      <c r="CR50" s="731" t="s">
        <v>426</v>
      </c>
      <c r="CS50" s="731">
        <v>0</v>
      </c>
      <c r="CT50" s="731">
        <v>2571204749</v>
      </c>
      <c r="CU50" s="731">
        <v>2448136619</v>
      </c>
      <c r="CV50" s="730">
        <f t="shared" si="28"/>
        <v>0</v>
      </c>
      <c r="CW50" s="730">
        <f t="shared" si="29"/>
        <v>2571204.7489999998</v>
      </c>
      <c r="CX50" s="730">
        <f t="shared" si="30"/>
        <v>2448136.6189999999</v>
      </c>
      <c r="DH50" s="731" t="s">
        <v>787</v>
      </c>
      <c r="DI50" s="731" t="s">
        <v>788</v>
      </c>
      <c r="DJ50" s="731" t="s">
        <v>426</v>
      </c>
      <c r="DK50" s="731" t="s">
        <v>426</v>
      </c>
      <c r="DL50" s="1028">
        <v>7550100000</v>
      </c>
      <c r="DM50" s="1028">
        <v>0</v>
      </c>
      <c r="DN50" s="1028">
        <v>0</v>
      </c>
      <c r="DO50" s="1028">
        <f t="shared" si="32"/>
        <v>7550100</v>
      </c>
      <c r="DP50" s="1028">
        <f t="shared" si="33"/>
        <v>0</v>
      </c>
      <c r="DQ50" s="1028">
        <f t="shared" si="34"/>
        <v>0</v>
      </c>
      <c r="EC50" s="731" t="s">
        <v>787</v>
      </c>
      <c r="ED50" s="731" t="s">
        <v>788</v>
      </c>
      <c r="EE50" s="668" t="s">
        <v>426</v>
      </c>
      <c r="EF50" s="731" t="s">
        <v>426</v>
      </c>
      <c r="EG50" s="737">
        <v>7550100000</v>
      </c>
      <c r="EH50" s="737">
        <v>0</v>
      </c>
      <c r="EI50" s="737">
        <v>0</v>
      </c>
      <c r="EJ50" s="737">
        <f t="shared" si="36"/>
        <v>7550100</v>
      </c>
      <c r="EK50" s="737">
        <f t="shared" si="37"/>
        <v>0</v>
      </c>
      <c r="EL50" s="737">
        <f t="shared" si="38"/>
        <v>0</v>
      </c>
    </row>
    <row r="51" spans="19:142" x14ac:dyDescent="0.25">
      <c r="S51" s="731" t="s">
        <v>431</v>
      </c>
      <c r="T51" s="731" t="s">
        <v>127</v>
      </c>
      <c r="U51" s="731" t="s">
        <v>426</v>
      </c>
      <c r="V51" s="731" t="s">
        <v>426</v>
      </c>
      <c r="W51" s="730">
        <v>0</v>
      </c>
      <c r="X51" s="730">
        <v>43933736285</v>
      </c>
      <c r="Y51" s="730">
        <v>43933736285</v>
      </c>
      <c r="Z51" s="730">
        <f t="shared" si="12"/>
        <v>0</v>
      </c>
      <c r="AA51" s="730">
        <f t="shared" si="13"/>
        <v>43933736.284999996</v>
      </c>
      <c r="AB51" s="730">
        <f t="shared" si="14"/>
        <v>43933736.284999996</v>
      </c>
      <c r="AC51" s="730"/>
      <c r="AL51" s="731" t="s">
        <v>799</v>
      </c>
      <c r="AM51" s="731" t="s">
        <v>800</v>
      </c>
      <c r="AN51" s="731" t="s">
        <v>426</v>
      </c>
      <c r="AO51" s="731" t="s">
        <v>426</v>
      </c>
      <c r="AP51" s="730">
        <v>0</v>
      </c>
      <c r="AQ51" s="730">
        <v>2400929703</v>
      </c>
      <c r="AR51" s="730">
        <v>3070652163</v>
      </c>
      <c r="AS51" s="730">
        <f t="shared" si="39"/>
        <v>0</v>
      </c>
      <c r="AT51" s="730">
        <f t="shared" si="40"/>
        <v>2400929.7030000002</v>
      </c>
      <c r="AU51" s="730">
        <f t="shared" si="41"/>
        <v>3070652.1630000002</v>
      </c>
      <c r="BE51" s="688" t="s">
        <v>793</v>
      </c>
      <c r="BF51" s="689" t="s">
        <v>794</v>
      </c>
      <c r="BG51" s="688" t="s">
        <v>426</v>
      </c>
      <c r="BH51" s="689" t="s">
        <v>426</v>
      </c>
      <c r="BI51" s="690">
        <v>2266492000</v>
      </c>
      <c r="BJ51" s="690">
        <v>0</v>
      </c>
      <c r="BK51" s="690">
        <v>0</v>
      </c>
      <c r="BL51" s="687">
        <f t="shared" si="20"/>
        <v>2266492</v>
      </c>
      <c r="BM51" s="690">
        <f t="shared" si="21"/>
        <v>0</v>
      </c>
      <c r="BN51" s="690">
        <f t="shared" si="22"/>
        <v>0</v>
      </c>
      <c r="BW51" s="668" t="s">
        <v>789</v>
      </c>
      <c r="BX51" s="729" t="s">
        <v>790</v>
      </c>
      <c r="BY51" s="668" t="s">
        <v>426</v>
      </c>
      <c r="BZ51" s="729" t="s">
        <v>426</v>
      </c>
      <c r="CA51" s="730">
        <v>5360526000</v>
      </c>
      <c r="CB51" s="730">
        <v>0</v>
      </c>
      <c r="CC51" s="730">
        <v>0</v>
      </c>
      <c r="CD51" s="730">
        <f t="shared" si="24"/>
        <v>5360526</v>
      </c>
      <c r="CE51" s="730">
        <f t="shared" si="25"/>
        <v>0</v>
      </c>
      <c r="CF51" s="730">
        <f t="shared" si="26"/>
        <v>0</v>
      </c>
      <c r="CO51" s="731" t="s">
        <v>789</v>
      </c>
      <c r="CP51" s="731" t="s">
        <v>790</v>
      </c>
      <c r="CQ51" s="668" t="s">
        <v>426</v>
      </c>
      <c r="CR51" s="731" t="s">
        <v>426</v>
      </c>
      <c r="CS51" s="731">
        <v>4855687000</v>
      </c>
      <c r="CT51" s="731">
        <v>0</v>
      </c>
      <c r="CU51" s="731">
        <v>0</v>
      </c>
      <c r="CV51" s="730">
        <f t="shared" si="28"/>
        <v>4855687</v>
      </c>
      <c r="CW51" s="730">
        <f t="shared" si="29"/>
        <v>0</v>
      </c>
      <c r="CX51" s="730">
        <f t="shared" si="30"/>
        <v>0</v>
      </c>
      <c r="DH51" s="731" t="s">
        <v>787</v>
      </c>
      <c r="DI51" s="731" t="s">
        <v>788</v>
      </c>
      <c r="DJ51" s="731" t="s">
        <v>426</v>
      </c>
      <c r="DK51" s="731" t="s">
        <v>426</v>
      </c>
      <c r="DL51" s="1028">
        <v>0</v>
      </c>
      <c r="DM51" s="1028">
        <v>3036902873</v>
      </c>
      <c r="DN51" s="1028">
        <v>3036902873</v>
      </c>
      <c r="DO51" s="1028">
        <f t="shared" si="32"/>
        <v>0</v>
      </c>
      <c r="DP51" s="1028">
        <f t="shared" si="33"/>
        <v>3036902.8730000001</v>
      </c>
      <c r="DQ51" s="1028">
        <f t="shared" si="34"/>
        <v>3036902.8730000001</v>
      </c>
      <c r="EC51" s="731" t="s">
        <v>787</v>
      </c>
      <c r="ED51" s="731" t="s">
        <v>788</v>
      </c>
      <c r="EE51" s="668" t="s">
        <v>426</v>
      </c>
      <c r="EF51" s="731" t="s">
        <v>426</v>
      </c>
      <c r="EG51" s="737">
        <v>0</v>
      </c>
      <c r="EH51" s="737">
        <v>3213902873</v>
      </c>
      <c r="EI51" s="737">
        <v>3082502873</v>
      </c>
      <c r="EJ51" s="737">
        <f t="shared" si="36"/>
        <v>0</v>
      </c>
      <c r="EK51" s="737">
        <f t="shared" si="37"/>
        <v>3213902.8730000001</v>
      </c>
      <c r="EL51" s="737">
        <f t="shared" si="38"/>
        <v>3082502.8730000001</v>
      </c>
    </row>
    <row r="52" spans="19:142" x14ac:dyDescent="0.25">
      <c r="S52" s="731" t="s">
        <v>1031</v>
      </c>
      <c r="T52" s="731" t="s">
        <v>124</v>
      </c>
      <c r="U52" s="731" t="s">
        <v>426</v>
      </c>
      <c r="V52" s="731" t="s">
        <v>426</v>
      </c>
      <c r="W52" s="730">
        <v>100</v>
      </c>
      <c r="X52" s="730">
        <v>0</v>
      </c>
      <c r="Y52" s="730">
        <v>0</v>
      </c>
      <c r="Z52" s="730">
        <f t="shared" si="12"/>
        <v>0.1</v>
      </c>
      <c r="AA52" s="730">
        <f t="shared" si="13"/>
        <v>0</v>
      </c>
      <c r="AB52" s="730">
        <f t="shared" si="14"/>
        <v>0</v>
      </c>
      <c r="AC52" s="730"/>
      <c r="AL52" s="731" t="s">
        <v>427</v>
      </c>
      <c r="AM52" s="731" t="s">
        <v>445</v>
      </c>
      <c r="AN52" s="731" t="s">
        <v>426</v>
      </c>
      <c r="AO52" s="731" t="s">
        <v>426</v>
      </c>
      <c r="AP52" s="730">
        <v>17361590000</v>
      </c>
      <c r="AQ52" s="730">
        <v>0</v>
      </c>
      <c r="AR52" s="730">
        <v>0</v>
      </c>
      <c r="AS52" s="730">
        <f t="shared" si="39"/>
        <v>17361590</v>
      </c>
      <c r="AT52" s="730">
        <f t="shared" si="40"/>
        <v>0</v>
      </c>
      <c r="AU52" s="730">
        <f t="shared" si="41"/>
        <v>0</v>
      </c>
      <c r="BE52" s="688" t="s">
        <v>793</v>
      </c>
      <c r="BF52" s="689" t="s">
        <v>794</v>
      </c>
      <c r="BG52" s="688" t="s">
        <v>426</v>
      </c>
      <c r="BH52" s="689" t="s">
        <v>426</v>
      </c>
      <c r="BI52" s="690">
        <v>0</v>
      </c>
      <c r="BJ52" s="690">
        <v>284930000</v>
      </c>
      <c r="BK52" s="690">
        <v>284930000</v>
      </c>
      <c r="BL52" s="687">
        <f t="shared" si="20"/>
        <v>0</v>
      </c>
      <c r="BM52" s="690">
        <f t="shared" si="21"/>
        <v>284930</v>
      </c>
      <c r="BN52" s="690">
        <f t="shared" si="22"/>
        <v>284930</v>
      </c>
      <c r="BW52" s="668" t="s">
        <v>791</v>
      </c>
      <c r="BX52" s="729" t="s">
        <v>792</v>
      </c>
      <c r="BY52" s="668" t="s">
        <v>426</v>
      </c>
      <c r="BZ52" s="729" t="s">
        <v>426</v>
      </c>
      <c r="CA52" s="730">
        <v>2440674000</v>
      </c>
      <c r="CB52" s="730">
        <v>0</v>
      </c>
      <c r="CC52" s="730">
        <v>0</v>
      </c>
      <c r="CD52" s="730">
        <f t="shared" si="24"/>
        <v>2440674</v>
      </c>
      <c r="CE52" s="730">
        <f t="shared" si="25"/>
        <v>0</v>
      </c>
      <c r="CF52" s="730">
        <f t="shared" si="26"/>
        <v>0</v>
      </c>
      <c r="CO52" s="731" t="s">
        <v>791</v>
      </c>
      <c r="CP52" s="731" t="s">
        <v>792</v>
      </c>
      <c r="CQ52" s="668" t="s">
        <v>426</v>
      </c>
      <c r="CR52" s="731" t="s">
        <v>426</v>
      </c>
      <c r="CS52" s="731">
        <v>2440674000</v>
      </c>
      <c r="CT52" s="731">
        <v>0</v>
      </c>
      <c r="CU52" s="731">
        <v>0</v>
      </c>
      <c r="CV52" s="730">
        <f t="shared" si="28"/>
        <v>2440674</v>
      </c>
      <c r="CW52" s="730">
        <f t="shared" si="29"/>
        <v>0</v>
      </c>
      <c r="CX52" s="730">
        <f t="shared" si="30"/>
        <v>0</v>
      </c>
      <c r="DH52" s="731" t="s">
        <v>789</v>
      </c>
      <c r="DI52" s="731" t="s">
        <v>790</v>
      </c>
      <c r="DJ52" s="731" t="s">
        <v>426</v>
      </c>
      <c r="DK52" s="731" t="s">
        <v>426</v>
      </c>
      <c r="DL52" s="1028">
        <v>0</v>
      </c>
      <c r="DM52" s="1028">
        <v>0</v>
      </c>
      <c r="DN52" s="1028">
        <v>0</v>
      </c>
      <c r="DO52" s="1028">
        <f t="shared" si="32"/>
        <v>0</v>
      </c>
      <c r="DP52" s="1028">
        <f t="shared" si="33"/>
        <v>0</v>
      </c>
      <c r="DQ52" s="1028">
        <f t="shared" si="34"/>
        <v>0</v>
      </c>
      <c r="EC52" s="731" t="s">
        <v>789</v>
      </c>
      <c r="ED52" s="731" t="s">
        <v>790</v>
      </c>
      <c r="EE52" s="668" t="s">
        <v>426</v>
      </c>
      <c r="EF52" s="731" t="s">
        <v>426</v>
      </c>
      <c r="EG52" s="737">
        <v>0</v>
      </c>
      <c r="EH52" s="737">
        <v>0</v>
      </c>
      <c r="EI52" s="737">
        <v>0</v>
      </c>
      <c r="EJ52" s="737">
        <f t="shared" si="36"/>
        <v>0</v>
      </c>
      <c r="EK52" s="737">
        <f t="shared" si="37"/>
        <v>0</v>
      </c>
      <c r="EL52" s="737">
        <f t="shared" si="38"/>
        <v>0</v>
      </c>
    </row>
    <row r="53" spans="19:142" x14ac:dyDescent="0.25">
      <c r="W53" s="730"/>
      <c r="X53" s="730"/>
      <c r="Y53" s="730"/>
      <c r="Z53" s="730">
        <f t="shared" si="12"/>
        <v>0</v>
      </c>
      <c r="AA53" s="730">
        <f t="shared" si="13"/>
        <v>0</v>
      </c>
      <c r="AB53" s="730">
        <f t="shared" si="14"/>
        <v>0</v>
      </c>
      <c r="AC53" s="730"/>
      <c r="AL53" s="731" t="s">
        <v>430</v>
      </c>
      <c r="AM53" s="731" t="s">
        <v>1030</v>
      </c>
      <c r="AN53" s="731" t="s">
        <v>426</v>
      </c>
      <c r="AO53" s="731" t="s">
        <v>426</v>
      </c>
      <c r="AP53" s="730">
        <v>9905707000</v>
      </c>
      <c r="AQ53" s="730">
        <v>0</v>
      </c>
      <c r="AR53" s="730">
        <v>0</v>
      </c>
      <c r="AS53" s="730">
        <f t="shared" si="39"/>
        <v>9905707</v>
      </c>
      <c r="AT53" s="730">
        <f t="shared" si="40"/>
        <v>0</v>
      </c>
      <c r="AU53" s="730">
        <f t="shared" si="41"/>
        <v>0</v>
      </c>
      <c r="BE53" s="688" t="s">
        <v>795</v>
      </c>
      <c r="BF53" s="689" t="s">
        <v>796</v>
      </c>
      <c r="BG53" s="688" t="s">
        <v>426</v>
      </c>
      <c r="BH53" s="689" t="s">
        <v>426</v>
      </c>
      <c r="BI53" s="690">
        <v>8048156000</v>
      </c>
      <c r="BJ53" s="690">
        <v>0</v>
      </c>
      <c r="BK53" s="690">
        <v>0</v>
      </c>
      <c r="BL53" s="687">
        <f t="shared" si="20"/>
        <v>8048156</v>
      </c>
      <c r="BM53" s="690">
        <f t="shared" si="21"/>
        <v>0</v>
      </c>
      <c r="BN53" s="690">
        <f t="shared" si="22"/>
        <v>0</v>
      </c>
      <c r="BW53" s="668" t="s">
        <v>791</v>
      </c>
      <c r="BX53" s="729" t="s">
        <v>792</v>
      </c>
      <c r="BY53" s="668" t="s">
        <v>426</v>
      </c>
      <c r="BZ53" s="729" t="s">
        <v>426</v>
      </c>
      <c r="CA53" s="730">
        <v>0</v>
      </c>
      <c r="CB53" s="730">
        <v>151352692</v>
      </c>
      <c r="CC53" s="730">
        <v>151352692</v>
      </c>
      <c r="CD53" s="730">
        <f t="shared" si="24"/>
        <v>0</v>
      </c>
      <c r="CE53" s="730">
        <f t="shared" si="25"/>
        <v>151352.69200000001</v>
      </c>
      <c r="CF53" s="730">
        <f t="shared" si="26"/>
        <v>151352.69200000001</v>
      </c>
      <c r="CO53" s="731" t="s">
        <v>791</v>
      </c>
      <c r="CP53" s="731" t="s">
        <v>792</v>
      </c>
      <c r="CQ53" s="668" t="s">
        <v>426</v>
      </c>
      <c r="CR53" s="731" t="s">
        <v>426</v>
      </c>
      <c r="CS53" s="731">
        <v>0</v>
      </c>
      <c r="CT53" s="731">
        <v>248896552</v>
      </c>
      <c r="CU53" s="731">
        <v>151352692</v>
      </c>
      <c r="CV53" s="730">
        <f t="shared" si="28"/>
        <v>0</v>
      </c>
      <c r="CW53" s="730">
        <f t="shared" si="29"/>
        <v>248896.552</v>
      </c>
      <c r="CX53" s="730">
        <f t="shared" si="30"/>
        <v>151352.69200000001</v>
      </c>
      <c r="DH53" s="731" t="s">
        <v>791</v>
      </c>
      <c r="DI53" s="731" t="s">
        <v>792</v>
      </c>
      <c r="DJ53" s="731" t="s">
        <v>426</v>
      </c>
      <c r="DK53" s="731" t="s">
        <v>426</v>
      </c>
      <c r="DL53" s="1028">
        <v>2440674000</v>
      </c>
      <c r="DM53" s="1028">
        <v>0</v>
      </c>
      <c r="DN53" s="1028">
        <v>0</v>
      </c>
      <c r="DO53" s="1028">
        <f t="shared" si="32"/>
        <v>2440674</v>
      </c>
      <c r="DP53" s="1028">
        <f t="shared" si="33"/>
        <v>0</v>
      </c>
      <c r="DQ53" s="1028">
        <f t="shared" si="34"/>
        <v>0</v>
      </c>
      <c r="EC53" s="731" t="s">
        <v>791</v>
      </c>
      <c r="ED53" s="731" t="s">
        <v>792</v>
      </c>
      <c r="EE53" s="668" t="s">
        <v>426</v>
      </c>
      <c r="EF53" s="731" t="s">
        <v>426</v>
      </c>
      <c r="EG53" s="737">
        <v>2490344172</v>
      </c>
      <c r="EH53" s="737">
        <v>0</v>
      </c>
      <c r="EI53" s="737">
        <v>0</v>
      </c>
      <c r="EJ53" s="737">
        <f t="shared" si="36"/>
        <v>2490344.1719999998</v>
      </c>
      <c r="EK53" s="737">
        <f t="shared" si="37"/>
        <v>0</v>
      </c>
      <c r="EL53" s="737">
        <f t="shared" si="38"/>
        <v>0</v>
      </c>
    </row>
    <row r="54" spans="19:142" x14ac:dyDescent="0.25">
      <c r="AL54" s="731" t="s">
        <v>839</v>
      </c>
      <c r="AM54" s="731" t="s">
        <v>840</v>
      </c>
      <c r="AN54" s="731" t="s">
        <v>426</v>
      </c>
      <c r="AO54" s="731" t="s">
        <v>426</v>
      </c>
      <c r="AP54" s="730">
        <v>3995732000</v>
      </c>
      <c r="AQ54" s="730">
        <v>0</v>
      </c>
      <c r="AR54" s="730">
        <v>0</v>
      </c>
      <c r="AS54" s="730">
        <f t="shared" si="39"/>
        <v>3995732</v>
      </c>
      <c r="AT54" s="730">
        <f t="shared" si="40"/>
        <v>0</v>
      </c>
      <c r="AU54" s="730">
        <f t="shared" si="41"/>
        <v>0</v>
      </c>
      <c r="BE54" s="688" t="s">
        <v>797</v>
      </c>
      <c r="BF54" s="689" t="s">
        <v>798</v>
      </c>
      <c r="BG54" s="688" t="s">
        <v>426</v>
      </c>
      <c r="BH54" s="689" t="s">
        <v>426</v>
      </c>
      <c r="BI54" s="690">
        <v>31470675000</v>
      </c>
      <c r="BJ54" s="690">
        <v>0</v>
      </c>
      <c r="BK54" s="690">
        <v>0</v>
      </c>
      <c r="BL54" s="687">
        <f t="shared" si="20"/>
        <v>31470675</v>
      </c>
      <c r="BM54" s="690">
        <f t="shared" si="21"/>
        <v>0</v>
      </c>
      <c r="BN54" s="690">
        <f t="shared" si="22"/>
        <v>0</v>
      </c>
      <c r="BW54" s="668" t="s">
        <v>793</v>
      </c>
      <c r="BX54" s="729" t="s">
        <v>794</v>
      </c>
      <c r="BY54" s="668" t="s">
        <v>426</v>
      </c>
      <c r="BZ54" s="729" t="s">
        <v>426</v>
      </c>
      <c r="CA54" s="730">
        <v>2266492000</v>
      </c>
      <c r="CB54" s="730">
        <v>0</v>
      </c>
      <c r="CC54" s="730">
        <v>0</v>
      </c>
      <c r="CD54" s="730">
        <f t="shared" si="24"/>
        <v>2266492</v>
      </c>
      <c r="CE54" s="730">
        <f t="shared" si="25"/>
        <v>0</v>
      </c>
      <c r="CF54" s="730">
        <f t="shared" si="26"/>
        <v>0</v>
      </c>
      <c r="CO54" s="731" t="s">
        <v>793</v>
      </c>
      <c r="CP54" s="731" t="s">
        <v>794</v>
      </c>
      <c r="CQ54" s="668" t="s">
        <v>426</v>
      </c>
      <c r="CR54" s="731" t="s">
        <v>426</v>
      </c>
      <c r="CS54" s="731">
        <v>2266492000</v>
      </c>
      <c r="CT54" s="731">
        <v>0</v>
      </c>
      <c r="CU54" s="731">
        <v>0</v>
      </c>
      <c r="CV54" s="730">
        <f t="shared" si="28"/>
        <v>2266492</v>
      </c>
      <c r="CW54" s="730">
        <f t="shared" si="29"/>
        <v>0</v>
      </c>
      <c r="CX54" s="730">
        <f t="shared" si="30"/>
        <v>0</v>
      </c>
      <c r="DH54" s="731" t="s">
        <v>791</v>
      </c>
      <c r="DI54" s="731" t="s">
        <v>792</v>
      </c>
      <c r="DJ54" s="731" t="s">
        <v>426</v>
      </c>
      <c r="DK54" s="731" t="s">
        <v>426</v>
      </c>
      <c r="DL54" s="1028">
        <v>0</v>
      </c>
      <c r="DM54" s="1028">
        <v>308896552</v>
      </c>
      <c r="DN54" s="1028">
        <v>308896552</v>
      </c>
      <c r="DO54" s="1028">
        <f t="shared" si="32"/>
        <v>0</v>
      </c>
      <c r="DP54" s="1028">
        <f t="shared" si="33"/>
        <v>308896.55200000003</v>
      </c>
      <c r="DQ54" s="1028">
        <f t="shared" si="34"/>
        <v>308896.55200000003</v>
      </c>
      <c r="EC54" s="731" t="s">
        <v>791</v>
      </c>
      <c r="ED54" s="731" t="s">
        <v>792</v>
      </c>
      <c r="EE54" s="668" t="s">
        <v>426</v>
      </c>
      <c r="EF54" s="731" t="s">
        <v>426</v>
      </c>
      <c r="EG54" s="737">
        <v>0</v>
      </c>
      <c r="EH54" s="737">
        <v>308896552</v>
      </c>
      <c r="EI54" s="737">
        <v>308896552</v>
      </c>
      <c r="EJ54" s="737">
        <f t="shared" si="36"/>
        <v>0</v>
      </c>
      <c r="EK54" s="737">
        <f t="shared" si="37"/>
        <v>308896.55200000003</v>
      </c>
      <c r="EL54" s="737">
        <f t="shared" si="38"/>
        <v>308896.55200000003</v>
      </c>
    </row>
    <row r="55" spans="19:142" x14ac:dyDescent="0.25">
      <c r="AL55" s="731" t="s">
        <v>431</v>
      </c>
      <c r="AM55" s="731" t="s">
        <v>127</v>
      </c>
      <c r="AN55" s="731" t="s">
        <v>426</v>
      </c>
      <c r="AO55" s="731" t="s">
        <v>426</v>
      </c>
      <c r="AP55" s="730">
        <v>43933737100</v>
      </c>
      <c r="AQ55" s="730">
        <v>0</v>
      </c>
      <c r="AR55" s="730">
        <v>0</v>
      </c>
      <c r="AS55" s="730">
        <f t="shared" si="39"/>
        <v>43933737.100000001</v>
      </c>
      <c r="AT55" s="730">
        <f t="shared" si="40"/>
        <v>0</v>
      </c>
      <c r="AU55" s="730">
        <f t="shared" si="41"/>
        <v>0</v>
      </c>
      <c r="BE55" s="688" t="s">
        <v>797</v>
      </c>
      <c r="BF55" s="689" t="s">
        <v>798</v>
      </c>
      <c r="BG55" s="688" t="s">
        <v>426</v>
      </c>
      <c r="BH55" s="689" t="s">
        <v>426</v>
      </c>
      <c r="BI55" s="690">
        <v>0</v>
      </c>
      <c r="BJ55" s="690">
        <v>277182035</v>
      </c>
      <c r="BK55" s="690">
        <v>288285416</v>
      </c>
      <c r="BL55" s="687">
        <f t="shared" si="20"/>
        <v>0</v>
      </c>
      <c r="BM55" s="690">
        <f t="shared" si="21"/>
        <v>277182.03499999997</v>
      </c>
      <c r="BN55" s="690">
        <f t="shared" si="22"/>
        <v>288285.41600000003</v>
      </c>
      <c r="BW55" s="668" t="s">
        <v>793</v>
      </c>
      <c r="BX55" s="729" t="s">
        <v>794</v>
      </c>
      <c r="BY55" s="668" t="s">
        <v>426</v>
      </c>
      <c r="BZ55" s="729" t="s">
        <v>426</v>
      </c>
      <c r="CA55" s="730">
        <v>0</v>
      </c>
      <c r="CB55" s="730">
        <v>385739358</v>
      </c>
      <c r="CC55" s="730">
        <v>385739358</v>
      </c>
      <c r="CD55" s="730">
        <f t="shared" si="24"/>
        <v>0</v>
      </c>
      <c r="CE55" s="730">
        <f t="shared" si="25"/>
        <v>385739.35800000001</v>
      </c>
      <c r="CF55" s="730">
        <f t="shared" si="26"/>
        <v>385739.35800000001</v>
      </c>
      <c r="CO55" s="731" t="s">
        <v>793</v>
      </c>
      <c r="CP55" s="731" t="s">
        <v>794</v>
      </c>
      <c r="CQ55" s="668" t="s">
        <v>426</v>
      </c>
      <c r="CR55" s="731" t="s">
        <v>426</v>
      </c>
      <c r="CS55" s="731">
        <v>0</v>
      </c>
      <c r="CT55" s="731">
        <v>451068158</v>
      </c>
      <c r="CU55" s="731">
        <v>397068158</v>
      </c>
      <c r="CV55" s="730">
        <f t="shared" si="28"/>
        <v>0</v>
      </c>
      <c r="CW55" s="730">
        <f t="shared" si="29"/>
        <v>451068.158</v>
      </c>
      <c r="CX55" s="730">
        <f t="shared" si="30"/>
        <v>397068.158</v>
      </c>
      <c r="DH55" s="731" t="s">
        <v>793</v>
      </c>
      <c r="DI55" s="731" t="s">
        <v>794</v>
      </c>
      <c r="DJ55" s="731" t="s">
        <v>426</v>
      </c>
      <c r="DK55" s="731" t="s">
        <v>426</v>
      </c>
      <c r="DL55" s="1028">
        <v>2550000000</v>
      </c>
      <c r="DM55" s="1028">
        <v>0</v>
      </c>
      <c r="DN55" s="1028">
        <v>0</v>
      </c>
      <c r="DO55" s="1028">
        <f t="shared" si="32"/>
        <v>2550000</v>
      </c>
      <c r="DP55" s="1028">
        <f t="shared" si="33"/>
        <v>0</v>
      </c>
      <c r="DQ55" s="1028">
        <f t="shared" si="34"/>
        <v>0</v>
      </c>
      <c r="EC55" s="731" t="s">
        <v>793</v>
      </c>
      <c r="ED55" s="731" t="s">
        <v>794</v>
      </c>
      <c r="EE55" s="668" t="s">
        <v>426</v>
      </c>
      <c r="EF55" s="731" t="s">
        <v>426</v>
      </c>
      <c r="EG55" s="737">
        <v>2550000000</v>
      </c>
      <c r="EH55" s="737">
        <v>0</v>
      </c>
      <c r="EI55" s="737">
        <v>0</v>
      </c>
      <c r="EJ55" s="737">
        <f t="shared" si="36"/>
        <v>2550000</v>
      </c>
      <c r="EK55" s="737">
        <f t="shared" si="37"/>
        <v>0</v>
      </c>
      <c r="EL55" s="737">
        <f t="shared" si="38"/>
        <v>0</v>
      </c>
    </row>
    <row r="56" spans="19:142" x14ac:dyDescent="0.25">
      <c r="AL56" s="731" t="s">
        <v>431</v>
      </c>
      <c r="AM56" s="731" t="s">
        <v>127</v>
      </c>
      <c r="AN56" s="731" t="s">
        <v>426</v>
      </c>
      <c r="AO56" s="731" t="s">
        <v>426</v>
      </c>
      <c r="AP56" s="730">
        <v>0</v>
      </c>
      <c r="AQ56" s="730">
        <v>43933736285</v>
      </c>
      <c r="AR56" s="730">
        <v>43933736285</v>
      </c>
      <c r="AS56" s="730">
        <f t="shared" si="39"/>
        <v>0</v>
      </c>
      <c r="AT56" s="730">
        <f t="shared" si="40"/>
        <v>43933736.284999996</v>
      </c>
      <c r="AU56" s="730">
        <f t="shared" si="41"/>
        <v>43933736.284999996</v>
      </c>
      <c r="BE56" s="688" t="s">
        <v>799</v>
      </c>
      <c r="BF56" s="689" t="s">
        <v>800</v>
      </c>
      <c r="BG56" s="688" t="s">
        <v>426</v>
      </c>
      <c r="BH56" s="689" t="s">
        <v>426</v>
      </c>
      <c r="BI56" s="690">
        <v>9562068000</v>
      </c>
      <c r="BJ56" s="690">
        <v>0</v>
      </c>
      <c r="BK56" s="690">
        <v>0</v>
      </c>
      <c r="BL56" s="687">
        <f t="shared" si="20"/>
        <v>9562068</v>
      </c>
      <c r="BM56" s="690">
        <f t="shared" si="21"/>
        <v>0</v>
      </c>
      <c r="BN56" s="690">
        <f t="shared" si="22"/>
        <v>0</v>
      </c>
      <c r="BW56" s="668" t="s">
        <v>795</v>
      </c>
      <c r="BX56" s="729" t="s">
        <v>796</v>
      </c>
      <c r="BY56" s="668" t="s">
        <v>426</v>
      </c>
      <c r="BZ56" s="729" t="s">
        <v>426</v>
      </c>
      <c r="CA56" s="730">
        <v>8048156000</v>
      </c>
      <c r="CB56" s="730">
        <v>0</v>
      </c>
      <c r="CC56" s="730">
        <v>0</v>
      </c>
      <c r="CD56" s="730">
        <f t="shared" si="24"/>
        <v>8048156</v>
      </c>
      <c r="CE56" s="730">
        <f t="shared" si="25"/>
        <v>0</v>
      </c>
      <c r="CF56" s="730">
        <f t="shared" si="26"/>
        <v>0</v>
      </c>
      <c r="CO56" s="731" t="s">
        <v>795</v>
      </c>
      <c r="CP56" s="731" t="s">
        <v>796</v>
      </c>
      <c r="CQ56" s="668" t="s">
        <v>426</v>
      </c>
      <c r="CR56" s="731" t="s">
        <v>426</v>
      </c>
      <c r="CS56" s="731">
        <v>8048156000</v>
      </c>
      <c r="CT56" s="731">
        <v>0</v>
      </c>
      <c r="CU56" s="731">
        <v>0</v>
      </c>
      <c r="CV56" s="730">
        <f t="shared" si="28"/>
        <v>8048156</v>
      </c>
      <c r="CW56" s="730">
        <f t="shared" si="29"/>
        <v>0</v>
      </c>
      <c r="CX56" s="730">
        <f t="shared" si="30"/>
        <v>0</v>
      </c>
      <c r="DH56" s="731" t="s">
        <v>793</v>
      </c>
      <c r="DI56" s="731" t="s">
        <v>794</v>
      </c>
      <c r="DJ56" s="731" t="s">
        <v>426</v>
      </c>
      <c r="DK56" s="731" t="s">
        <v>426</v>
      </c>
      <c r="DL56" s="1028">
        <v>0</v>
      </c>
      <c r="DM56" s="1028">
        <v>520368782</v>
      </c>
      <c r="DN56" s="1028">
        <v>520368782</v>
      </c>
      <c r="DO56" s="1028">
        <f t="shared" si="32"/>
        <v>0</v>
      </c>
      <c r="DP56" s="1028">
        <f t="shared" si="33"/>
        <v>520368.78200000001</v>
      </c>
      <c r="DQ56" s="1028">
        <f t="shared" si="34"/>
        <v>520368.78200000001</v>
      </c>
      <c r="EC56" s="731" t="s">
        <v>793</v>
      </c>
      <c r="ED56" s="731" t="s">
        <v>794</v>
      </c>
      <c r="EE56" s="668" t="s">
        <v>426</v>
      </c>
      <c r="EF56" s="731" t="s">
        <v>426</v>
      </c>
      <c r="EG56" s="737">
        <v>0</v>
      </c>
      <c r="EH56" s="737">
        <v>520368782</v>
      </c>
      <c r="EI56" s="737">
        <v>520368782</v>
      </c>
      <c r="EJ56" s="737">
        <f t="shared" si="36"/>
        <v>0</v>
      </c>
      <c r="EK56" s="737">
        <f t="shared" si="37"/>
        <v>520368.78200000001</v>
      </c>
      <c r="EL56" s="737">
        <f t="shared" si="38"/>
        <v>520368.78200000001</v>
      </c>
    </row>
    <row r="57" spans="19:142" x14ac:dyDescent="0.25">
      <c r="AL57" s="731" t="s">
        <v>1031</v>
      </c>
      <c r="AM57" s="731" t="s">
        <v>124</v>
      </c>
      <c r="AN57" s="731" t="s">
        <v>426</v>
      </c>
      <c r="AO57" s="731" t="s">
        <v>426</v>
      </c>
      <c r="AP57" s="730">
        <v>100</v>
      </c>
      <c r="AQ57" s="730">
        <v>0</v>
      </c>
      <c r="AR57" s="730">
        <v>0</v>
      </c>
      <c r="AS57" s="730">
        <f t="shared" si="39"/>
        <v>0.1</v>
      </c>
      <c r="AT57" s="730">
        <f t="shared" si="40"/>
        <v>0</v>
      </c>
      <c r="AU57" s="730">
        <f t="shared" si="41"/>
        <v>0</v>
      </c>
      <c r="BE57" s="688" t="s">
        <v>799</v>
      </c>
      <c r="BF57" s="689" t="s">
        <v>800</v>
      </c>
      <c r="BG57" s="688" t="s">
        <v>426</v>
      </c>
      <c r="BH57" s="689" t="s">
        <v>426</v>
      </c>
      <c r="BI57" s="690">
        <v>0</v>
      </c>
      <c r="BJ57" s="690">
        <v>2400929703</v>
      </c>
      <c r="BK57" s="690">
        <v>3070652163</v>
      </c>
      <c r="BL57" s="687">
        <f t="shared" si="20"/>
        <v>0</v>
      </c>
      <c r="BM57" s="690">
        <f t="shared" si="21"/>
        <v>2400929.7030000002</v>
      </c>
      <c r="BN57" s="690">
        <f t="shared" si="22"/>
        <v>3070652.1630000002</v>
      </c>
      <c r="BW57" s="668" t="s">
        <v>797</v>
      </c>
      <c r="BX57" s="729" t="s">
        <v>798</v>
      </c>
      <c r="BY57" s="668" t="s">
        <v>426</v>
      </c>
      <c r="BZ57" s="729" t="s">
        <v>426</v>
      </c>
      <c r="CA57" s="730">
        <v>31470675000</v>
      </c>
      <c r="CB57" s="730">
        <v>0</v>
      </c>
      <c r="CC57" s="730">
        <v>0</v>
      </c>
      <c r="CD57" s="730">
        <f t="shared" si="24"/>
        <v>31470675</v>
      </c>
      <c r="CE57" s="730">
        <f t="shared" si="25"/>
        <v>0</v>
      </c>
      <c r="CF57" s="730">
        <f t="shared" si="26"/>
        <v>0</v>
      </c>
      <c r="CO57" s="731" t="s">
        <v>795</v>
      </c>
      <c r="CP57" s="731" t="s">
        <v>796</v>
      </c>
      <c r="CQ57" s="668" t="s">
        <v>426</v>
      </c>
      <c r="CR57" s="731" t="s">
        <v>426</v>
      </c>
      <c r="CS57" s="731">
        <v>0</v>
      </c>
      <c r="CT57" s="731">
        <v>9325349</v>
      </c>
      <c r="CU57" s="731">
        <v>9325349</v>
      </c>
      <c r="CV57" s="730">
        <f t="shared" si="28"/>
        <v>0</v>
      </c>
      <c r="CW57" s="730">
        <f t="shared" si="29"/>
        <v>9325.3490000000002</v>
      </c>
      <c r="CX57" s="730">
        <f t="shared" si="30"/>
        <v>9325.3490000000002</v>
      </c>
      <c r="DH57" s="731" t="s">
        <v>795</v>
      </c>
      <c r="DI57" s="731" t="s">
        <v>796</v>
      </c>
      <c r="DJ57" s="731" t="s">
        <v>426</v>
      </c>
      <c r="DK57" s="731" t="s">
        <v>426</v>
      </c>
      <c r="DL57" s="1028">
        <v>17401492501</v>
      </c>
      <c r="DM57" s="1028">
        <v>0</v>
      </c>
      <c r="DN57" s="1028">
        <v>0</v>
      </c>
      <c r="DO57" s="1028">
        <f t="shared" si="32"/>
        <v>17401492.500999998</v>
      </c>
      <c r="DP57" s="1028">
        <f t="shared" si="33"/>
        <v>0</v>
      </c>
      <c r="DQ57" s="1028">
        <f t="shared" si="34"/>
        <v>0</v>
      </c>
      <c r="EC57" s="731" t="s">
        <v>795</v>
      </c>
      <c r="ED57" s="731" t="s">
        <v>796</v>
      </c>
      <c r="EE57" s="668" t="s">
        <v>426</v>
      </c>
      <c r="EF57" s="731" t="s">
        <v>426</v>
      </c>
      <c r="EG57" s="737">
        <v>17401492501</v>
      </c>
      <c r="EH57" s="737">
        <v>0</v>
      </c>
      <c r="EI57" s="737">
        <v>0</v>
      </c>
      <c r="EJ57" s="737">
        <f t="shared" si="36"/>
        <v>17401492.500999998</v>
      </c>
      <c r="EK57" s="737">
        <f t="shared" si="37"/>
        <v>0</v>
      </c>
      <c r="EL57" s="737">
        <f t="shared" si="38"/>
        <v>0</v>
      </c>
    </row>
    <row r="58" spans="19:142" x14ac:dyDescent="0.25">
      <c r="AS58" s="734">
        <f>SUM(AS3:AS57)</f>
        <v>316588736.20000005</v>
      </c>
      <c r="AT58" s="734">
        <f>SUM(AT3:AT57)</f>
        <v>63023088.270999998</v>
      </c>
      <c r="AU58" s="734">
        <f>SUM(AU3:AU57)</f>
        <v>64518102.615999997</v>
      </c>
      <c r="BE58" s="688" t="s">
        <v>427</v>
      </c>
      <c r="BF58" s="689" t="s">
        <v>445</v>
      </c>
      <c r="BG58" s="688" t="s">
        <v>426</v>
      </c>
      <c r="BH58" s="689" t="s">
        <v>426</v>
      </c>
      <c r="BI58" s="690">
        <v>17361590000</v>
      </c>
      <c r="BJ58" s="690">
        <v>0</v>
      </c>
      <c r="BK58" s="690">
        <v>0</v>
      </c>
      <c r="BL58" s="687">
        <f t="shared" si="20"/>
        <v>17361590</v>
      </c>
      <c r="BM58" s="690">
        <f t="shared" si="21"/>
        <v>0</v>
      </c>
      <c r="BN58" s="690">
        <f t="shared" si="22"/>
        <v>0</v>
      </c>
      <c r="BW58" s="668" t="s">
        <v>797</v>
      </c>
      <c r="BX58" s="729" t="s">
        <v>798</v>
      </c>
      <c r="BY58" s="668" t="s">
        <v>426</v>
      </c>
      <c r="BZ58" s="729" t="s">
        <v>426</v>
      </c>
      <c r="CA58" s="730">
        <v>0</v>
      </c>
      <c r="CB58" s="730">
        <v>844889759</v>
      </c>
      <c r="CC58" s="730">
        <v>565332706</v>
      </c>
      <c r="CD58" s="730">
        <f t="shared" si="24"/>
        <v>0</v>
      </c>
      <c r="CE58" s="730">
        <f t="shared" si="25"/>
        <v>844889.75899999996</v>
      </c>
      <c r="CF58" s="730">
        <f t="shared" si="26"/>
        <v>565332.70600000001</v>
      </c>
      <c r="CO58" s="731" t="s">
        <v>797</v>
      </c>
      <c r="CP58" s="731" t="s">
        <v>798</v>
      </c>
      <c r="CQ58" s="668" t="s">
        <v>426</v>
      </c>
      <c r="CR58" s="731" t="s">
        <v>426</v>
      </c>
      <c r="CS58" s="731">
        <v>31470675000</v>
      </c>
      <c r="CT58" s="731">
        <v>0</v>
      </c>
      <c r="CU58" s="731">
        <v>0</v>
      </c>
      <c r="CV58" s="730">
        <f t="shared" si="28"/>
        <v>31470675</v>
      </c>
      <c r="CW58" s="730">
        <f t="shared" si="29"/>
        <v>0</v>
      </c>
      <c r="CX58" s="730">
        <f t="shared" si="30"/>
        <v>0</v>
      </c>
      <c r="DH58" s="731" t="s">
        <v>795</v>
      </c>
      <c r="DI58" s="731" t="s">
        <v>796</v>
      </c>
      <c r="DJ58" s="731" t="s">
        <v>426</v>
      </c>
      <c r="DK58" s="731" t="s">
        <v>426</v>
      </c>
      <c r="DL58" s="1028">
        <v>0</v>
      </c>
      <c r="DM58" s="1028">
        <v>250325349</v>
      </c>
      <c r="DN58" s="1028">
        <v>250325349</v>
      </c>
      <c r="DO58" s="1028">
        <f t="shared" si="32"/>
        <v>0</v>
      </c>
      <c r="DP58" s="1028">
        <f t="shared" si="33"/>
        <v>250325.34899999999</v>
      </c>
      <c r="DQ58" s="1028">
        <f t="shared" si="34"/>
        <v>250325.34899999999</v>
      </c>
      <c r="EC58" s="731" t="s">
        <v>795</v>
      </c>
      <c r="ED58" s="731" t="s">
        <v>796</v>
      </c>
      <c r="EE58" s="668" t="s">
        <v>426</v>
      </c>
      <c r="EF58" s="731" t="s">
        <v>426</v>
      </c>
      <c r="EG58" s="737">
        <v>0</v>
      </c>
      <c r="EH58" s="737">
        <v>1543293222</v>
      </c>
      <c r="EI58" s="737">
        <v>389231151</v>
      </c>
      <c r="EJ58" s="737">
        <f t="shared" si="36"/>
        <v>0</v>
      </c>
      <c r="EK58" s="737">
        <f t="shared" si="37"/>
        <v>1543293.2220000001</v>
      </c>
      <c r="EL58" s="737">
        <f t="shared" si="38"/>
        <v>389231.15100000001</v>
      </c>
    </row>
    <row r="59" spans="19:142" x14ac:dyDescent="0.25">
      <c r="BE59" s="688" t="s">
        <v>430</v>
      </c>
      <c r="BF59" s="689" t="s">
        <v>1030</v>
      </c>
      <c r="BG59" s="688" t="s">
        <v>426</v>
      </c>
      <c r="BH59" s="689" t="s">
        <v>426</v>
      </c>
      <c r="BI59" s="690">
        <v>9905707000</v>
      </c>
      <c r="BJ59" s="690">
        <v>0</v>
      </c>
      <c r="BK59" s="690">
        <v>0</v>
      </c>
      <c r="BL59" s="687">
        <f t="shared" si="20"/>
        <v>9905707</v>
      </c>
      <c r="BM59" s="690">
        <f t="shared" si="21"/>
        <v>0</v>
      </c>
      <c r="BN59" s="690">
        <f t="shared" si="22"/>
        <v>0</v>
      </c>
      <c r="BW59" s="668" t="s">
        <v>799</v>
      </c>
      <c r="BX59" s="729" t="s">
        <v>800</v>
      </c>
      <c r="BY59" s="668" t="s">
        <v>426</v>
      </c>
      <c r="BZ59" s="729" t="s">
        <v>426</v>
      </c>
      <c r="CA59" s="892">
        <v>22730998000</v>
      </c>
      <c r="CB59" s="730">
        <v>0</v>
      </c>
      <c r="CC59" s="730">
        <v>0</v>
      </c>
      <c r="CD59" s="730">
        <f t="shared" si="24"/>
        <v>22730998</v>
      </c>
      <c r="CE59" s="730">
        <f t="shared" si="25"/>
        <v>0</v>
      </c>
      <c r="CF59" s="730">
        <f t="shared" si="26"/>
        <v>0</v>
      </c>
      <c r="CO59" s="731" t="s">
        <v>797</v>
      </c>
      <c r="CP59" s="731" t="s">
        <v>798</v>
      </c>
      <c r="CQ59" s="668" t="s">
        <v>426</v>
      </c>
      <c r="CR59" s="731" t="s">
        <v>426</v>
      </c>
      <c r="CS59" s="731">
        <v>0</v>
      </c>
      <c r="CT59" s="731">
        <v>2087517143</v>
      </c>
      <c r="CU59" s="731">
        <v>2087517143</v>
      </c>
      <c r="CV59" s="730">
        <f t="shared" si="28"/>
        <v>0</v>
      </c>
      <c r="CW59" s="730">
        <f t="shared" si="29"/>
        <v>2087517.1429999999</v>
      </c>
      <c r="CX59" s="730">
        <f t="shared" si="30"/>
        <v>2087517.1429999999</v>
      </c>
      <c r="DH59" s="731" t="s">
        <v>797</v>
      </c>
      <c r="DI59" s="731" t="s">
        <v>798</v>
      </c>
      <c r="DJ59" s="731" t="s">
        <v>426</v>
      </c>
      <c r="DK59" s="731" t="s">
        <v>426</v>
      </c>
      <c r="DL59" s="1028">
        <v>10667087499</v>
      </c>
      <c r="DM59" s="1028">
        <v>0</v>
      </c>
      <c r="DN59" s="1028">
        <v>0</v>
      </c>
      <c r="DO59" s="1028">
        <f t="shared" si="32"/>
        <v>10667087.499</v>
      </c>
      <c r="DP59" s="1028">
        <f t="shared" si="33"/>
        <v>0</v>
      </c>
      <c r="DQ59" s="1028">
        <f t="shared" si="34"/>
        <v>0</v>
      </c>
      <c r="EC59" s="731" t="s">
        <v>797</v>
      </c>
      <c r="ED59" s="731" t="s">
        <v>798</v>
      </c>
      <c r="EE59" s="668" t="s">
        <v>426</v>
      </c>
      <c r="EF59" s="731" t="s">
        <v>426</v>
      </c>
      <c r="EG59" s="737">
        <v>12021708327</v>
      </c>
      <c r="EH59" s="737">
        <v>0</v>
      </c>
      <c r="EI59" s="737">
        <v>0</v>
      </c>
      <c r="EJ59" s="737">
        <f t="shared" si="36"/>
        <v>12021708.327</v>
      </c>
      <c r="EK59" s="737">
        <f t="shared" si="37"/>
        <v>0</v>
      </c>
      <c r="EL59" s="737">
        <f t="shared" si="38"/>
        <v>0</v>
      </c>
    </row>
    <row r="60" spans="19:142" x14ac:dyDescent="0.25">
      <c r="BE60" s="688" t="s">
        <v>839</v>
      </c>
      <c r="BF60" s="689" t="s">
        <v>840</v>
      </c>
      <c r="BG60" s="688" t="s">
        <v>426</v>
      </c>
      <c r="BH60" s="689" t="s">
        <v>426</v>
      </c>
      <c r="BI60" s="690">
        <v>3995732000</v>
      </c>
      <c r="BJ60" s="690">
        <v>0</v>
      </c>
      <c r="BK60" s="690">
        <v>0</v>
      </c>
      <c r="BL60" s="687">
        <f t="shared" si="20"/>
        <v>3995732</v>
      </c>
      <c r="BM60" s="690">
        <f t="shared" si="21"/>
        <v>0</v>
      </c>
      <c r="BN60" s="690">
        <f t="shared" si="22"/>
        <v>0</v>
      </c>
      <c r="BW60" s="668" t="s">
        <v>799</v>
      </c>
      <c r="BX60" s="729" t="s">
        <v>800</v>
      </c>
      <c r="BY60" s="668" t="s">
        <v>426</v>
      </c>
      <c r="BZ60" s="729" t="s">
        <v>426</v>
      </c>
      <c r="CA60" s="730">
        <v>0</v>
      </c>
      <c r="CB60" s="730">
        <v>3070652163</v>
      </c>
      <c r="CC60" s="730">
        <v>2400929703</v>
      </c>
      <c r="CD60" s="730">
        <f t="shared" si="24"/>
        <v>0</v>
      </c>
      <c r="CE60" s="730">
        <f t="shared" si="25"/>
        <v>3070652.1630000002</v>
      </c>
      <c r="CF60" s="730">
        <f t="shared" si="26"/>
        <v>2400929.7030000002</v>
      </c>
      <c r="CO60" s="731" t="s">
        <v>799</v>
      </c>
      <c r="CP60" s="731" t="s">
        <v>800</v>
      </c>
      <c r="CQ60" s="668" t="s">
        <v>426</v>
      </c>
      <c r="CR60" s="731" t="s">
        <v>426</v>
      </c>
      <c r="CS60" s="731">
        <v>22730998000</v>
      </c>
      <c r="CT60" s="731">
        <v>0</v>
      </c>
      <c r="CU60" s="731">
        <v>0</v>
      </c>
      <c r="CV60" s="730">
        <f t="shared" si="28"/>
        <v>22730998</v>
      </c>
      <c r="CW60" s="730">
        <f t="shared" si="29"/>
        <v>0</v>
      </c>
      <c r="CX60" s="730">
        <f t="shared" si="30"/>
        <v>0</v>
      </c>
      <c r="DH60" s="731" t="s">
        <v>797</v>
      </c>
      <c r="DI60" s="731" t="s">
        <v>798</v>
      </c>
      <c r="DJ60" s="731" t="s">
        <v>426</v>
      </c>
      <c r="DK60" s="731" t="s">
        <v>426</v>
      </c>
      <c r="DL60" s="1028">
        <v>0</v>
      </c>
      <c r="DM60" s="1028">
        <v>2464819781</v>
      </c>
      <c r="DN60" s="1028">
        <v>2464819781</v>
      </c>
      <c r="DO60" s="1028">
        <f t="shared" si="32"/>
        <v>0</v>
      </c>
      <c r="DP60" s="1028">
        <f t="shared" si="33"/>
        <v>2464819.781</v>
      </c>
      <c r="DQ60" s="1028">
        <f t="shared" si="34"/>
        <v>2464819.781</v>
      </c>
      <c r="EC60" s="731" t="s">
        <v>797</v>
      </c>
      <c r="ED60" s="731" t="s">
        <v>798</v>
      </c>
      <c r="EE60" s="668" t="s">
        <v>426</v>
      </c>
      <c r="EF60" s="731" t="s">
        <v>426</v>
      </c>
      <c r="EG60" s="737">
        <v>0</v>
      </c>
      <c r="EH60" s="737">
        <v>2464819781</v>
      </c>
      <c r="EI60" s="737">
        <v>2464819781</v>
      </c>
      <c r="EJ60" s="737">
        <f t="shared" si="36"/>
        <v>0</v>
      </c>
      <c r="EK60" s="737">
        <f t="shared" si="37"/>
        <v>2464819.781</v>
      </c>
      <c r="EL60" s="737">
        <f t="shared" si="38"/>
        <v>2464819.781</v>
      </c>
    </row>
    <row r="61" spans="19:142" x14ac:dyDescent="0.25">
      <c r="BE61" s="688" t="s">
        <v>431</v>
      </c>
      <c r="BF61" s="689" t="s">
        <v>127</v>
      </c>
      <c r="BG61" s="688" t="s">
        <v>426</v>
      </c>
      <c r="BH61" s="689" t="s">
        <v>426</v>
      </c>
      <c r="BI61" s="690">
        <v>43933737100</v>
      </c>
      <c r="BJ61" s="690">
        <v>0</v>
      </c>
      <c r="BK61" s="690">
        <v>0</v>
      </c>
      <c r="BL61" s="687">
        <f t="shared" si="20"/>
        <v>43933737.100000001</v>
      </c>
      <c r="BM61" s="690">
        <f t="shared" si="21"/>
        <v>0</v>
      </c>
      <c r="BN61" s="690">
        <f t="shared" si="22"/>
        <v>0</v>
      </c>
      <c r="BW61" s="668" t="s">
        <v>427</v>
      </c>
      <c r="BX61" s="729" t="s">
        <v>445</v>
      </c>
      <c r="BY61" s="668" t="s">
        <v>426</v>
      </c>
      <c r="BZ61" s="729" t="s">
        <v>426</v>
      </c>
      <c r="CA61" s="730">
        <v>17361590000</v>
      </c>
      <c r="CB61" s="730">
        <v>0</v>
      </c>
      <c r="CC61" s="730">
        <v>0</v>
      </c>
      <c r="CD61" s="730">
        <f t="shared" si="24"/>
        <v>17361590</v>
      </c>
      <c r="CE61" s="730">
        <f t="shared" si="25"/>
        <v>0</v>
      </c>
      <c r="CF61" s="730">
        <f t="shared" si="26"/>
        <v>0</v>
      </c>
      <c r="CO61" s="731" t="s">
        <v>799</v>
      </c>
      <c r="CP61" s="731" t="s">
        <v>800</v>
      </c>
      <c r="CQ61" s="668" t="s">
        <v>426</v>
      </c>
      <c r="CR61" s="731" t="s">
        <v>426</v>
      </c>
      <c r="CS61" s="731">
        <v>0</v>
      </c>
      <c r="CT61" s="731">
        <v>3070652163</v>
      </c>
      <c r="CU61" s="731">
        <v>2400929703</v>
      </c>
      <c r="CV61" s="730">
        <f t="shared" si="28"/>
        <v>0</v>
      </c>
      <c r="CW61" s="730">
        <f t="shared" si="29"/>
        <v>3070652.1630000002</v>
      </c>
      <c r="CX61" s="730">
        <f t="shared" si="30"/>
        <v>2400929.7030000002</v>
      </c>
      <c r="DH61" s="731" t="s">
        <v>799</v>
      </c>
      <c r="DI61" s="731" t="s">
        <v>800</v>
      </c>
      <c r="DJ61" s="731" t="s">
        <v>426</v>
      </c>
      <c r="DK61" s="731" t="s">
        <v>426</v>
      </c>
      <c r="DL61" s="1028">
        <v>22730998000</v>
      </c>
      <c r="DM61" s="1028">
        <v>0</v>
      </c>
      <c r="DN61" s="1028">
        <v>0</v>
      </c>
      <c r="DO61" s="1028">
        <f t="shared" si="32"/>
        <v>22730998</v>
      </c>
      <c r="DP61" s="1028">
        <f t="shared" si="33"/>
        <v>0</v>
      </c>
      <c r="DQ61" s="1028">
        <f t="shared" si="34"/>
        <v>0</v>
      </c>
      <c r="EC61" s="731" t="s">
        <v>799</v>
      </c>
      <c r="ED61" s="731" t="s">
        <v>800</v>
      </c>
      <c r="EE61" s="668" t="s">
        <v>426</v>
      </c>
      <c r="EF61" s="731" t="s">
        <v>426</v>
      </c>
      <c r="EG61" s="737">
        <v>22730998000</v>
      </c>
      <c r="EH61" s="737">
        <v>0</v>
      </c>
      <c r="EI61" s="737">
        <v>0</v>
      </c>
      <c r="EJ61" s="737">
        <f t="shared" si="36"/>
        <v>22730998</v>
      </c>
      <c r="EK61" s="737">
        <f t="shared" si="37"/>
        <v>0</v>
      </c>
      <c r="EL61" s="737">
        <f t="shared" si="38"/>
        <v>0</v>
      </c>
    </row>
    <row r="62" spans="19:142" x14ac:dyDescent="0.25">
      <c r="BE62" s="688" t="s">
        <v>431</v>
      </c>
      <c r="BF62" s="689" t="s">
        <v>127</v>
      </c>
      <c r="BG62" s="688" t="s">
        <v>426</v>
      </c>
      <c r="BH62" s="689" t="s">
        <v>426</v>
      </c>
      <c r="BI62" s="690">
        <v>0</v>
      </c>
      <c r="BJ62" s="690">
        <v>43933736285</v>
      </c>
      <c r="BK62" s="690">
        <v>43933736285</v>
      </c>
      <c r="BL62" s="687">
        <f t="shared" si="20"/>
        <v>0</v>
      </c>
      <c r="BM62" s="690">
        <f t="shared" si="21"/>
        <v>43933736.284999996</v>
      </c>
      <c r="BN62" s="690">
        <f t="shared" si="22"/>
        <v>43933736.284999996</v>
      </c>
      <c r="BW62" s="668" t="s">
        <v>430</v>
      </c>
      <c r="BX62" s="729" t="s">
        <v>1030</v>
      </c>
      <c r="BY62" s="668" t="s">
        <v>426</v>
      </c>
      <c r="BZ62" s="729" t="s">
        <v>426</v>
      </c>
      <c r="CA62" s="730">
        <v>9905707000</v>
      </c>
      <c r="CB62" s="730">
        <v>0</v>
      </c>
      <c r="CC62" s="730">
        <v>0</v>
      </c>
      <c r="CD62" s="730">
        <f t="shared" si="24"/>
        <v>9905707</v>
      </c>
      <c r="CE62" s="730">
        <f t="shared" si="25"/>
        <v>0</v>
      </c>
      <c r="CF62" s="730">
        <f t="shared" si="26"/>
        <v>0</v>
      </c>
      <c r="CO62" s="731" t="s">
        <v>427</v>
      </c>
      <c r="CP62" s="731" t="s">
        <v>445</v>
      </c>
      <c r="CQ62" s="668" t="s">
        <v>426</v>
      </c>
      <c r="CR62" s="731" t="s">
        <v>426</v>
      </c>
      <c r="CS62" s="731">
        <v>17361590000</v>
      </c>
      <c r="CT62" s="731">
        <v>0</v>
      </c>
      <c r="CU62" s="731">
        <v>0</v>
      </c>
      <c r="CV62" s="730">
        <f t="shared" si="28"/>
        <v>17361590</v>
      </c>
      <c r="CW62" s="730">
        <f t="shared" si="29"/>
        <v>0</v>
      </c>
      <c r="CX62" s="730">
        <f t="shared" si="30"/>
        <v>0</v>
      </c>
      <c r="DH62" s="731" t="s">
        <v>799</v>
      </c>
      <c r="DI62" s="731" t="s">
        <v>800</v>
      </c>
      <c r="DJ62" s="731" t="s">
        <v>426</v>
      </c>
      <c r="DK62" s="731" t="s">
        <v>426</v>
      </c>
      <c r="DL62" s="1028">
        <v>0</v>
      </c>
      <c r="DM62" s="1028">
        <v>14967362984</v>
      </c>
      <c r="DN62" s="1028">
        <v>15637085444</v>
      </c>
      <c r="DO62" s="1028">
        <f t="shared" si="32"/>
        <v>0</v>
      </c>
      <c r="DP62" s="1028">
        <f t="shared" si="33"/>
        <v>14967362.983999999</v>
      </c>
      <c r="DQ62" s="1028">
        <f t="shared" si="34"/>
        <v>15637085.444</v>
      </c>
      <c r="EC62" s="731" t="s">
        <v>799</v>
      </c>
      <c r="ED62" s="731" t="s">
        <v>800</v>
      </c>
      <c r="EE62" s="668" t="s">
        <v>426</v>
      </c>
      <c r="EF62" s="731" t="s">
        <v>426</v>
      </c>
      <c r="EG62" s="737">
        <v>0</v>
      </c>
      <c r="EH62" s="737">
        <v>15819164444</v>
      </c>
      <c r="EI62" s="737">
        <v>14967362984</v>
      </c>
      <c r="EJ62" s="737">
        <f t="shared" si="36"/>
        <v>0</v>
      </c>
      <c r="EK62" s="737">
        <f t="shared" si="37"/>
        <v>15819164.444</v>
      </c>
      <c r="EL62" s="737">
        <f t="shared" si="38"/>
        <v>14967362.983999999</v>
      </c>
    </row>
    <row r="63" spans="19:142" x14ac:dyDescent="0.25">
      <c r="BE63" s="688" t="s">
        <v>1031</v>
      </c>
      <c r="BF63" s="689" t="s">
        <v>124</v>
      </c>
      <c r="BG63" s="688" t="s">
        <v>426</v>
      </c>
      <c r="BH63" s="689" t="s">
        <v>426</v>
      </c>
      <c r="BI63" s="690">
        <v>100</v>
      </c>
      <c r="BJ63" s="690">
        <v>0</v>
      </c>
      <c r="BK63" s="690">
        <v>0</v>
      </c>
      <c r="BL63" s="687">
        <f t="shared" si="20"/>
        <v>0.1</v>
      </c>
      <c r="BM63" s="690">
        <f t="shared" si="21"/>
        <v>0</v>
      </c>
      <c r="BN63" s="690">
        <f t="shared" si="22"/>
        <v>0</v>
      </c>
      <c r="BW63" s="668" t="s">
        <v>430</v>
      </c>
      <c r="BX63" s="729" t="s">
        <v>1030</v>
      </c>
      <c r="BY63" s="668" t="s">
        <v>426</v>
      </c>
      <c r="BZ63" s="729" t="s">
        <v>426</v>
      </c>
      <c r="CA63" s="730">
        <v>0</v>
      </c>
      <c r="CB63" s="730">
        <v>205788055</v>
      </c>
      <c r="CC63" s="730">
        <v>50000000</v>
      </c>
      <c r="CD63" s="730">
        <f t="shared" si="24"/>
        <v>0</v>
      </c>
      <c r="CE63" s="730">
        <f t="shared" si="25"/>
        <v>205788.05499999999</v>
      </c>
      <c r="CF63" s="730">
        <f t="shared" si="26"/>
        <v>50000</v>
      </c>
      <c r="CO63" s="731" t="s">
        <v>430</v>
      </c>
      <c r="CP63" s="731" t="s">
        <v>1030</v>
      </c>
      <c r="CQ63" s="668" t="s">
        <v>426</v>
      </c>
      <c r="CR63" s="731" t="s">
        <v>426</v>
      </c>
      <c r="CS63" s="731">
        <v>9905707000</v>
      </c>
      <c r="CT63" s="731">
        <v>0</v>
      </c>
      <c r="CU63" s="731">
        <v>0</v>
      </c>
      <c r="CV63" s="730">
        <f t="shared" si="28"/>
        <v>9905707</v>
      </c>
      <c r="CW63" s="730">
        <f t="shared" si="29"/>
        <v>0</v>
      </c>
      <c r="CX63" s="730">
        <f t="shared" si="30"/>
        <v>0</v>
      </c>
      <c r="DH63" s="731" t="s">
        <v>427</v>
      </c>
      <c r="DI63" s="731" t="s">
        <v>445</v>
      </c>
      <c r="DJ63" s="731" t="s">
        <v>426</v>
      </c>
      <c r="DK63" s="731" t="s">
        <v>426</v>
      </c>
      <c r="DL63" s="1028">
        <v>17361590000</v>
      </c>
      <c r="DM63" s="1028">
        <v>0</v>
      </c>
      <c r="DN63" s="1028">
        <v>0</v>
      </c>
      <c r="DO63" s="1028">
        <f t="shared" si="32"/>
        <v>17361590</v>
      </c>
      <c r="DP63" s="1028">
        <f t="shared" si="33"/>
        <v>0</v>
      </c>
      <c r="DQ63" s="1028">
        <f t="shared" si="34"/>
        <v>0</v>
      </c>
      <c r="EC63" s="731" t="s">
        <v>427</v>
      </c>
      <c r="ED63" s="731" t="s">
        <v>445</v>
      </c>
      <c r="EE63" s="668" t="s">
        <v>426</v>
      </c>
      <c r="EF63" s="731" t="s">
        <v>426</v>
      </c>
      <c r="EG63" s="737">
        <v>17361590000</v>
      </c>
      <c r="EH63" s="737">
        <v>0</v>
      </c>
      <c r="EI63" s="737">
        <v>0</v>
      </c>
      <c r="EJ63" s="737">
        <f t="shared" si="36"/>
        <v>17361590</v>
      </c>
      <c r="EK63" s="737">
        <f t="shared" si="37"/>
        <v>0</v>
      </c>
      <c r="EL63" s="737">
        <f t="shared" si="38"/>
        <v>0</v>
      </c>
    </row>
    <row r="64" spans="19:142" x14ac:dyDescent="0.25">
      <c r="BL64" s="687">
        <f>SUM(BL3:BL63)</f>
        <v>316588736.20000005</v>
      </c>
      <c r="BM64" s="687">
        <f t="shared" ref="BM64:BN64" si="42">SUM(BM3:BM63)</f>
        <v>147178247.64299998</v>
      </c>
      <c r="BN64" s="687">
        <f t="shared" si="42"/>
        <v>148984763.021</v>
      </c>
      <c r="BW64" s="668" t="s">
        <v>839</v>
      </c>
      <c r="BX64" s="729" t="s">
        <v>840</v>
      </c>
      <c r="BY64" s="668" t="s">
        <v>426</v>
      </c>
      <c r="BZ64" s="729" t="s">
        <v>426</v>
      </c>
      <c r="CA64" s="730">
        <v>3995732000</v>
      </c>
      <c r="CB64" s="730">
        <v>0</v>
      </c>
      <c r="CC64" s="730">
        <v>0</v>
      </c>
      <c r="CD64" s="730">
        <f t="shared" si="24"/>
        <v>3995732</v>
      </c>
      <c r="CE64" s="730">
        <f t="shared" si="25"/>
        <v>0</v>
      </c>
      <c r="CF64" s="730">
        <f t="shared" si="26"/>
        <v>0</v>
      </c>
      <c r="CO64" s="731" t="s">
        <v>430</v>
      </c>
      <c r="CP64" s="731" t="s">
        <v>1030</v>
      </c>
      <c r="CQ64" s="668" t="s">
        <v>426</v>
      </c>
      <c r="CR64" s="731" t="s">
        <v>426</v>
      </c>
      <c r="CS64" s="731">
        <v>0</v>
      </c>
      <c r="CT64" s="731">
        <v>677011235</v>
      </c>
      <c r="CU64" s="731">
        <v>205788055</v>
      </c>
      <c r="CV64" s="730">
        <f t="shared" si="28"/>
        <v>0</v>
      </c>
      <c r="CW64" s="730">
        <f t="shared" si="29"/>
        <v>677011.23499999999</v>
      </c>
      <c r="CX64" s="730">
        <f t="shared" si="30"/>
        <v>205788.05499999999</v>
      </c>
      <c r="DH64" s="731" t="s">
        <v>427</v>
      </c>
      <c r="DI64" s="731" t="s">
        <v>445</v>
      </c>
      <c r="DJ64" s="731" t="s">
        <v>426</v>
      </c>
      <c r="DK64" s="731" t="s">
        <v>426</v>
      </c>
      <c r="DL64" s="1028">
        <v>0</v>
      </c>
      <c r="DM64" s="1028">
        <v>17361590000</v>
      </c>
      <c r="DN64" s="1028">
        <v>17361590000</v>
      </c>
      <c r="DO64" s="1028">
        <f t="shared" si="32"/>
        <v>0</v>
      </c>
      <c r="DP64" s="1028">
        <f t="shared" si="33"/>
        <v>17361590</v>
      </c>
      <c r="DQ64" s="1028">
        <f t="shared" si="34"/>
        <v>17361590</v>
      </c>
      <c r="EC64" s="731" t="s">
        <v>427</v>
      </c>
      <c r="ED64" s="731" t="s">
        <v>445</v>
      </c>
      <c r="EE64" s="668" t="s">
        <v>426</v>
      </c>
      <c r="EF64" s="731" t="s">
        <v>426</v>
      </c>
      <c r="EG64" s="737">
        <v>0</v>
      </c>
      <c r="EH64" s="737">
        <v>17361590000</v>
      </c>
      <c r="EI64" s="737">
        <v>17361590000</v>
      </c>
      <c r="EJ64" s="737">
        <f t="shared" si="36"/>
        <v>0</v>
      </c>
      <c r="EK64" s="737">
        <f t="shared" si="37"/>
        <v>17361590</v>
      </c>
      <c r="EL64" s="737">
        <f t="shared" si="38"/>
        <v>17361590</v>
      </c>
    </row>
    <row r="65" spans="64:142" x14ac:dyDescent="0.25">
      <c r="BL65" s="893">
        <f>+BL64-'Prog 03'!I11</f>
        <v>-16256460.895999968</v>
      </c>
      <c r="BM65" s="737">
        <f ca="1">+BM64-'Prog 03'!J11</f>
        <v>-69214679.282000005</v>
      </c>
      <c r="BN65" s="737">
        <f>+BN64-'Prog 03'!L11</f>
        <v>-72333977.280999988</v>
      </c>
      <c r="BW65" s="668" t="s">
        <v>431</v>
      </c>
      <c r="BX65" s="729" t="s">
        <v>127</v>
      </c>
      <c r="BY65" s="668" t="s">
        <v>426</v>
      </c>
      <c r="BZ65" s="729" t="s">
        <v>426</v>
      </c>
      <c r="CA65" s="730">
        <v>43933737100</v>
      </c>
      <c r="CB65" s="730">
        <v>0</v>
      </c>
      <c r="CC65" s="730">
        <v>0</v>
      </c>
      <c r="CD65" s="730">
        <f t="shared" si="24"/>
        <v>43933737.100000001</v>
      </c>
      <c r="CE65" s="730">
        <f t="shared" si="25"/>
        <v>0</v>
      </c>
      <c r="CF65" s="730">
        <f t="shared" si="26"/>
        <v>0</v>
      </c>
      <c r="CO65" s="731" t="s">
        <v>839</v>
      </c>
      <c r="CP65" s="731" t="s">
        <v>840</v>
      </c>
      <c r="CQ65" s="668" t="s">
        <v>426</v>
      </c>
      <c r="CR65" s="731" t="s">
        <v>426</v>
      </c>
      <c r="CS65" s="731">
        <v>3995732000</v>
      </c>
      <c r="CT65" s="731">
        <v>0</v>
      </c>
      <c r="CU65" s="731">
        <v>0</v>
      </c>
      <c r="CV65" s="730">
        <f t="shared" si="28"/>
        <v>3995732</v>
      </c>
      <c r="CW65" s="730">
        <f t="shared" si="29"/>
        <v>0</v>
      </c>
      <c r="CX65" s="730">
        <f t="shared" si="30"/>
        <v>0</v>
      </c>
      <c r="DH65" s="731" t="s">
        <v>430</v>
      </c>
      <c r="DI65" s="731" t="s">
        <v>1030</v>
      </c>
      <c r="DJ65" s="731" t="s">
        <v>426</v>
      </c>
      <c r="DK65" s="731" t="s">
        <v>426</v>
      </c>
      <c r="DL65" s="1028">
        <v>9905707000</v>
      </c>
      <c r="DM65" s="1028">
        <v>0</v>
      </c>
      <c r="DN65" s="1028">
        <v>0</v>
      </c>
      <c r="DO65" s="1028">
        <f t="shared" si="32"/>
        <v>9905707</v>
      </c>
      <c r="DP65" s="1028">
        <f t="shared" si="33"/>
        <v>0</v>
      </c>
      <c r="DQ65" s="1028">
        <f t="shared" si="34"/>
        <v>0</v>
      </c>
      <c r="EC65" s="731" t="s">
        <v>430</v>
      </c>
      <c r="ED65" s="731" t="s">
        <v>1030</v>
      </c>
      <c r="EE65" s="668" t="s">
        <v>426</v>
      </c>
      <c r="EF65" s="731" t="s">
        <v>426</v>
      </c>
      <c r="EG65" s="737">
        <v>9905707000</v>
      </c>
      <c r="EH65" s="737">
        <v>0</v>
      </c>
      <c r="EI65" s="737">
        <v>0</v>
      </c>
      <c r="EJ65" s="737">
        <f t="shared" si="36"/>
        <v>9905707</v>
      </c>
      <c r="EK65" s="737">
        <f t="shared" si="37"/>
        <v>0</v>
      </c>
      <c r="EL65" s="737">
        <f t="shared" si="38"/>
        <v>0</v>
      </c>
    </row>
    <row r="66" spans="64:142" x14ac:dyDescent="0.25">
      <c r="BW66" s="668" t="s">
        <v>431</v>
      </c>
      <c r="BX66" s="729" t="s">
        <v>127</v>
      </c>
      <c r="BY66" s="668" t="s">
        <v>426</v>
      </c>
      <c r="BZ66" s="729" t="s">
        <v>426</v>
      </c>
      <c r="CA66" s="730">
        <v>0</v>
      </c>
      <c r="CB66" s="730">
        <v>43933736285</v>
      </c>
      <c r="CC66" s="730">
        <v>43933736285</v>
      </c>
      <c r="CD66" s="730">
        <f t="shared" si="24"/>
        <v>0</v>
      </c>
      <c r="CE66" s="730">
        <f t="shared" si="25"/>
        <v>43933736.284999996</v>
      </c>
      <c r="CF66" s="730">
        <f t="shared" si="26"/>
        <v>43933736.284999996</v>
      </c>
      <c r="CO66" s="731" t="s">
        <v>431</v>
      </c>
      <c r="CP66" s="731" t="s">
        <v>127</v>
      </c>
      <c r="CQ66" s="668" t="s">
        <v>426</v>
      </c>
      <c r="CR66" s="731" t="s">
        <v>426</v>
      </c>
      <c r="CS66" s="731">
        <v>43933737100</v>
      </c>
      <c r="CT66" s="731">
        <v>0</v>
      </c>
      <c r="CU66" s="731">
        <v>0</v>
      </c>
      <c r="CV66" s="730">
        <f t="shared" si="28"/>
        <v>43933737.100000001</v>
      </c>
      <c r="CW66" s="730">
        <f t="shared" si="29"/>
        <v>0</v>
      </c>
      <c r="CX66" s="730">
        <f t="shared" si="30"/>
        <v>0</v>
      </c>
      <c r="DH66" s="731" t="s">
        <v>430</v>
      </c>
      <c r="DI66" s="731" t="s">
        <v>1030</v>
      </c>
      <c r="DJ66" s="731" t="s">
        <v>426</v>
      </c>
      <c r="DK66" s="731" t="s">
        <v>426</v>
      </c>
      <c r="DL66" s="1028">
        <v>0</v>
      </c>
      <c r="DM66" s="1028">
        <v>723514651</v>
      </c>
      <c r="DN66" s="1028">
        <v>923451481</v>
      </c>
      <c r="DO66" s="1028">
        <f t="shared" si="32"/>
        <v>0</v>
      </c>
      <c r="DP66" s="1028">
        <f t="shared" si="33"/>
        <v>723514.65099999995</v>
      </c>
      <c r="DQ66" s="1028">
        <f t="shared" si="34"/>
        <v>923451.48100000003</v>
      </c>
      <c r="EC66" s="731" t="s">
        <v>430</v>
      </c>
      <c r="ED66" s="731" t="s">
        <v>1030</v>
      </c>
      <c r="EE66" s="668" t="s">
        <v>426</v>
      </c>
      <c r="EF66" s="731" t="s">
        <v>426</v>
      </c>
      <c r="EG66" s="737">
        <v>0</v>
      </c>
      <c r="EH66" s="737">
        <v>1809247109</v>
      </c>
      <c r="EI66" s="737">
        <v>1078132275</v>
      </c>
      <c r="EJ66" s="737">
        <f t="shared" si="36"/>
        <v>0</v>
      </c>
      <c r="EK66" s="737">
        <f t="shared" si="37"/>
        <v>1809247.1089999999</v>
      </c>
      <c r="EL66" s="737">
        <f t="shared" si="38"/>
        <v>1078132.2749999999</v>
      </c>
    </row>
    <row r="67" spans="64:142" x14ac:dyDescent="0.25">
      <c r="BW67" s="668" t="s">
        <v>1031</v>
      </c>
      <c r="BX67" s="729" t="s">
        <v>124</v>
      </c>
      <c r="BY67" s="668" t="s">
        <v>426</v>
      </c>
      <c r="BZ67" s="729" t="s">
        <v>426</v>
      </c>
      <c r="CA67" s="730">
        <v>100</v>
      </c>
      <c r="CB67" s="730">
        <v>0</v>
      </c>
      <c r="CC67" s="730">
        <v>0</v>
      </c>
      <c r="CD67" s="730">
        <f t="shared" si="24"/>
        <v>0.1</v>
      </c>
      <c r="CE67" s="730">
        <f t="shared" si="25"/>
        <v>0</v>
      </c>
      <c r="CF67" s="730">
        <f t="shared" si="26"/>
        <v>0</v>
      </c>
      <c r="CO67" s="731" t="s">
        <v>431</v>
      </c>
      <c r="CP67" s="731" t="s">
        <v>127</v>
      </c>
      <c r="CQ67" s="668" t="s">
        <v>426</v>
      </c>
      <c r="CR67" s="731" t="s">
        <v>426</v>
      </c>
      <c r="CS67" s="731">
        <v>0</v>
      </c>
      <c r="CT67" s="731">
        <v>43933736285</v>
      </c>
      <c r="CU67" s="731">
        <v>43933736285</v>
      </c>
      <c r="CV67" s="730">
        <f t="shared" si="28"/>
        <v>0</v>
      </c>
      <c r="CW67" s="730">
        <f t="shared" si="29"/>
        <v>43933736.284999996</v>
      </c>
      <c r="CX67" s="730">
        <f t="shared" si="30"/>
        <v>43933736.284999996</v>
      </c>
      <c r="DH67" s="731" t="s">
        <v>839</v>
      </c>
      <c r="DI67" s="731" t="s">
        <v>840</v>
      </c>
      <c r="DJ67" s="731" t="s">
        <v>426</v>
      </c>
      <c r="DK67" s="731" t="s">
        <v>426</v>
      </c>
      <c r="DL67" s="1028">
        <v>3995732000</v>
      </c>
      <c r="DM67" s="1028">
        <v>0</v>
      </c>
      <c r="DN67" s="1028">
        <v>0</v>
      </c>
      <c r="DO67" s="1028">
        <f t="shared" si="32"/>
        <v>3995732</v>
      </c>
      <c r="DP67" s="1028">
        <f t="shared" si="33"/>
        <v>0</v>
      </c>
      <c r="DQ67" s="1028">
        <f t="shared" si="34"/>
        <v>0</v>
      </c>
      <c r="EC67" s="731" t="s">
        <v>839</v>
      </c>
      <c r="ED67" s="731" t="s">
        <v>840</v>
      </c>
      <c r="EE67" s="668" t="s">
        <v>426</v>
      </c>
      <c r="EF67" s="731" t="s">
        <v>426</v>
      </c>
      <c r="EG67" s="737">
        <v>3995732000</v>
      </c>
      <c r="EH67" s="737">
        <v>0</v>
      </c>
      <c r="EI67" s="737">
        <v>0</v>
      </c>
      <c r="EJ67" s="737">
        <f t="shared" si="36"/>
        <v>3995732</v>
      </c>
      <c r="EK67" s="737">
        <f t="shared" si="37"/>
        <v>0</v>
      </c>
      <c r="EL67" s="737">
        <f t="shared" si="38"/>
        <v>0</v>
      </c>
    </row>
    <row r="68" spans="64:142" x14ac:dyDescent="0.25">
      <c r="CD68" s="734">
        <f>SUM(CD3:CD67)</f>
        <v>331630305.20000005</v>
      </c>
      <c r="CE68" s="734">
        <f t="shared" ref="CE68:CF68" si="43">SUM(CE3:CE67)</f>
        <v>155139837.22100002</v>
      </c>
      <c r="CF68" s="734">
        <f t="shared" si="43"/>
        <v>153045279.852</v>
      </c>
      <c r="CO68" s="731" t="s">
        <v>1031</v>
      </c>
      <c r="CP68" s="731" t="s">
        <v>124</v>
      </c>
      <c r="CQ68" s="668" t="s">
        <v>426</v>
      </c>
      <c r="CR68" s="731" t="s">
        <v>426</v>
      </c>
      <c r="CS68" s="731">
        <v>100</v>
      </c>
      <c r="CT68" s="731">
        <v>0</v>
      </c>
      <c r="CU68" s="731">
        <v>0</v>
      </c>
      <c r="CV68" s="730">
        <f t="shared" ref="CV68" si="44">+CS68/$CW$1*$CX$1</f>
        <v>0.1</v>
      </c>
      <c r="CW68" s="730">
        <f t="shared" ref="CW68" si="45">+CT68/$CW$1*$CX$1</f>
        <v>0</v>
      </c>
      <c r="CX68" s="730">
        <f t="shared" ref="CX68" si="46">+CU68/$CW$1*$CX$1</f>
        <v>0</v>
      </c>
      <c r="DH68" s="731" t="s">
        <v>431</v>
      </c>
      <c r="DI68" s="731" t="s">
        <v>127</v>
      </c>
      <c r="DJ68" s="731" t="s">
        <v>426</v>
      </c>
      <c r="DK68" s="731" t="s">
        <v>426</v>
      </c>
      <c r="DL68" s="1028">
        <v>43933737100</v>
      </c>
      <c r="DM68" s="1028">
        <v>0</v>
      </c>
      <c r="DN68" s="1028">
        <v>0</v>
      </c>
      <c r="DO68" s="1028">
        <f t="shared" ref="DO68:DO69" si="47">+DL68/$DO$1*$DP$1</f>
        <v>43933737.100000001</v>
      </c>
      <c r="DP68" s="1028">
        <f t="shared" ref="DP68:DP70" si="48">+DM68/$DO$1*$DP$1</f>
        <v>0</v>
      </c>
      <c r="DQ68" s="1028">
        <f t="shared" ref="DQ68:DQ70" si="49">+DN68/$DO$1*$DP$1</f>
        <v>0</v>
      </c>
      <c r="EC68" s="731" t="s">
        <v>431</v>
      </c>
      <c r="ED68" s="731" t="s">
        <v>127</v>
      </c>
      <c r="EE68" s="668" t="s">
        <v>426</v>
      </c>
      <c r="EF68" s="731" t="s">
        <v>426</v>
      </c>
      <c r="EG68" s="737">
        <v>43933737100</v>
      </c>
      <c r="EH68" s="737">
        <v>0</v>
      </c>
      <c r="EI68" s="737">
        <v>0</v>
      </c>
      <c r="EJ68" s="737">
        <f t="shared" ref="EJ68:EJ70" si="50">+EG68/$EJ$1*$EK$1</f>
        <v>43933737.100000001</v>
      </c>
      <c r="EK68" s="737">
        <f t="shared" ref="EK68:EK70" si="51">+EH68/$EJ$1*$EK$1</f>
        <v>0</v>
      </c>
      <c r="EL68" s="737">
        <f t="shared" ref="EL68:EL70" si="52">+EI68/$EJ$1*$EK$1</f>
        <v>0</v>
      </c>
    </row>
    <row r="69" spans="64:142" x14ac:dyDescent="0.25">
      <c r="CV69" s="734"/>
      <c r="CW69" s="734"/>
      <c r="DH69" s="731" t="s">
        <v>431</v>
      </c>
      <c r="DI69" s="731" t="s">
        <v>127</v>
      </c>
      <c r="DJ69" s="731" t="s">
        <v>426</v>
      </c>
      <c r="DK69" s="731" t="s">
        <v>426</v>
      </c>
      <c r="DL69" s="1028">
        <v>0</v>
      </c>
      <c r="DM69" s="1028">
        <v>43933736285</v>
      </c>
      <c r="DN69" s="1028">
        <v>43933736285</v>
      </c>
      <c r="DO69" s="1028">
        <f t="shared" si="47"/>
        <v>0</v>
      </c>
      <c r="DP69" s="1028">
        <f t="shared" si="48"/>
        <v>43933736.284999996</v>
      </c>
      <c r="DQ69" s="1028">
        <f t="shared" si="49"/>
        <v>43933736.284999996</v>
      </c>
      <c r="EC69" s="731" t="s">
        <v>431</v>
      </c>
      <c r="ED69" s="731" t="s">
        <v>127</v>
      </c>
      <c r="EE69" s="668" t="s">
        <v>426</v>
      </c>
      <c r="EF69" s="731" t="s">
        <v>426</v>
      </c>
      <c r="EG69" s="737">
        <v>0</v>
      </c>
      <c r="EH69" s="737">
        <v>43933736285</v>
      </c>
      <c r="EI69" s="737">
        <v>43933736285</v>
      </c>
      <c r="EJ69" s="737">
        <f t="shared" si="50"/>
        <v>0</v>
      </c>
      <c r="EK69" s="737">
        <f t="shared" si="51"/>
        <v>43933736.284999996</v>
      </c>
      <c r="EL69" s="737">
        <f t="shared" si="52"/>
        <v>43933736.284999996</v>
      </c>
    </row>
    <row r="70" spans="64:142" x14ac:dyDescent="0.25">
      <c r="DH70" s="731" t="s">
        <v>1031</v>
      </c>
      <c r="DI70" s="731" t="s">
        <v>124</v>
      </c>
      <c r="DJ70" s="731" t="s">
        <v>426</v>
      </c>
      <c r="DK70" s="731" t="s">
        <v>426</v>
      </c>
      <c r="DL70" s="1028">
        <v>100</v>
      </c>
      <c r="DM70" s="1028">
        <v>0</v>
      </c>
      <c r="DN70" s="1028">
        <v>0</v>
      </c>
      <c r="DO70" s="1028">
        <f>+DL70/$DO$1*$DP$1</f>
        <v>0.1</v>
      </c>
      <c r="DP70" s="1028">
        <f t="shared" si="48"/>
        <v>0</v>
      </c>
      <c r="DQ70" s="1028">
        <f t="shared" si="49"/>
        <v>0</v>
      </c>
      <c r="EC70" s="731" t="s">
        <v>1031</v>
      </c>
      <c r="ED70" s="731" t="s">
        <v>124</v>
      </c>
      <c r="EE70" s="668" t="s">
        <v>426</v>
      </c>
      <c r="EF70" s="731" t="s">
        <v>426</v>
      </c>
      <c r="EG70" s="737">
        <v>100</v>
      </c>
      <c r="EH70" s="737">
        <v>0</v>
      </c>
      <c r="EI70" s="737">
        <v>0</v>
      </c>
      <c r="EJ70" s="737">
        <f t="shared" si="50"/>
        <v>0.1</v>
      </c>
      <c r="EK70" s="737">
        <f t="shared" si="51"/>
        <v>0</v>
      </c>
      <c r="EL70" s="737">
        <f t="shared" si="52"/>
        <v>0</v>
      </c>
    </row>
    <row r="71" spans="64:142" x14ac:dyDescent="0.25">
      <c r="CW71" s="734"/>
      <c r="EG71" s="737"/>
      <c r="EH71" s="737"/>
      <c r="EI71" s="737"/>
    </row>
  </sheetData>
  <autoFilter ref="BE2:BN65" xr:uid="{E54BF0DC-0E67-4288-B5D8-9901C095B9DB}"/>
  <mergeCells count="14">
    <mergeCell ref="DU1:DX1"/>
    <mergeCell ref="EC1:EF1"/>
    <mergeCell ref="DH1:DN1"/>
    <mergeCell ref="A1:G1"/>
    <mergeCell ref="L1:O1"/>
    <mergeCell ref="S1:Z1"/>
    <mergeCell ref="AE1:AH1"/>
    <mergeCell ref="AL1:AR1"/>
    <mergeCell ref="BP1:BS1"/>
    <mergeCell ref="BW1:CC1"/>
    <mergeCell ref="CH1:CK1"/>
    <mergeCell ref="CO1:CV1"/>
    <mergeCell ref="AX1:BA1"/>
    <mergeCell ref="BE1:BK1"/>
  </mergeCells>
  <pageMargins left="0.7" right="0.7" top="0.75" bottom="0.75" header="0.3" footer="0.3"/>
  <ignoredErrors>
    <ignoredError sqref="BP3:BR16 BW3:BW67 BY3:BY6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7">
    <tabColor rgb="FF00B050"/>
    <pageSetUpPr fitToPage="1"/>
  </sheetPr>
  <dimension ref="A1:AR83"/>
  <sheetViews>
    <sheetView showGridLines="0" zoomScale="80" zoomScaleNormal="80" workbookViewId="0">
      <pane ySplit="5" topLeftCell="A6" activePane="bottomLeft" state="frozen"/>
      <selection pane="bottomLeft" activeCell="I9" sqref="I9"/>
    </sheetView>
  </sheetViews>
  <sheetFormatPr baseColWidth="10" defaultColWidth="11.42578125" defaultRowHeight="12.75" x14ac:dyDescent="0.2"/>
  <cols>
    <col min="1" max="1" width="3.7109375" style="68" customWidth="1"/>
    <col min="2" max="2" width="6.7109375" style="4" customWidth="1"/>
    <col min="3" max="3" width="6.7109375" style="5" customWidth="1"/>
    <col min="4" max="4" width="7.85546875" style="946" customWidth="1"/>
    <col min="5" max="5" width="9.7109375" style="6" hidden="1" customWidth="1"/>
    <col min="6" max="6" width="13.5703125" style="114" hidden="1" customWidth="1"/>
    <col min="7" max="7" width="41.28515625" style="1" customWidth="1"/>
    <col min="8" max="10" width="22.85546875" style="3" customWidth="1"/>
    <col min="11" max="11" width="22.85546875" style="122" customWidth="1"/>
    <col min="12" max="12" width="22.85546875" style="3" customWidth="1"/>
    <col min="13" max="13" width="22.85546875" style="103" customWidth="1"/>
    <col min="14" max="14" width="22.85546875" style="3" customWidth="1"/>
    <col min="15" max="15" width="22.85546875" style="103" customWidth="1"/>
    <col min="16" max="16" width="22.85546875" style="236" customWidth="1"/>
    <col min="17" max="17" width="22.85546875" style="3" customWidth="1"/>
    <col min="18" max="18" width="22.85546875" style="120" customWidth="1"/>
    <col min="19" max="22" width="19" style="120" hidden="1" customWidth="1"/>
    <col min="23" max="23" width="22" style="120" hidden="1" customWidth="1"/>
    <col min="24" max="25" width="22" style="3" hidden="1" customWidth="1"/>
    <col min="26" max="29" width="19.7109375" style="3" hidden="1" customWidth="1"/>
    <col min="30" max="31" width="19.85546875" style="3" hidden="1" customWidth="1"/>
    <col min="32" max="38" width="19.7109375" style="3" hidden="1" customWidth="1"/>
    <col min="39" max="39" width="5.5703125" style="49" customWidth="1"/>
    <col min="40" max="40" width="9.28515625" style="1050" customWidth="1"/>
    <col min="41" max="41" width="54.42578125" style="1" customWidth="1"/>
    <col min="42" max="16384" width="11.42578125" style="1"/>
  </cols>
  <sheetData>
    <row r="1" spans="1:44" s="834" customFormat="1" ht="15" customHeight="1" x14ac:dyDescent="0.25">
      <c r="D1" s="821"/>
      <c r="N1" s="838"/>
      <c r="P1" s="838"/>
      <c r="Q1" s="838"/>
      <c r="AN1" s="1049"/>
    </row>
    <row r="2" spans="1:44" s="85" customFormat="1" ht="27" customHeight="1" x14ac:dyDescent="0.25">
      <c r="A2" s="84"/>
      <c r="B2" s="1235" t="s">
        <v>276</v>
      </c>
      <c r="C2" s="1235"/>
      <c r="D2" s="1235"/>
      <c r="E2" s="1235"/>
      <c r="F2" s="1235"/>
      <c r="G2" s="1235"/>
      <c r="H2" s="1235"/>
      <c r="I2" s="1235"/>
      <c r="J2" s="1235"/>
      <c r="K2" s="1235"/>
      <c r="L2" s="1235"/>
      <c r="M2" s="1235"/>
      <c r="N2" s="1235"/>
      <c r="O2" s="1235"/>
      <c r="P2" s="1235"/>
      <c r="Q2" s="1235"/>
      <c r="R2" s="1283"/>
      <c r="S2" s="1292"/>
      <c r="T2" s="1292"/>
      <c r="U2" s="1292"/>
      <c r="V2" s="1292"/>
      <c r="W2" s="1292"/>
      <c r="X2" s="1284"/>
      <c r="Y2" s="595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566"/>
      <c r="AL2" s="506"/>
      <c r="AM2" s="123"/>
      <c r="AN2" s="1051"/>
    </row>
    <row r="3" spans="1:44" s="125" customFormat="1" ht="27" hidden="1" customHeight="1" x14ac:dyDescent="0.2">
      <c r="A3" s="587"/>
      <c r="B3" s="588"/>
      <c r="C3" s="588"/>
      <c r="D3" s="944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0"/>
      <c r="Q3" s="20"/>
      <c r="R3" s="588"/>
      <c r="S3" s="130" t="s">
        <v>264</v>
      </c>
      <c r="T3" s="130" t="s">
        <v>126</v>
      </c>
      <c r="U3" s="130" t="s">
        <v>264</v>
      </c>
      <c r="V3" s="130" t="s">
        <v>126</v>
      </c>
      <c r="W3" s="130" t="s">
        <v>264</v>
      </c>
      <c r="X3" s="130" t="s">
        <v>126</v>
      </c>
      <c r="Y3" s="130" t="s">
        <v>264</v>
      </c>
      <c r="Z3" s="130" t="s">
        <v>126</v>
      </c>
      <c r="AA3" s="130" t="s">
        <v>264</v>
      </c>
      <c r="AB3" s="130" t="s">
        <v>126</v>
      </c>
      <c r="AC3" s="130" t="s">
        <v>264</v>
      </c>
      <c r="AD3" s="130" t="s">
        <v>126</v>
      </c>
      <c r="AE3" s="130" t="s">
        <v>264</v>
      </c>
      <c r="AF3" s="130" t="s">
        <v>126</v>
      </c>
      <c r="AG3" s="130" t="s">
        <v>264</v>
      </c>
      <c r="AH3" s="130" t="s">
        <v>126</v>
      </c>
      <c r="AI3" s="130"/>
      <c r="AJ3" s="130"/>
      <c r="AK3" s="130"/>
      <c r="AL3" s="456"/>
      <c r="AM3" s="149"/>
      <c r="AN3" s="1050"/>
    </row>
    <row r="4" spans="1:44" s="16" customFormat="1" ht="27" hidden="1" customHeight="1" x14ac:dyDescent="0.2">
      <c r="A4" s="589"/>
      <c r="B4" s="590"/>
      <c r="C4" s="590"/>
      <c r="D4" s="944"/>
      <c r="E4" s="590"/>
      <c r="F4" s="590"/>
      <c r="G4" s="590"/>
      <c r="H4" s="590"/>
      <c r="I4" s="590"/>
      <c r="J4" s="590"/>
      <c r="K4" s="591"/>
      <c r="L4" s="590"/>
      <c r="M4" s="563"/>
      <c r="N4" s="590"/>
      <c r="O4" s="563"/>
      <c r="P4" s="592"/>
      <c r="Q4" s="136"/>
      <c r="R4" s="563"/>
      <c r="S4" s="563"/>
      <c r="T4" s="563"/>
      <c r="U4" s="563"/>
      <c r="V4" s="563"/>
      <c r="W4" s="563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564"/>
      <c r="AM4" s="1"/>
      <c r="AN4" s="1050"/>
    </row>
    <row r="5" spans="1:44" s="85" customFormat="1" ht="27" customHeight="1" x14ac:dyDescent="0.25">
      <c r="A5" s="84"/>
      <c r="B5" s="1235" t="s">
        <v>240</v>
      </c>
      <c r="C5" s="1235"/>
      <c r="D5" s="1235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  <c r="P5" s="1235"/>
      <c r="Q5" s="1235"/>
      <c r="R5" s="1283"/>
      <c r="S5" s="1292"/>
      <c r="T5" s="1292"/>
      <c r="U5" s="1292"/>
      <c r="V5" s="1292"/>
      <c r="W5" s="1292"/>
      <c r="X5" s="1284"/>
      <c r="Y5" s="629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28"/>
      <c r="AM5" s="123"/>
      <c r="AN5" s="1051"/>
    </row>
    <row r="6" spans="1:44" s="85" customFormat="1" ht="30" customHeight="1" x14ac:dyDescent="0.25">
      <c r="A6" s="84"/>
      <c r="B6" s="1291" t="s">
        <v>274</v>
      </c>
      <c r="C6" s="1291"/>
      <c r="D6" s="1291"/>
      <c r="E6" s="1291"/>
      <c r="F6" s="1291"/>
      <c r="G6" s="1291"/>
      <c r="H6" s="1225" t="s">
        <v>1000</v>
      </c>
      <c r="I6" s="1225"/>
      <c r="J6" s="1225"/>
      <c r="K6" s="1225"/>
      <c r="L6" s="1225"/>
      <c r="M6" s="1225"/>
      <c r="N6" s="1225"/>
      <c r="O6" s="1225"/>
      <c r="P6" s="1218" t="s">
        <v>870</v>
      </c>
      <c r="Q6" s="1218"/>
      <c r="R6" s="1218"/>
      <c r="S6" s="1234" t="s">
        <v>0</v>
      </c>
      <c r="T6" s="1234"/>
      <c r="U6" s="1234" t="s">
        <v>135</v>
      </c>
      <c r="V6" s="1234"/>
      <c r="W6" s="1234" t="s">
        <v>6</v>
      </c>
      <c r="X6" s="1234"/>
      <c r="Y6" s="1234" t="s">
        <v>7</v>
      </c>
      <c r="Z6" s="1234"/>
      <c r="AA6" s="1234" t="s">
        <v>8</v>
      </c>
      <c r="AB6" s="1234"/>
      <c r="AC6" s="1240" t="s">
        <v>9</v>
      </c>
      <c r="AD6" s="1241"/>
      <c r="AE6" s="1240" t="s">
        <v>79</v>
      </c>
      <c r="AF6" s="1241"/>
      <c r="AG6" s="1240" t="s">
        <v>10</v>
      </c>
      <c r="AH6" s="1241"/>
      <c r="AI6" s="370" t="s">
        <v>11</v>
      </c>
      <c r="AJ6" s="370" t="s">
        <v>12</v>
      </c>
      <c r="AK6" s="370" t="s">
        <v>13</v>
      </c>
      <c r="AL6" s="370" t="s">
        <v>14</v>
      </c>
      <c r="AM6" s="123"/>
      <c r="AN6" s="1051"/>
    </row>
    <row r="7" spans="1:44" s="85" customFormat="1" ht="27" hidden="1" customHeight="1" x14ac:dyDescent="0.25">
      <c r="A7" s="84"/>
      <c r="B7" s="1291"/>
      <c r="C7" s="1291"/>
      <c r="D7" s="1291"/>
      <c r="E7" s="1291"/>
      <c r="F7" s="1291"/>
      <c r="G7" s="1291"/>
      <c r="H7" s="839" t="s">
        <v>129</v>
      </c>
      <c r="I7" s="839" t="s">
        <v>130</v>
      </c>
      <c r="J7" s="839" t="s">
        <v>131</v>
      </c>
      <c r="K7" s="872" t="s">
        <v>132</v>
      </c>
      <c r="L7" s="839" t="s">
        <v>702</v>
      </c>
      <c r="M7" s="872" t="s">
        <v>930</v>
      </c>
      <c r="N7" s="839" t="s">
        <v>703</v>
      </c>
      <c r="O7" s="872" t="s">
        <v>931</v>
      </c>
      <c r="P7" s="873" t="s">
        <v>129</v>
      </c>
      <c r="Q7" s="881" t="s">
        <v>130</v>
      </c>
      <c r="R7" s="874" t="s">
        <v>133</v>
      </c>
      <c r="S7" s="1234" t="s">
        <v>0</v>
      </c>
      <c r="T7" s="1234"/>
      <c r="U7" s="1234" t="s">
        <v>135</v>
      </c>
      <c r="V7" s="1234"/>
      <c r="W7" s="1234" t="s">
        <v>6</v>
      </c>
      <c r="X7" s="1234"/>
      <c r="Y7" s="1234" t="s">
        <v>7</v>
      </c>
      <c r="Z7" s="1234"/>
      <c r="AA7" s="1234" t="s">
        <v>8</v>
      </c>
      <c r="AB7" s="1234"/>
      <c r="AC7" s="370"/>
      <c r="AD7" s="370" t="s">
        <v>9</v>
      </c>
      <c r="AE7" s="370"/>
      <c r="AF7" s="370" t="s">
        <v>79</v>
      </c>
      <c r="AG7" s="370"/>
      <c r="AH7" s="370" t="s">
        <v>10</v>
      </c>
      <c r="AI7" s="370" t="s">
        <v>11</v>
      </c>
      <c r="AJ7" s="370" t="s">
        <v>12</v>
      </c>
      <c r="AK7" s="370" t="s">
        <v>13</v>
      </c>
      <c r="AL7" s="370" t="s">
        <v>14</v>
      </c>
      <c r="AM7" s="123"/>
      <c r="AN7" s="1051"/>
    </row>
    <row r="8" spans="1:44" ht="39.950000000000003" customHeight="1" x14ac:dyDescent="0.2">
      <c r="B8" s="1291"/>
      <c r="C8" s="1291"/>
      <c r="D8" s="1291"/>
      <c r="E8" s="1291"/>
      <c r="F8" s="1291"/>
      <c r="G8" s="1291"/>
      <c r="H8" s="845" t="s">
        <v>993</v>
      </c>
      <c r="I8" s="845" t="s">
        <v>994</v>
      </c>
      <c r="J8" s="845" t="s">
        <v>1143</v>
      </c>
      <c r="K8" s="875" t="s">
        <v>1144</v>
      </c>
      <c r="L8" s="845" t="s">
        <v>715</v>
      </c>
      <c r="M8" s="875" t="s">
        <v>714</v>
      </c>
      <c r="N8" s="845" t="s">
        <v>712</v>
      </c>
      <c r="O8" s="875" t="s">
        <v>713</v>
      </c>
      <c r="P8" s="847" t="s">
        <v>1145</v>
      </c>
      <c r="Q8" s="847" t="s">
        <v>1146</v>
      </c>
      <c r="R8" s="876" t="s">
        <v>1147</v>
      </c>
      <c r="S8" s="409" t="s">
        <v>1001</v>
      </c>
      <c r="T8" s="409" t="s">
        <v>871</v>
      </c>
      <c r="U8" s="409" t="s">
        <v>1001</v>
      </c>
      <c r="V8" s="409" t="s">
        <v>871</v>
      </c>
      <c r="W8" s="409" t="s">
        <v>1001</v>
      </c>
      <c r="X8" s="409" t="s">
        <v>871</v>
      </c>
      <c r="Y8" s="409" t="s">
        <v>1001</v>
      </c>
      <c r="Z8" s="409" t="s">
        <v>871</v>
      </c>
      <c r="AA8" s="409" t="s">
        <v>1001</v>
      </c>
      <c r="AB8" s="409" t="s">
        <v>871</v>
      </c>
      <c r="AC8" s="409" t="s">
        <v>1001</v>
      </c>
      <c r="AD8" s="409" t="s">
        <v>871</v>
      </c>
      <c r="AE8" s="409" t="s">
        <v>1001</v>
      </c>
      <c r="AF8" s="409" t="s">
        <v>871</v>
      </c>
      <c r="AG8" s="409" t="s">
        <v>1001</v>
      </c>
      <c r="AH8" s="409" t="s">
        <v>871</v>
      </c>
      <c r="AI8" s="409" t="s">
        <v>871</v>
      </c>
      <c r="AJ8" s="409" t="s">
        <v>871</v>
      </c>
      <c r="AK8" s="409" t="s">
        <v>871</v>
      </c>
      <c r="AL8" s="409" t="s">
        <v>871</v>
      </c>
      <c r="AM8" s="59"/>
    </row>
    <row r="9" spans="1:44" s="85" customFormat="1" ht="39.950000000000003" customHeight="1" x14ac:dyDescent="0.2">
      <c r="A9" s="84"/>
      <c r="B9" s="518" t="s">
        <v>91</v>
      </c>
      <c r="C9" s="437" t="s">
        <v>92</v>
      </c>
      <c r="D9" s="437" t="s">
        <v>93</v>
      </c>
      <c r="E9" s="420" t="s">
        <v>94</v>
      </c>
      <c r="F9" s="419"/>
      <c r="G9" s="421" t="s">
        <v>278</v>
      </c>
      <c r="H9" s="439">
        <f>+H34+H72+H10</f>
        <v>102489437</v>
      </c>
      <c r="I9" s="439">
        <f>+I10+I32+I34+I72+I70</f>
        <v>57420732</v>
      </c>
      <c r="J9" s="439">
        <f ca="1">+J32+J34+J70+J72</f>
        <v>0</v>
      </c>
      <c r="K9" s="441">
        <f ca="1">IFERROR(J9/I9,"0.00%")</f>
        <v>0</v>
      </c>
      <c r="L9" s="439">
        <f>+L10+L32+L34+L72+L70</f>
        <v>0</v>
      </c>
      <c r="M9" s="722">
        <f>IFERROR(L9/I9,0)</f>
        <v>0</v>
      </c>
      <c r="N9" s="439">
        <f>+I9-L9</f>
        <v>57420732</v>
      </c>
      <c r="O9" s="441">
        <f>+IFERROR(N9/I9,0)</f>
        <v>1</v>
      </c>
      <c r="P9" s="439">
        <f>+P10+P32+P34+P72+P70</f>
        <v>61321186.398200005</v>
      </c>
      <c r="Q9" s="439">
        <f ca="1">+Q10+Q32+Q34+Q72+Q70</f>
        <v>10619639.905999999</v>
      </c>
      <c r="R9" s="722">
        <f ca="1">IFERROR(Q9/P9,"0.00%")</f>
        <v>0.17318060086182097</v>
      </c>
      <c r="S9" s="882"/>
      <c r="T9" s="882">
        <f>+T32+T34+T70+T72</f>
        <v>8343473.2240000004</v>
      </c>
      <c r="U9" s="883">
        <v>0</v>
      </c>
      <c r="V9" s="407">
        <v>0</v>
      </c>
      <c r="W9" s="407">
        <v>0</v>
      </c>
      <c r="X9" s="884">
        <f>+X32</f>
        <v>2276166.682</v>
      </c>
      <c r="Y9" s="407">
        <v>0</v>
      </c>
      <c r="Z9" s="407">
        <v>0</v>
      </c>
      <c r="AA9" s="407">
        <v>0</v>
      </c>
      <c r="AB9" s="407">
        <v>0</v>
      </c>
      <c r="AC9" s="407">
        <v>0</v>
      </c>
      <c r="AD9" s="407">
        <v>0</v>
      </c>
      <c r="AE9" s="407">
        <v>0</v>
      </c>
      <c r="AF9" s="407">
        <v>0</v>
      </c>
      <c r="AG9" s="407">
        <v>0</v>
      </c>
      <c r="AH9" s="407">
        <v>0</v>
      </c>
      <c r="AI9" s="407">
        <v>0</v>
      </c>
      <c r="AJ9" s="407">
        <v>0</v>
      </c>
      <c r="AK9" s="407">
        <v>0</v>
      </c>
      <c r="AL9" s="407">
        <f>+AL32</f>
        <v>-2334421</v>
      </c>
      <c r="AM9" s="59"/>
      <c r="AN9" s="948"/>
      <c r="AO9" s="320"/>
      <c r="AP9" s="948"/>
      <c r="AQ9" s="948"/>
      <c r="AR9" s="320"/>
    </row>
    <row r="10" spans="1:44" ht="15.75" customHeight="1" x14ac:dyDescent="0.2">
      <c r="B10" s="792">
        <v>24</v>
      </c>
      <c r="C10" s="582" t="s">
        <v>2</v>
      </c>
      <c r="D10" s="322"/>
      <c r="E10" s="577"/>
      <c r="F10" s="576"/>
      <c r="G10" s="503" t="s">
        <v>206</v>
      </c>
      <c r="H10" s="314">
        <f>+H11</f>
        <v>0</v>
      </c>
      <c r="I10" s="314">
        <f>+I11</f>
        <v>562940</v>
      </c>
      <c r="J10" s="165">
        <f>+J11</f>
        <v>0</v>
      </c>
      <c r="K10" s="580">
        <f>IFERROR(J10/I10,"0,0%")</f>
        <v>0</v>
      </c>
      <c r="L10" s="579">
        <f>+L11</f>
        <v>0</v>
      </c>
      <c r="M10" s="580">
        <f>IFERROR(L10/I10,0)</f>
        <v>0</v>
      </c>
      <c r="N10" s="314">
        <f t="shared" ref="N10:N11" si="0">+I10-L10</f>
        <v>562940</v>
      </c>
      <c r="O10" s="578">
        <f>+IFERROR(N10/I10,0)</f>
        <v>1</v>
      </c>
      <c r="P10" s="567">
        <f>+P11</f>
        <v>0</v>
      </c>
      <c r="Q10" s="165">
        <f>+Q11</f>
        <v>0</v>
      </c>
      <c r="R10" s="545" t="str">
        <f>IFERROR(Q10/P10,"0.00%")</f>
        <v>0.00%</v>
      </c>
      <c r="S10" s="545"/>
      <c r="T10" s="452">
        <v>0</v>
      </c>
      <c r="U10" s="452">
        <v>0</v>
      </c>
      <c r="V10" s="165">
        <v>0</v>
      </c>
      <c r="W10" s="165">
        <v>0</v>
      </c>
      <c r="X10" s="524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/>
      <c r="AJ10" s="8"/>
      <c r="AK10" s="8"/>
      <c r="AL10" s="8"/>
      <c r="AN10" s="948"/>
      <c r="AO10" s="320"/>
      <c r="AP10" s="1113"/>
      <c r="AQ10" s="948"/>
      <c r="AR10" s="21"/>
    </row>
    <row r="11" spans="1:44" ht="15" hidden="1" customHeight="1" x14ac:dyDescent="0.2">
      <c r="B11" s="792"/>
      <c r="C11" s="582">
        <v>2</v>
      </c>
      <c r="D11" s="583"/>
      <c r="E11" s="577"/>
      <c r="F11" s="576"/>
      <c r="G11" s="503" t="s">
        <v>86</v>
      </c>
      <c r="H11" s="314">
        <v>0</v>
      </c>
      <c r="I11" s="314">
        <f>SUM(I12:I31)</f>
        <v>562940</v>
      </c>
      <c r="J11" s="314">
        <v>0</v>
      </c>
      <c r="K11" s="580">
        <f>IFERROR(J11/I11,"0,0%")</f>
        <v>0</v>
      </c>
      <c r="L11" s="579">
        <v>0</v>
      </c>
      <c r="M11" s="580">
        <f>IFERROR(L11/I11,0)</f>
        <v>0</v>
      </c>
      <c r="N11" s="314">
        <f t="shared" si="0"/>
        <v>562940</v>
      </c>
      <c r="O11" s="578">
        <f>+IFERROR(N11/I11,0)</f>
        <v>1</v>
      </c>
      <c r="P11" s="323">
        <f>+SUM(P12:P31)</f>
        <v>0</v>
      </c>
      <c r="Q11" s="314">
        <f>SUM(Q12:Q31)</f>
        <v>0</v>
      </c>
      <c r="R11" s="545" t="str">
        <f>IFERROR(Q11/P11,"0.00%")</f>
        <v>0.00%</v>
      </c>
      <c r="S11" s="545"/>
      <c r="T11" s="452">
        <v>0</v>
      </c>
      <c r="U11" s="452">
        <v>0</v>
      </c>
      <c r="V11" s="165">
        <v>0</v>
      </c>
      <c r="W11" s="165">
        <v>0</v>
      </c>
      <c r="X11" s="524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/>
      <c r="AJ11" s="8"/>
      <c r="AK11" s="8"/>
      <c r="AL11" s="8"/>
      <c r="AN11" s="948"/>
      <c r="AO11" s="320"/>
      <c r="AP11" s="1113"/>
      <c r="AQ11" s="948"/>
      <c r="AR11" s="21"/>
    </row>
    <row r="12" spans="1:44" s="21" customFormat="1" ht="14.25" hidden="1" customHeight="1" x14ac:dyDescent="0.2">
      <c r="A12" s="187"/>
      <c r="B12" s="1052"/>
      <c r="C12" s="1053"/>
      <c r="D12" s="934">
        <v>4</v>
      </c>
      <c r="E12" s="1054"/>
      <c r="F12" s="1111">
        <v>2402004</v>
      </c>
      <c r="G12" s="328" t="s">
        <v>284</v>
      </c>
      <c r="H12" s="1112">
        <v>0</v>
      </c>
      <c r="I12" s="327">
        <v>0</v>
      </c>
      <c r="J12" s="327">
        <v>0</v>
      </c>
      <c r="K12" s="543" t="str">
        <f>IFERROR(J12/I12,"0,00%")</f>
        <v>0,00%</v>
      </c>
      <c r="L12" s="251">
        <v>0</v>
      </c>
      <c r="M12" s="543">
        <f>IFERROR(L12/I12,0)</f>
        <v>0</v>
      </c>
      <c r="N12" s="251">
        <f>+I12-L12</f>
        <v>0</v>
      </c>
      <c r="O12" s="543">
        <f>+IFERROR(N12/I12,0)</f>
        <v>0</v>
      </c>
      <c r="P12" s="377">
        <v>0</v>
      </c>
      <c r="Q12" s="327">
        <f t="shared" ref="Q12:Q31" si="1">SUMIF($V$3:$AL$3,"SI",V12:AL12)</f>
        <v>0</v>
      </c>
      <c r="R12" s="380" t="str">
        <f>IFERROR(Q12/P12,"0,0%")</f>
        <v>0,0%</v>
      </c>
      <c r="S12" s="380"/>
      <c r="T12" s="950">
        <v>0</v>
      </c>
      <c r="U12" s="950">
        <v>0</v>
      </c>
      <c r="V12" s="327">
        <v>0</v>
      </c>
      <c r="W12" s="327">
        <v>0</v>
      </c>
      <c r="X12" s="951">
        <v>0</v>
      </c>
      <c r="Y12" s="474">
        <v>0</v>
      </c>
      <c r="Z12" s="474">
        <v>0</v>
      </c>
      <c r="AA12" s="474">
        <v>0</v>
      </c>
      <c r="AB12" s="474">
        <v>0</v>
      </c>
      <c r="AC12" s="474">
        <v>0</v>
      </c>
      <c r="AD12" s="474">
        <v>0</v>
      </c>
      <c r="AE12" s="474">
        <v>0</v>
      </c>
      <c r="AF12" s="474">
        <v>0</v>
      </c>
      <c r="AG12" s="474">
        <v>0</v>
      </c>
      <c r="AH12" s="474">
        <v>0</v>
      </c>
      <c r="AI12" s="474"/>
      <c r="AJ12" s="474"/>
      <c r="AK12" s="474"/>
      <c r="AL12" s="474"/>
      <c r="AM12" s="1055"/>
      <c r="AN12" s="948"/>
      <c r="AO12" s="320"/>
      <c r="AP12" s="1113"/>
      <c r="AQ12" s="948"/>
    </row>
    <row r="13" spans="1:44" s="21" customFormat="1" ht="15" hidden="1" customHeight="1" x14ac:dyDescent="0.2">
      <c r="A13" s="187"/>
      <c r="B13" s="1052"/>
      <c r="C13" s="1053"/>
      <c r="D13" s="1114" t="s">
        <v>324</v>
      </c>
      <c r="E13" s="1054"/>
      <c r="F13" s="934">
        <v>2402006</v>
      </c>
      <c r="G13" s="328" t="s">
        <v>305</v>
      </c>
      <c r="H13" s="251">
        <v>0</v>
      </c>
      <c r="I13" s="327">
        <v>0</v>
      </c>
      <c r="J13" s="327">
        <v>0</v>
      </c>
      <c r="K13" s="543" t="str">
        <f t="shared" ref="K13:K31" si="2">IFERROR(J13/I13,"0,00%")</f>
        <v>0,00%</v>
      </c>
      <c r="L13" s="251">
        <v>0</v>
      </c>
      <c r="M13" s="543">
        <f t="shared" ref="M13:M33" si="3">IFERROR(L13/I13,0)</f>
        <v>0</v>
      </c>
      <c r="N13" s="251">
        <f t="shared" ref="N13:N31" si="4">+I13-L13</f>
        <v>0</v>
      </c>
      <c r="O13" s="543">
        <f t="shared" ref="O13:O27" si="5">+IFERROR(N13/I13,0)</f>
        <v>0</v>
      </c>
      <c r="P13" s="377">
        <v>0</v>
      </c>
      <c r="Q13" s="327">
        <f t="shared" si="1"/>
        <v>0</v>
      </c>
      <c r="R13" s="380" t="str">
        <f t="shared" ref="R13:R31" si="6">IFERROR(Q13/P13,"0,0%")</f>
        <v>0,0%</v>
      </c>
      <c r="S13" s="380"/>
      <c r="T13" s="950">
        <v>0</v>
      </c>
      <c r="U13" s="950">
        <v>0</v>
      </c>
      <c r="V13" s="327">
        <v>0</v>
      </c>
      <c r="W13" s="327">
        <v>0</v>
      </c>
      <c r="X13" s="951">
        <v>0</v>
      </c>
      <c r="Y13" s="474">
        <v>0</v>
      </c>
      <c r="Z13" s="474">
        <v>0</v>
      </c>
      <c r="AA13" s="474">
        <v>0</v>
      </c>
      <c r="AB13" s="474">
        <v>0</v>
      </c>
      <c r="AC13" s="474">
        <v>0</v>
      </c>
      <c r="AD13" s="474">
        <v>0</v>
      </c>
      <c r="AE13" s="474">
        <v>0</v>
      </c>
      <c r="AF13" s="474">
        <v>0</v>
      </c>
      <c r="AG13" s="474">
        <v>0</v>
      </c>
      <c r="AH13" s="474">
        <v>0</v>
      </c>
      <c r="AI13" s="474"/>
      <c r="AJ13" s="474"/>
      <c r="AK13" s="474"/>
      <c r="AL13" s="474"/>
      <c r="AM13" s="1055"/>
      <c r="AN13" s="948"/>
      <c r="AO13" s="320"/>
      <c r="AP13" s="1113"/>
      <c r="AQ13" s="948"/>
    </row>
    <row r="14" spans="1:44" s="21" customFormat="1" ht="15" hidden="1" customHeight="1" x14ac:dyDescent="0.2">
      <c r="A14" s="187"/>
      <c r="B14" s="1052"/>
      <c r="C14" s="1053"/>
      <c r="D14" s="1114" t="s">
        <v>308</v>
      </c>
      <c r="E14" s="1054"/>
      <c r="F14" s="934">
        <v>2402007</v>
      </c>
      <c r="G14" s="328" t="s">
        <v>507</v>
      </c>
      <c r="H14" s="251">
        <v>0</v>
      </c>
      <c r="I14" s="327">
        <v>0</v>
      </c>
      <c r="J14" s="327">
        <v>0</v>
      </c>
      <c r="K14" s="543" t="str">
        <f t="shared" si="2"/>
        <v>0,00%</v>
      </c>
      <c r="L14" s="251">
        <v>0</v>
      </c>
      <c r="M14" s="543">
        <f t="shared" si="3"/>
        <v>0</v>
      </c>
      <c r="N14" s="251">
        <f t="shared" si="4"/>
        <v>0</v>
      </c>
      <c r="O14" s="543">
        <f t="shared" si="5"/>
        <v>0</v>
      </c>
      <c r="P14" s="377">
        <v>0</v>
      </c>
      <c r="Q14" s="327">
        <f t="shared" si="1"/>
        <v>0</v>
      </c>
      <c r="R14" s="380" t="str">
        <f t="shared" si="6"/>
        <v>0,0%</v>
      </c>
      <c r="S14" s="380"/>
      <c r="T14" s="950">
        <v>0</v>
      </c>
      <c r="U14" s="950">
        <v>0</v>
      </c>
      <c r="V14" s="327">
        <v>0</v>
      </c>
      <c r="W14" s="327">
        <v>0</v>
      </c>
      <c r="X14" s="951">
        <v>0</v>
      </c>
      <c r="Y14" s="474">
        <v>0</v>
      </c>
      <c r="Z14" s="474">
        <v>0</v>
      </c>
      <c r="AA14" s="474">
        <v>0</v>
      </c>
      <c r="AB14" s="474">
        <v>0</v>
      </c>
      <c r="AC14" s="474">
        <v>0</v>
      </c>
      <c r="AD14" s="474">
        <v>0</v>
      </c>
      <c r="AE14" s="474">
        <v>0</v>
      </c>
      <c r="AF14" s="474">
        <v>0</v>
      </c>
      <c r="AG14" s="474">
        <v>0</v>
      </c>
      <c r="AH14" s="474">
        <v>0</v>
      </c>
      <c r="AI14" s="474"/>
      <c r="AJ14" s="474"/>
      <c r="AK14" s="474"/>
      <c r="AL14" s="474"/>
      <c r="AM14" s="1055"/>
      <c r="AN14" s="948"/>
      <c r="AO14" s="320"/>
      <c r="AP14" s="1113"/>
      <c r="AQ14" s="948"/>
    </row>
    <row r="15" spans="1:44" s="21" customFormat="1" ht="15" hidden="1" customHeight="1" x14ac:dyDescent="0.2">
      <c r="A15" s="187"/>
      <c r="B15" s="1052"/>
      <c r="C15" s="1053"/>
      <c r="D15" s="934">
        <v>101</v>
      </c>
      <c r="E15" s="1054"/>
      <c r="F15" s="934">
        <v>2402101</v>
      </c>
      <c r="G15" s="328" t="s">
        <v>657</v>
      </c>
      <c r="H15" s="251">
        <v>0</v>
      </c>
      <c r="I15" s="327">
        <f>+'P05 2025'!DL3</f>
        <v>10000</v>
      </c>
      <c r="J15" s="327">
        <v>0</v>
      </c>
      <c r="K15" s="543">
        <f t="shared" si="2"/>
        <v>0</v>
      </c>
      <c r="L15" s="251">
        <v>0</v>
      </c>
      <c r="M15" s="543">
        <f t="shared" si="3"/>
        <v>0</v>
      </c>
      <c r="N15" s="251">
        <f t="shared" si="4"/>
        <v>10000</v>
      </c>
      <c r="O15" s="543">
        <f t="shared" si="5"/>
        <v>1</v>
      </c>
      <c r="P15" s="377">
        <v>0</v>
      </c>
      <c r="Q15" s="327">
        <f t="shared" si="1"/>
        <v>0</v>
      </c>
      <c r="R15" s="380" t="str">
        <f t="shared" si="6"/>
        <v>0,0%</v>
      </c>
      <c r="S15" s="380"/>
      <c r="T15" s="950">
        <v>0</v>
      </c>
      <c r="U15" s="950">
        <v>0</v>
      </c>
      <c r="V15" s="327">
        <v>0</v>
      </c>
      <c r="W15" s="327">
        <v>0</v>
      </c>
      <c r="X15" s="951">
        <v>0</v>
      </c>
      <c r="Y15" s="474">
        <v>0</v>
      </c>
      <c r="Z15" s="474">
        <v>0</v>
      </c>
      <c r="AA15" s="474">
        <v>0</v>
      </c>
      <c r="AB15" s="474">
        <v>0</v>
      </c>
      <c r="AC15" s="474">
        <v>0</v>
      </c>
      <c r="AD15" s="474">
        <v>0</v>
      </c>
      <c r="AE15" s="474">
        <v>0</v>
      </c>
      <c r="AF15" s="474">
        <v>0</v>
      </c>
      <c r="AG15" s="474">
        <v>0</v>
      </c>
      <c r="AH15" s="474">
        <v>0</v>
      </c>
      <c r="AI15" s="474"/>
      <c r="AJ15" s="474"/>
      <c r="AK15" s="474"/>
      <c r="AL15" s="474"/>
      <c r="AM15" s="1055"/>
      <c r="AN15" s="948"/>
      <c r="AO15" s="320"/>
      <c r="AP15" s="1113"/>
      <c r="AQ15" s="948"/>
    </row>
    <row r="16" spans="1:44" s="21" customFormat="1" ht="15" hidden="1" customHeight="1" x14ac:dyDescent="0.2">
      <c r="A16" s="187"/>
      <c r="B16" s="1052"/>
      <c r="C16" s="1053"/>
      <c r="D16" s="934">
        <v>102</v>
      </c>
      <c r="E16" s="1054"/>
      <c r="F16" s="934" t="s">
        <v>459</v>
      </c>
      <c r="G16" s="328" t="s">
        <v>600</v>
      </c>
      <c r="H16" s="251">
        <v>0</v>
      </c>
      <c r="I16" s="327">
        <f>+'P05 2025'!DL4</f>
        <v>77750</v>
      </c>
      <c r="J16" s="327">
        <v>0</v>
      </c>
      <c r="K16" s="543">
        <f t="shared" si="2"/>
        <v>0</v>
      </c>
      <c r="L16" s="251">
        <v>0</v>
      </c>
      <c r="M16" s="543">
        <f t="shared" si="3"/>
        <v>0</v>
      </c>
      <c r="N16" s="251">
        <f t="shared" si="4"/>
        <v>77750</v>
      </c>
      <c r="O16" s="543">
        <f t="shared" si="5"/>
        <v>1</v>
      </c>
      <c r="P16" s="377">
        <v>0</v>
      </c>
      <c r="Q16" s="327">
        <f t="shared" si="1"/>
        <v>0</v>
      </c>
      <c r="R16" s="380" t="str">
        <f t="shared" si="6"/>
        <v>0,0%</v>
      </c>
      <c r="S16" s="380"/>
      <c r="T16" s="950">
        <v>0</v>
      </c>
      <c r="U16" s="950">
        <v>0</v>
      </c>
      <c r="V16" s="327">
        <v>0</v>
      </c>
      <c r="W16" s="327">
        <v>0</v>
      </c>
      <c r="X16" s="951">
        <v>0</v>
      </c>
      <c r="Y16" s="474">
        <v>0</v>
      </c>
      <c r="Z16" s="474">
        <v>0</v>
      </c>
      <c r="AA16" s="474">
        <v>0</v>
      </c>
      <c r="AB16" s="474">
        <v>0</v>
      </c>
      <c r="AC16" s="474">
        <v>0</v>
      </c>
      <c r="AD16" s="474">
        <v>0</v>
      </c>
      <c r="AE16" s="474">
        <v>0</v>
      </c>
      <c r="AF16" s="474">
        <v>0</v>
      </c>
      <c r="AG16" s="474">
        <v>0</v>
      </c>
      <c r="AH16" s="474">
        <v>0</v>
      </c>
      <c r="AI16" s="474"/>
      <c r="AJ16" s="474"/>
      <c r="AK16" s="474"/>
      <c r="AL16" s="474"/>
      <c r="AM16" s="1055"/>
      <c r="AN16" s="948"/>
      <c r="AO16" s="320"/>
      <c r="AP16" s="1113"/>
      <c r="AQ16" s="948"/>
    </row>
    <row r="17" spans="1:43" s="21" customFormat="1" ht="15" hidden="1" customHeight="1" x14ac:dyDescent="0.2">
      <c r="A17" s="187"/>
      <c r="B17" s="1052"/>
      <c r="C17" s="1053"/>
      <c r="D17" s="934">
        <v>103</v>
      </c>
      <c r="E17" s="1054"/>
      <c r="F17" s="934">
        <v>2402103</v>
      </c>
      <c r="G17" s="328" t="s">
        <v>658</v>
      </c>
      <c r="H17" s="251">
        <v>0</v>
      </c>
      <c r="I17" s="327">
        <v>0</v>
      </c>
      <c r="J17" s="327">
        <v>0</v>
      </c>
      <c r="K17" s="543" t="str">
        <f t="shared" si="2"/>
        <v>0,00%</v>
      </c>
      <c r="L17" s="251">
        <v>0</v>
      </c>
      <c r="M17" s="543">
        <f t="shared" si="3"/>
        <v>0</v>
      </c>
      <c r="N17" s="251">
        <f t="shared" si="4"/>
        <v>0</v>
      </c>
      <c r="O17" s="543">
        <f t="shared" si="5"/>
        <v>0</v>
      </c>
      <c r="P17" s="377">
        <v>0</v>
      </c>
      <c r="Q17" s="327">
        <f t="shared" si="1"/>
        <v>0</v>
      </c>
      <c r="R17" s="380" t="str">
        <f t="shared" si="6"/>
        <v>0,0%</v>
      </c>
      <c r="S17" s="380"/>
      <c r="T17" s="950">
        <v>0</v>
      </c>
      <c r="U17" s="950">
        <v>0</v>
      </c>
      <c r="V17" s="327">
        <v>0</v>
      </c>
      <c r="W17" s="327">
        <v>0</v>
      </c>
      <c r="X17" s="951">
        <v>0</v>
      </c>
      <c r="Y17" s="474">
        <v>0</v>
      </c>
      <c r="Z17" s="474">
        <v>0</v>
      </c>
      <c r="AA17" s="474">
        <v>0</v>
      </c>
      <c r="AB17" s="474">
        <v>0</v>
      </c>
      <c r="AC17" s="474">
        <v>0</v>
      </c>
      <c r="AD17" s="474">
        <v>0</v>
      </c>
      <c r="AE17" s="474">
        <v>0</v>
      </c>
      <c r="AF17" s="474">
        <v>0</v>
      </c>
      <c r="AG17" s="474">
        <v>0</v>
      </c>
      <c r="AH17" s="474">
        <v>0</v>
      </c>
      <c r="AI17" s="474"/>
      <c r="AJ17" s="474"/>
      <c r="AK17" s="474"/>
      <c r="AL17" s="474"/>
      <c r="AM17" s="51"/>
      <c r="AN17" s="948"/>
      <c r="AO17" s="320"/>
      <c r="AP17" s="1113"/>
      <c r="AQ17" s="948"/>
    </row>
    <row r="18" spans="1:43" s="21" customFormat="1" ht="15" hidden="1" customHeight="1" x14ac:dyDescent="0.2">
      <c r="A18" s="187"/>
      <c r="B18" s="1052"/>
      <c r="C18" s="1053"/>
      <c r="D18" s="934">
        <v>104</v>
      </c>
      <c r="E18" s="1054"/>
      <c r="F18" s="934">
        <v>2402104</v>
      </c>
      <c r="G18" s="328" t="s">
        <v>659</v>
      </c>
      <c r="H18" s="251">
        <v>0</v>
      </c>
      <c r="I18" s="327">
        <v>0</v>
      </c>
      <c r="J18" s="327">
        <v>0</v>
      </c>
      <c r="K18" s="543" t="str">
        <f t="shared" si="2"/>
        <v>0,00%</v>
      </c>
      <c r="L18" s="251">
        <v>0</v>
      </c>
      <c r="M18" s="543">
        <f t="shared" si="3"/>
        <v>0</v>
      </c>
      <c r="N18" s="251">
        <f t="shared" si="4"/>
        <v>0</v>
      </c>
      <c r="O18" s="543">
        <f t="shared" si="5"/>
        <v>0</v>
      </c>
      <c r="P18" s="377">
        <v>0</v>
      </c>
      <c r="Q18" s="327">
        <f t="shared" si="1"/>
        <v>0</v>
      </c>
      <c r="R18" s="380" t="str">
        <f t="shared" si="6"/>
        <v>0,0%</v>
      </c>
      <c r="S18" s="380"/>
      <c r="T18" s="950">
        <v>0</v>
      </c>
      <c r="U18" s="950">
        <v>0</v>
      </c>
      <c r="V18" s="327">
        <v>0</v>
      </c>
      <c r="W18" s="327">
        <v>0</v>
      </c>
      <c r="X18" s="951">
        <v>0</v>
      </c>
      <c r="Y18" s="474">
        <v>0</v>
      </c>
      <c r="Z18" s="474">
        <v>0</v>
      </c>
      <c r="AA18" s="474">
        <v>0</v>
      </c>
      <c r="AB18" s="474">
        <v>0</v>
      </c>
      <c r="AC18" s="474">
        <v>0</v>
      </c>
      <c r="AD18" s="474">
        <v>0</v>
      </c>
      <c r="AE18" s="474">
        <v>0</v>
      </c>
      <c r="AF18" s="474">
        <v>0</v>
      </c>
      <c r="AG18" s="474">
        <v>0</v>
      </c>
      <c r="AH18" s="474">
        <v>0</v>
      </c>
      <c r="AI18" s="474"/>
      <c r="AJ18" s="474"/>
      <c r="AK18" s="474"/>
      <c r="AL18" s="474"/>
      <c r="AM18" s="51"/>
      <c r="AN18" s="948"/>
      <c r="AO18" s="320"/>
      <c r="AP18" s="1113"/>
      <c r="AQ18" s="948"/>
    </row>
    <row r="19" spans="1:43" s="21" customFormat="1" ht="15" hidden="1" customHeight="1" x14ac:dyDescent="0.2">
      <c r="A19" s="187"/>
      <c r="B19" s="1052"/>
      <c r="C19" s="1053"/>
      <c r="D19" s="934">
        <v>105</v>
      </c>
      <c r="E19" s="1054"/>
      <c r="F19" s="934">
        <v>2402105</v>
      </c>
      <c r="G19" s="328" t="s">
        <v>660</v>
      </c>
      <c r="H19" s="251">
        <v>0</v>
      </c>
      <c r="I19" s="327">
        <f>+'P05 2025'!DL5</f>
        <v>35840</v>
      </c>
      <c r="J19" s="327">
        <v>0</v>
      </c>
      <c r="K19" s="543">
        <f t="shared" si="2"/>
        <v>0</v>
      </c>
      <c r="L19" s="251">
        <v>0</v>
      </c>
      <c r="M19" s="543">
        <f t="shared" si="3"/>
        <v>0</v>
      </c>
      <c r="N19" s="251">
        <f t="shared" si="4"/>
        <v>35840</v>
      </c>
      <c r="O19" s="543">
        <f t="shared" si="5"/>
        <v>1</v>
      </c>
      <c r="P19" s="377">
        <v>0</v>
      </c>
      <c r="Q19" s="327">
        <f t="shared" si="1"/>
        <v>0</v>
      </c>
      <c r="R19" s="380" t="str">
        <f t="shared" si="6"/>
        <v>0,0%</v>
      </c>
      <c r="S19" s="380"/>
      <c r="T19" s="950">
        <v>0</v>
      </c>
      <c r="U19" s="950">
        <v>0</v>
      </c>
      <c r="V19" s="327">
        <v>0</v>
      </c>
      <c r="W19" s="327">
        <v>0</v>
      </c>
      <c r="X19" s="951">
        <v>0</v>
      </c>
      <c r="Y19" s="474">
        <v>0</v>
      </c>
      <c r="Z19" s="474">
        <v>0</v>
      </c>
      <c r="AA19" s="474">
        <v>0</v>
      </c>
      <c r="AB19" s="474">
        <v>0</v>
      </c>
      <c r="AC19" s="474">
        <v>0</v>
      </c>
      <c r="AD19" s="474">
        <v>0</v>
      </c>
      <c r="AE19" s="474">
        <v>0</v>
      </c>
      <c r="AF19" s="474">
        <v>0</v>
      </c>
      <c r="AG19" s="474">
        <v>0</v>
      </c>
      <c r="AH19" s="474">
        <v>0</v>
      </c>
      <c r="AI19" s="474"/>
      <c r="AJ19" s="474"/>
      <c r="AK19" s="474"/>
      <c r="AL19" s="474"/>
      <c r="AM19" s="51"/>
      <c r="AN19" s="948"/>
      <c r="AO19" s="320"/>
      <c r="AP19" s="1113"/>
      <c r="AQ19" s="948"/>
    </row>
    <row r="20" spans="1:43" s="21" customFormat="1" ht="15" hidden="1" customHeight="1" x14ac:dyDescent="0.2">
      <c r="A20" s="187"/>
      <c r="B20" s="1052"/>
      <c r="C20" s="1053"/>
      <c r="D20" s="934">
        <v>106</v>
      </c>
      <c r="E20" s="1054"/>
      <c r="F20" s="934">
        <v>2402106</v>
      </c>
      <c r="G20" s="328" t="s">
        <v>661</v>
      </c>
      <c r="H20" s="251">
        <v>0</v>
      </c>
      <c r="I20" s="327">
        <f>+'P05 2025'!DL6+'P05 2025'!DL7</f>
        <v>252000</v>
      </c>
      <c r="J20" s="327">
        <v>0</v>
      </c>
      <c r="K20" s="543">
        <f t="shared" si="2"/>
        <v>0</v>
      </c>
      <c r="L20" s="251">
        <v>0</v>
      </c>
      <c r="M20" s="543">
        <f t="shared" si="3"/>
        <v>0</v>
      </c>
      <c r="N20" s="251">
        <f t="shared" si="4"/>
        <v>252000</v>
      </c>
      <c r="O20" s="543">
        <f t="shared" si="5"/>
        <v>1</v>
      </c>
      <c r="P20" s="377">
        <v>0</v>
      </c>
      <c r="Q20" s="327">
        <f t="shared" si="1"/>
        <v>0</v>
      </c>
      <c r="R20" s="380" t="str">
        <f t="shared" si="6"/>
        <v>0,0%</v>
      </c>
      <c r="S20" s="380"/>
      <c r="T20" s="950">
        <v>0</v>
      </c>
      <c r="U20" s="950">
        <v>0</v>
      </c>
      <c r="V20" s="327">
        <v>0</v>
      </c>
      <c r="W20" s="327">
        <v>0</v>
      </c>
      <c r="X20" s="951">
        <v>0</v>
      </c>
      <c r="Y20" s="474">
        <v>0</v>
      </c>
      <c r="Z20" s="474">
        <v>0</v>
      </c>
      <c r="AA20" s="474">
        <v>0</v>
      </c>
      <c r="AB20" s="474">
        <v>0</v>
      </c>
      <c r="AC20" s="474">
        <v>0</v>
      </c>
      <c r="AD20" s="474">
        <v>0</v>
      </c>
      <c r="AE20" s="474">
        <v>0</v>
      </c>
      <c r="AF20" s="474">
        <v>0</v>
      </c>
      <c r="AG20" s="474">
        <v>0</v>
      </c>
      <c r="AH20" s="474">
        <v>0</v>
      </c>
      <c r="AI20" s="474"/>
      <c r="AJ20" s="474"/>
      <c r="AK20" s="474"/>
      <c r="AL20" s="474"/>
      <c r="AM20" s="51"/>
      <c r="AN20" s="948"/>
      <c r="AO20" s="320"/>
      <c r="AP20" s="1113"/>
      <c r="AQ20" s="948"/>
    </row>
    <row r="21" spans="1:43" s="21" customFormat="1" ht="15" hidden="1" customHeight="1" x14ac:dyDescent="0.2">
      <c r="A21" s="187"/>
      <c r="B21" s="1052"/>
      <c r="C21" s="1053"/>
      <c r="D21" s="934">
        <v>107</v>
      </c>
      <c r="E21" s="1054"/>
      <c r="F21" s="934">
        <v>2402107</v>
      </c>
      <c r="G21" s="328" t="s">
        <v>591</v>
      </c>
      <c r="H21" s="251">
        <v>0</v>
      </c>
      <c r="I21" s="327">
        <f>+'P05 2025'!DL8</f>
        <v>50000</v>
      </c>
      <c r="J21" s="327">
        <v>0</v>
      </c>
      <c r="K21" s="543">
        <f t="shared" si="2"/>
        <v>0</v>
      </c>
      <c r="L21" s="251">
        <v>0</v>
      </c>
      <c r="M21" s="543">
        <f t="shared" si="3"/>
        <v>0</v>
      </c>
      <c r="N21" s="251">
        <f t="shared" si="4"/>
        <v>50000</v>
      </c>
      <c r="O21" s="543">
        <f t="shared" si="5"/>
        <v>1</v>
      </c>
      <c r="P21" s="377">
        <v>0</v>
      </c>
      <c r="Q21" s="327">
        <f t="shared" si="1"/>
        <v>0</v>
      </c>
      <c r="R21" s="380" t="str">
        <f t="shared" si="6"/>
        <v>0,0%</v>
      </c>
      <c r="S21" s="380"/>
      <c r="T21" s="950">
        <v>0</v>
      </c>
      <c r="U21" s="950">
        <v>0</v>
      </c>
      <c r="V21" s="327">
        <v>0</v>
      </c>
      <c r="W21" s="327">
        <v>0</v>
      </c>
      <c r="X21" s="951">
        <v>0</v>
      </c>
      <c r="Y21" s="474">
        <v>0</v>
      </c>
      <c r="Z21" s="474">
        <v>0</v>
      </c>
      <c r="AA21" s="474">
        <v>0</v>
      </c>
      <c r="AB21" s="474">
        <v>0</v>
      </c>
      <c r="AC21" s="474">
        <v>0</v>
      </c>
      <c r="AD21" s="474">
        <v>0</v>
      </c>
      <c r="AE21" s="474">
        <v>0</v>
      </c>
      <c r="AF21" s="474">
        <v>0</v>
      </c>
      <c r="AG21" s="474">
        <v>0</v>
      </c>
      <c r="AH21" s="474">
        <v>0</v>
      </c>
      <c r="AI21" s="474"/>
      <c r="AJ21" s="474"/>
      <c r="AK21" s="474"/>
      <c r="AL21" s="474"/>
      <c r="AM21" s="51"/>
      <c r="AN21" s="948"/>
      <c r="AO21" s="320"/>
      <c r="AP21" s="1113"/>
      <c r="AQ21" s="948"/>
    </row>
    <row r="22" spans="1:43" s="21" customFormat="1" ht="15" hidden="1" customHeight="1" x14ac:dyDescent="0.2">
      <c r="A22" s="187"/>
      <c r="B22" s="1052"/>
      <c r="C22" s="1053"/>
      <c r="D22" s="934">
        <v>108</v>
      </c>
      <c r="E22" s="1054"/>
      <c r="F22" s="934" t="s">
        <v>460</v>
      </c>
      <c r="G22" s="328" t="s">
        <v>752</v>
      </c>
      <c r="H22" s="251">
        <v>0</v>
      </c>
      <c r="I22" s="327">
        <v>0</v>
      </c>
      <c r="J22" s="327">
        <v>0</v>
      </c>
      <c r="K22" s="543" t="str">
        <f t="shared" si="2"/>
        <v>0,00%</v>
      </c>
      <c r="L22" s="251">
        <v>0</v>
      </c>
      <c r="M22" s="543">
        <f t="shared" si="3"/>
        <v>0</v>
      </c>
      <c r="N22" s="251">
        <f t="shared" si="4"/>
        <v>0</v>
      </c>
      <c r="O22" s="543">
        <f t="shared" si="5"/>
        <v>0</v>
      </c>
      <c r="P22" s="377">
        <v>0</v>
      </c>
      <c r="Q22" s="327">
        <f t="shared" si="1"/>
        <v>0</v>
      </c>
      <c r="R22" s="380" t="str">
        <f t="shared" si="6"/>
        <v>0,0%</v>
      </c>
      <c r="S22" s="380"/>
      <c r="T22" s="950">
        <v>0</v>
      </c>
      <c r="U22" s="950">
        <v>0</v>
      </c>
      <c r="V22" s="327">
        <v>0</v>
      </c>
      <c r="W22" s="327">
        <v>0</v>
      </c>
      <c r="X22" s="951">
        <v>0</v>
      </c>
      <c r="Y22" s="474">
        <v>0</v>
      </c>
      <c r="Z22" s="474">
        <v>0</v>
      </c>
      <c r="AA22" s="474">
        <v>0</v>
      </c>
      <c r="AB22" s="474">
        <v>0</v>
      </c>
      <c r="AC22" s="474">
        <v>0</v>
      </c>
      <c r="AD22" s="474">
        <v>0</v>
      </c>
      <c r="AE22" s="474">
        <v>0</v>
      </c>
      <c r="AF22" s="474">
        <v>0</v>
      </c>
      <c r="AG22" s="474">
        <v>0</v>
      </c>
      <c r="AH22" s="474">
        <v>0</v>
      </c>
      <c r="AI22" s="474"/>
      <c r="AJ22" s="474"/>
      <c r="AK22" s="474"/>
      <c r="AL22" s="474"/>
      <c r="AM22" s="51"/>
      <c r="AN22" s="948"/>
      <c r="AO22" s="320"/>
      <c r="AP22" s="1113"/>
      <c r="AQ22" s="948"/>
    </row>
    <row r="23" spans="1:43" s="21" customFormat="1" ht="15" hidden="1" customHeight="1" x14ac:dyDescent="0.2">
      <c r="A23" s="187"/>
      <c r="B23" s="1052"/>
      <c r="C23" s="1053"/>
      <c r="D23" s="934">
        <v>109</v>
      </c>
      <c r="E23" s="1054"/>
      <c r="F23" s="934">
        <v>2402109</v>
      </c>
      <c r="G23" s="328" t="s">
        <v>662</v>
      </c>
      <c r="H23" s="251">
        <v>0</v>
      </c>
      <c r="I23" s="327">
        <f>+'P05 2025'!DL9</f>
        <v>25000</v>
      </c>
      <c r="J23" s="327">
        <v>0</v>
      </c>
      <c r="K23" s="543">
        <f t="shared" si="2"/>
        <v>0</v>
      </c>
      <c r="L23" s="251">
        <v>0</v>
      </c>
      <c r="M23" s="543">
        <f t="shared" si="3"/>
        <v>0</v>
      </c>
      <c r="N23" s="251">
        <f t="shared" si="4"/>
        <v>25000</v>
      </c>
      <c r="O23" s="543">
        <f t="shared" si="5"/>
        <v>1</v>
      </c>
      <c r="P23" s="377">
        <v>0</v>
      </c>
      <c r="Q23" s="327">
        <f t="shared" si="1"/>
        <v>0</v>
      </c>
      <c r="R23" s="380" t="str">
        <f t="shared" si="6"/>
        <v>0,0%</v>
      </c>
      <c r="S23" s="380"/>
      <c r="T23" s="950">
        <v>0</v>
      </c>
      <c r="U23" s="950">
        <v>0</v>
      </c>
      <c r="V23" s="327">
        <v>0</v>
      </c>
      <c r="W23" s="327">
        <v>0</v>
      </c>
      <c r="X23" s="951">
        <v>0</v>
      </c>
      <c r="Y23" s="474">
        <v>0</v>
      </c>
      <c r="Z23" s="474">
        <v>0</v>
      </c>
      <c r="AA23" s="474">
        <v>0</v>
      </c>
      <c r="AB23" s="474">
        <v>0</v>
      </c>
      <c r="AC23" s="474">
        <v>0</v>
      </c>
      <c r="AD23" s="474">
        <v>0</v>
      </c>
      <c r="AE23" s="474">
        <v>0</v>
      </c>
      <c r="AF23" s="474">
        <v>0</v>
      </c>
      <c r="AG23" s="474">
        <v>0</v>
      </c>
      <c r="AH23" s="474">
        <v>0</v>
      </c>
      <c r="AI23" s="474"/>
      <c r="AJ23" s="474"/>
      <c r="AK23" s="474"/>
      <c r="AL23" s="474"/>
      <c r="AM23" s="51"/>
      <c r="AN23" s="948"/>
      <c r="AO23" s="320"/>
      <c r="AP23" s="1113"/>
      <c r="AQ23" s="948"/>
    </row>
    <row r="24" spans="1:43" s="21" customFormat="1" ht="15" hidden="1" customHeight="1" x14ac:dyDescent="0.2">
      <c r="A24" s="187"/>
      <c r="B24" s="1052"/>
      <c r="C24" s="1053"/>
      <c r="D24" s="934">
        <v>110</v>
      </c>
      <c r="E24" s="1054"/>
      <c r="F24" s="934">
        <v>2402110</v>
      </c>
      <c r="G24" s="328" t="s">
        <v>663</v>
      </c>
      <c r="H24" s="251">
        <v>0</v>
      </c>
      <c r="I24" s="327">
        <v>0</v>
      </c>
      <c r="J24" s="327">
        <v>0</v>
      </c>
      <c r="K24" s="543" t="str">
        <f t="shared" si="2"/>
        <v>0,00%</v>
      </c>
      <c r="L24" s="251">
        <v>0</v>
      </c>
      <c r="M24" s="543">
        <f t="shared" si="3"/>
        <v>0</v>
      </c>
      <c r="N24" s="251">
        <f t="shared" si="4"/>
        <v>0</v>
      </c>
      <c r="O24" s="543">
        <f t="shared" si="5"/>
        <v>0</v>
      </c>
      <c r="P24" s="377">
        <v>0</v>
      </c>
      <c r="Q24" s="327">
        <f t="shared" si="1"/>
        <v>0</v>
      </c>
      <c r="R24" s="380" t="str">
        <f t="shared" si="6"/>
        <v>0,0%</v>
      </c>
      <c r="S24" s="380"/>
      <c r="T24" s="950">
        <v>0</v>
      </c>
      <c r="U24" s="950">
        <v>0</v>
      </c>
      <c r="V24" s="327">
        <v>0</v>
      </c>
      <c r="W24" s="327">
        <v>0</v>
      </c>
      <c r="X24" s="951">
        <v>0</v>
      </c>
      <c r="Y24" s="474">
        <v>0</v>
      </c>
      <c r="Z24" s="474">
        <v>0</v>
      </c>
      <c r="AA24" s="474">
        <v>0</v>
      </c>
      <c r="AB24" s="474">
        <v>0</v>
      </c>
      <c r="AC24" s="474">
        <v>0</v>
      </c>
      <c r="AD24" s="474">
        <v>0</v>
      </c>
      <c r="AE24" s="474">
        <v>0</v>
      </c>
      <c r="AF24" s="474">
        <v>0</v>
      </c>
      <c r="AG24" s="474">
        <v>0</v>
      </c>
      <c r="AH24" s="474">
        <v>0</v>
      </c>
      <c r="AI24" s="474"/>
      <c r="AJ24" s="474"/>
      <c r="AK24" s="474"/>
      <c r="AL24" s="474"/>
      <c r="AM24" s="51"/>
      <c r="AN24" s="948"/>
      <c r="AO24" s="320"/>
      <c r="AP24" s="1113"/>
      <c r="AQ24" s="948"/>
    </row>
    <row r="25" spans="1:43" s="21" customFormat="1" ht="15" hidden="1" customHeight="1" x14ac:dyDescent="0.2">
      <c r="A25" s="187"/>
      <c r="B25" s="1052"/>
      <c r="C25" s="1053"/>
      <c r="D25" s="934">
        <v>111</v>
      </c>
      <c r="E25" s="1054"/>
      <c r="F25" s="1056" t="s">
        <v>461</v>
      </c>
      <c r="G25" s="328" t="s">
        <v>601</v>
      </c>
      <c r="H25" s="251">
        <v>0</v>
      </c>
      <c r="I25" s="327">
        <f>+'P05 2025'!DL10</f>
        <v>1450</v>
      </c>
      <c r="J25" s="327">
        <v>0</v>
      </c>
      <c r="K25" s="543">
        <f t="shared" si="2"/>
        <v>0</v>
      </c>
      <c r="L25" s="251">
        <v>0</v>
      </c>
      <c r="M25" s="543">
        <f t="shared" si="3"/>
        <v>0</v>
      </c>
      <c r="N25" s="251">
        <f t="shared" si="4"/>
        <v>1450</v>
      </c>
      <c r="O25" s="543">
        <f t="shared" si="5"/>
        <v>1</v>
      </c>
      <c r="P25" s="377">
        <v>0</v>
      </c>
      <c r="Q25" s="327">
        <f t="shared" si="1"/>
        <v>0</v>
      </c>
      <c r="R25" s="380" t="str">
        <f t="shared" si="6"/>
        <v>0,0%</v>
      </c>
      <c r="S25" s="380"/>
      <c r="T25" s="950">
        <v>0</v>
      </c>
      <c r="U25" s="950">
        <v>0</v>
      </c>
      <c r="V25" s="327">
        <v>0</v>
      </c>
      <c r="W25" s="327">
        <v>0</v>
      </c>
      <c r="X25" s="951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0</v>
      </c>
      <c r="AD25" s="474">
        <v>0</v>
      </c>
      <c r="AE25" s="474">
        <v>0</v>
      </c>
      <c r="AF25" s="474">
        <v>0</v>
      </c>
      <c r="AG25" s="474">
        <v>0</v>
      </c>
      <c r="AH25" s="474">
        <v>0</v>
      </c>
      <c r="AI25" s="474"/>
      <c r="AJ25" s="474"/>
      <c r="AK25" s="474"/>
      <c r="AL25" s="474"/>
      <c r="AM25" s="51"/>
      <c r="AN25" s="948"/>
      <c r="AO25" s="320"/>
      <c r="AP25" s="1113"/>
      <c r="AQ25" s="948"/>
    </row>
    <row r="26" spans="1:43" s="21" customFormat="1" ht="15" hidden="1" customHeight="1" x14ac:dyDescent="0.2">
      <c r="A26" s="187"/>
      <c r="B26" s="1052"/>
      <c r="C26" s="1053"/>
      <c r="D26" s="934">
        <v>112</v>
      </c>
      <c r="E26" s="1054"/>
      <c r="F26" s="934">
        <v>2402112</v>
      </c>
      <c r="G26" s="328" t="s">
        <v>664</v>
      </c>
      <c r="H26" s="251">
        <v>0</v>
      </c>
      <c r="I26" s="327">
        <f>+'P05 2025'!DL11</f>
        <v>60000</v>
      </c>
      <c r="J26" s="327">
        <v>0</v>
      </c>
      <c r="K26" s="543">
        <f t="shared" si="2"/>
        <v>0</v>
      </c>
      <c r="L26" s="251">
        <v>0</v>
      </c>
      <c r="M26" s="543">
        <f t="shared" si="3"/>
        <v>0</v>
      </c>
      <c r="N26" s="251">
        <f t="shared" si="4"/>
        <v>60000</v>
      </c>
      <c r="O26" s="543">
        <f t="shared" si="5"/>
        <v>1</v>
      </c>
      <c r="P26" s="377">
        <v>0</v>
      </c>
      <c r="Q26" s="327">
        <f t="shared" si="1"/>
        <v>0</v>
      </c>
      <c r="R26" s="380" t="str">
        <f t="shared" si="6"/>
        <v>0,0%</v>
      </c>
      <c r="S26" s="380"/>
      <c r="T26" s="950">
        <v>0</v>
      </c>
      <c r="U26" s="950">
        <v>0</v>
      </c>
      <c r="V26" s="327">
        <v>0</v>
      </c>
      <c r="W26" s="327">
        <v>0</v>
      </c>
      <c r="X26" s="951">
        <v>0</v>
      </c>
      <c r="Y26" s="474">
        <v>0</v>
      </c>
      <c r="Z26" s="474">
        <v>0</v>
      </c>
      <c r="AA26" s="474">
        <v>0</v>
      </c>
      <c r="AB26" s="474">
        <v>0</v>
      </c>
      <c r="AC26" s="474">
        <v>0</v>
      </c>
      <c r="AD26" s="474">
        <v>0</v>
      </c>
      <c r="AE26" s="474">
        <v>0</v>
      </c>
      <c r="AF26" s="474">
        <v>0</v>
      </c>
      <c r="AG26" s="474">
        <v>0</v>
      </c>
      <c r="AH26" s="474">
        <v>0</v>
      </c>
      <c r="AI26" s="474"/>
      <c r="AJ26" s="474"/>
      <c r="AK26" s="474"/>
      <c r="AL26" s="474"/>
      <c r="AM26" s="51"/>
      <c r="AN26" s="948"/>
      <c r="AO26" s="320"/>
      <c r="AP26" s="1113"/>
      <c r="AQ26" s="948"/>
    </row>
    <row r="27" spans="1:43" s="21" customFormat="1" ht="15" hidden="1" customHeight="1" x14ac:dyDescent="0.2">
      <c r="A27" s="187"/>
      <c r="B27" s="1052"/>
      <c r="C27" s="1053"/>
      <c r="D27" s="934">
        <v>113</v>
      </c>
      <c r="E27" s="1054"/>
      <c r="F27" s="934">
        <v>2402113</v>
      </c>
      <c r="G27" s="328" t="s">
        <v>665</v>
      </c>
      <c r="H27" s="251">
        <v>0</v>
      </c>
      <c r="I27" s="327">
        <f>+'P05 2025'!DL12</f>
        <v>12500</v>
      </c>
      <c r="J27" s="327">
        <v>0</v>
      </c>
      <c r="K27" s="543">
        <f t="shared" si="2"/>
        <v>0</v>
      </c>
      <c r="L27" s="251">
        <v>0</v>
      </c>
      <c r="M27" s="543">
        <f t="shared" si="3"/>
        <v>0</v>
      </c>
      <c r="N27" s="251">
        <f t="shared" si="4"/>
        <v>12500</v>
      </c>
      <c r="O27" s="543">
        <f t="shared" si="5"/>
        <v>1</v>
      </c>
      <c r="P27" s="377">
        <v>0</v>
      </c>
      <c r="Q27" s="327">
        <f t="shared" si="1"/>
        <v>0</v>
      </c>
      <c r="R27" s="380" t="str">
        <f t="shared" si="6"/>
        <v>0,0%</v>
      </c>
      <c r="S27" s="380"/>
      <c r="T27" s="950">
        <v>0</v>
      </c>
      <c r="U27" s="950">
        <v>0</v>
      </c>
      <c r="V27" s="327">
        <v>0</v>
      </c>
      <c r="W27" s="327">
        <v>0</v>
      </c>
      <c r="X27" s="951">
        <v>0</v>
      </c>
      <c r="Y27" s="474">
        <v>0</v>
      </c>
      <c r="Z27" s="474">
        <v>0</v>
      </c>
      <c r="AA27" s="474">
        <v>0</v>
      </c>
      <c r="AB27" s="474">
        <v>0</v>
      </c>
      <c r="AC27" s="474">
        <v>0</v>
      </c>
      <c r="AD27" s="474">
        <v>0</v>
      </c>
      <c r="AE27" s="474">
        <v>0</v>
      </c>
      <c r="AF27" s="474">
        <v>0</v>
      </c>
      <c r="AG27" s="474">
        <v>0</v>
      </c>
      <c r="AH27" s="474">
        <v>0</v>
      </c>
      <c r="AI27" s="474"/>
      <c r="AJ27" s="474"/>
      <c r="AK27" s="474"/>
      <c r="AL27" s="474"/>
      <c r="AM27" s="51"/>
      <c r="AN27" s="948"/>
      <c r="AO27" s="320"/>
      <c r="AP27" s="1113"/>
      <c r="AQ27" s="948"/>
    </row>
    <row r="28" spans="1:43" s="21" customFormat="1" ht="15" hidden="1" customHeight="1" x14ac:dyDescent="0.2">
      <c r="A28" s="187"/>
      <c r="B28" s="1052"/>
      <c r="C28" s="1053"/>
      <c r="D28" s="934">
        <v>114</v>
      </c>
      <c r="E28" s="1054"/>
      <c r="F28" s="934">
        <v>2402114</v>
      </c>
      <c r="G28" s="328" t="s">
        <v>666</v>
      </c>
      <c r="H28" s="251">
        <v>0</v>
      </c>
      <c r="I28" s="327">
        <v>0</v>
      </c>
      <c r="J28" s="327">
        <v>0</v>
      </c>
      <c r="K28" s="543" t="str">
        <f t="shared" si="2"/>
        <v>0,00%</v>
      </c>
      <c r="L28" s="251">
        <v>0</v>
      </c>
      <c r="M28" s="543">
        <f t="shared" si="3"/>
        <v>0</v>
      </c>
      <c r="N28" s="251">
        <f t="shared" si="4"/>
        <v>0</v>
      </c>
      <c r="O28" s="543">
        <f>+IFERROR(N28/I28,0)</f>
        <v>0</v>
      </c>
      <c r="P28" s="377">
        <v>0</v>
      </c>
      <c r="Q28" s="327">
        <f t="shared" si="1"/>
        <v>0</v>
      </c>
      <c r="R28" s="380" t="str">
        <f t="shared" si="6"/>
        <v>0,0%</v>
      </c>
      <c r="S28" s="380"/>
      <c r="T28" s="950">
        <v>0</v>
      </c>
      <c r="U28" s="950">
        <v>0</v>
      </c>
      <c r="V28" s="327">
        <v>0</v>
      </c>
      <c r="W28" s="327">
        <v>0</v>
      </c>
      <c r="X28" s="951">
        <v>0</v>
      </c>
      <c r="Y28" s="474">
        <v>0</v>
      </c>
      <c r="Z28" s="474">
        <v>0</v>
      </c>
      <c r="AA28" s="474">
        <v>0</v>
      </c>
      <c r="AB28" s="474">
        <v>0</v>
      </c>
      <c r="AC28" s="474">
        <v>0</v>
      </c>
      <c r="AD28" s="474">
        <v>0</v>
      </c>
      <c r="AE28" s="474">
        <v>0</v>
      </c>
      <c r="AF28" s="474">
        <v>0</v>
      </c>
      <c r="AG28" s="474">
        <v>0</v>
      </c>
      <c r="AH28" s="474">
        <v>0</v>
      </c>
      <c r="AI28" s="474"/>
      <c r="AJ28" s="474"/>
      <c r="AK28" s="474"/>
      <c r="AL28" s="474"/>
      <c r="AN28" s="948"/>
      <c r="AO28" s="320"/>
      <c r="AP28" s="1113"/>
      <c r="AQ28" s="948"/>
    </row>
    <row r="29" spans="1:43" s="21" customFormat="1" ht="15" hidden="1" customHeight="1" x14ac:dyDescent="0.2">
      <c r="A29" s="187"/>
      <c r="B29" s="1052"/>
      <c r="C29" s="1053"/>
      <c r="D29" s="934">
        <v>115</v>
      </c>
      <c r="E29" s="1054"/>
      <c r="F29" s="934">
        <v>2402115</v>
      </c>
      <c r="G29" s="328" t="s">
        <v>667</v>
      </c>
      <c r="H29" s="251">
        <v>0</v>
      </c>
      <c r="I29" s="327">
        <v>0</v>
      </c>
      <c r="J29" s="327">
        <v>0</v>
      </c>
      <c r="K29" s="543" t="str">
        <f t="shared" si="2"/>
        <v>0,00%</v>
      </c>
      <c r="L29" s="251">
        <v>0</v>
      </c>
      <c r="M29" s="543">
        <f t="shared" si="3"/>
        <v>0</v>
      </c>
      <c r="N29" s="251">
        <f t="shared" si="4"/>
        <v>0</v>
      </c>
      <c r="O29" s="543">
        <f t="shared" ref="O29:O35" si="7">+IFERROR(N29/I29,0)</f>
        <v>0</v>
      </c>
      <c r="P29" s="377">
        <v>0</v>
      </c>
      <c r="Q29" s="327">
        <f t="shared" si="1"/>
        <v>0</v>
      </c>
      <c r="R29" s="380" t="str">
        <f t="shared" si="6"/>
        <v>0,0%</v>
      </c>
      <c r="S29" s="380"/>
      <c r="T29" s="950">
        <v>0</v>
      </c>
      <c r="U29" s="950">
        <v>0</v>
      </c>
      <c r="V29" s="327">
        <v>0</v>
      </c>
      <c r="W29" s="327">
        <v>0</v>
      </c>
      <c r="X29" s="951">
        <v>0</v>
      </c>
      <c r="Y29" s="474">
        <v>0</v>
      </c>
      <c r="Z29" s="474">
        <v>0</v>
      </c>
      <c r="AA29" s="474">
        <v>0</v>
      </c>
      <c r="AB29" s="474">
        <v>0</v>
      </c>
      <c r="AC29" s="474">
        <v>0</v>
      </c>
      <c r="AD29" s="474">
        <v>0</v>
      </c>
      <c r="AE29" s="474">
        <v>0</v>
      </c>
      <c r="AF29" s="474">
        <v>0</v>
      </c>
      <c r="AG29" s="474">
        <v>0</v>
      </c>
      <c r="AH29" s="474">
        <v>0</v>
      </c>
      <c r="AI29" s="474"/>
      <c r="AJ29" s="474"/>
      <c r="AK29" s="474"/>
      <c r="AL29" s="474"/>
      <c r="AN29" s="948"/>
      <c r="AO29" s="320"/>
      <c r="AP29" s="1113"/>
      <c r="AQ29" s="948"/>
    </row>
    <row r="30" spans="1:43" s="21" customFormat="1" ht="15" hidden="1" customHeight="1" x14ac:dyDescent="0.2">
      <c r="A30" s="187"/>
      <c r="B30" s="1052"/>
      <c r="C30" s="1053"/>
      <c r="D30" s="934">
        <v>116</v>
      </c>
      <c r="E30" s="1054"/>
      <c r="F30" s="934">
        <v>2402116</v>
      </c>
      <c r="G30" s="328" t="s">
        <v>592</v>
      </c>
      <c r="H30" s="251">
        <v>0</v>
      </c>
      <c r="I30" s="327">
        <f>+'P05 2025'!DL13</f>
        <v>38400</v>
      </c>
      <c r="J30" s="327">
        <v>0</v>
      </c>
      <c r="K30" s="543">
        <f t="shared" si="2"/>
        <v>0</v>
      </c>
      <c r="L30" s="251">
        <v>0</v>
      </c>
      <c r="M30" s="543">
        <f t="shared" si="3"/>
        <v>0</v>
      </c>
      <c r="N30" s="251">
        <f t="shared" si="4"/>
        <v>38400</v>
      </c>
      <c r="O30" s="543">
        <f t="shared" si="7"/>
        <v>1</v>
      </c>
      <c r="P30" s="377">
        <v>0</v>
      </c>
      <c r="Q30" s="327">
        <f t="shared" si="1"/>
        <v>0</v>
      </c>
      <c r="R30" s="380" t="str">
        <f t="shared" si="6"/>
        <v>0,0%</v>
      </c>
      <c r="S30" s="380"/>
      <c r="T30" s="950">
        <v>0</v>
      </c>
      <c r="U30" s="950">
        <v>0</v>
      </c>
      <c r="V30" s="327">
        <v>0</v>
      </c>
      <c r="W30" s="327">
        <v>0</v>
      </c>
      <c r="X30" s="951">
        <v>0</v>
      </c>
      <c r="Y30" s="474">
        <v>0</v>
      </c>
      <c r="Z30" s="474">
        <v>0</v>
      </c>
      <c r="AA30" s="474">
        <v>0</v>
      </c>
      <c r="AB30" s="474">
        <v>0</v>
      </c>
      <c r="AC30" s="474">
        <v>0</v>
      </c>
      <c r="AD30" s="474">
        <v>0</v>
      </c>
      <c r="AE30" s="474">
        <v>0</v>
      </c>
      <c r="AF30" s="474">
        <v>0</v>
      </c>
      <c r="AG30" s="474">
        <v>0</v>
      </c>
      <c r="AH30" s="474">
        <v>0</v>
      </c>
      <c r="AI30" s="474"/>
      <c r="AJ30" s="474"/>
      <c r="AK30" s="474"/>
      <c r="AL30" s="474"/>
      <c r="AN30" s="948"/>
      <c r="AO30" s="320"/>
      <c r="AP30" s="1113"/>
      <c r="AQ30" s="948"/>
    </row>
    <row r="31" spans="1:43" s="21" customFormat="1" ht="15" hidden="1" customHeight="1" x14ac:dyDescent="0.2">
      <c r="A31" s="187"/>
      <c r="B31" s="1052"/>
      <c r="C31" s="1053"/>
      <c r="D31" s="934">
        <v>914</v>
      </c>
      <c r="E31" s="1054"/>
      <c r="F31" s="934">
        <v>2402914</v>
      </c>
      <c r="G31" s="328" t="s">
        <v>506</v>
      </c>
      <c r="H31" s="251">
        <v>0</v>
      </c>
      <c r="I31" s="327">
        <v>0</v>
      </c>
      <c r="J31" s="327">
        <v>0</v>
      </c>
      <c r="K31" s="543" t="str">
        <f t="shared" si="2"/>
        <v>0,00%</v>
      </c>
      <c r="L31" s="251">
        <v>0</v>
      </c>
      <c r="M31" s="543">
        <f t="shared" si="3"/>
        <v>0</v>
      </c>
      <c r="N31" s="251">
        <f t="shared" si="4"/>
        <v>0</v>
      </c>
      <c r="O31" s="543">
        <f t="shared" si="7"/>
        <v>0</v>
      </c>
      <c r="P31" s="377">
        <v>0</v>
      </c>
      <c r="Q31" s="327">
        <f t="shared" si="1"/>
        <v>0</v>
      </c>
      <c r="R31" s="380" t="str">
        <f t="shared" si="6"/>
        <v>0,0%</v>
      </c>
      <c r="S31" s="380"/>
      <c r="T31" s="950">
        <v>0</v>
      </c>
      <c r="U31" s="950">
        <v>0</v>
      </c>
      <c r="V31" s="327">
        <v>0</v>
      </c>
      <c r="W31" s="327">
        <v>0</v>
      </c>
      <c r="X31" s="951">
        <v>0</v>
      </c>
      <c r="Y31" s="474">
        <v>0</v>
      </c>
      <c r="Z31" s="474">
        <v>0</v>
      </c>
      <c r="AA31" s="474">
        <v>0</v>
      </c>
      <c r="AB31" s="474">
        <v>0</v>
      </c>
      <c r="AC31" s="474">
        <v>0</v>
      </c>
      <c r="AD31" s="474">
        <v>0</v>
      </c>
      <c r="AE31" s="474">
        <v>0</v>
      </c>
      <c r="AF31" s="474">
        <v>0</v>
      </c>
      <c r="AG31" s="474">
        <v>0</v>
      </c>
      <c r="AH31" s="474">
        <v>0</v>
      </c>
      <c r="AI31" s="474"/>
      <c r="AJ31" s="474"/>
      <c r="AK31" s="474"/>
      <c r="AL31" s="474"/>
      <c r="AN31" s="948"/>
      <c r="AO31" s="320"/>
      <c r="AP31" s="1113"/>
      <c r="AQ31" s="948"/>
    </row>
    <row r="32" spans="1:43" ht="15" hidden="1" customHeight="1" x14ac:dyDescent="0.2">
      <c r="B32" s="792">
        <v>25</v>
      </c>
      <c r="C32" s="582"/>
      <c r="D32" s="945"/>
      <c r="E32" s="568"/>
      <c r="F32" s="583"/>
      <c r="G32" s="503" t="s">
        <v>512</v>
      </c>
      <c r="H32" s="314">
        <f>+H33</f>
        <v>0</v>
      </c>
      <c r="I32" s="314">
        <f>+I33</f>
        <v>0</v>
      </c>
      <c r="J32" s="314">
        <f ca="1">+J33</f>
        <v>0</v>
      </c>
      <c r="K32" s="580" t="str">
        <f t="shared" ref="K32:K33" ca="1" si="8">IFERROR(J32/I32,"0,0%")</f>
        <v>0,0%</v>
      </c>
      <c r="L32" s="314">
        <f>+L33</f>
        <v>0</v>
      </c>
      <c r="M32" s="580">
        <f t="shared" si="3"/>
        <v>0</v>
      </c>
      <c r="N32" s="314">
        <f>+N33</f>
        <v>0</v>
      </c>
      <c r="O32" s="578">
        <f t="shared" si="7"/>
        <v>0</v>
      </c>
      <c r="P32" s="567">
        <v>0</v>
      </c>
      <c r="Q32" s="567">
        <f>+Q33</f>
        <v>2432466.682</v>
      </c>
      <c r="R32" s="545" t="str">
        <f>IFERROR(Q32/P32,"0,0%")</f>
        <v>0,0%</v>
      </c>
      <c r="S32" s="545"/>
      <c r="T32" s="569">
        <f>+T33</f>
        <v>156300</v>
      </c>
      <c r="U32" s="452">
        <v>0</v>
      </c>
      <c r="V32" s="165">
        <v>0</v>
      </c>
      <c r="W32" s="165">
        <v>0</v>
      </c>
      <c r="X32" s="524">
        <f>+X33</f>
        <v>2276166.682</v>
      </c>
      <c r="Y32" s="2">
        <v>0</v>
      </c>
      <c r="Z32" s="2">
        <v>0</v>
      </c>
      <c r="AA32" s="2">
        <v>0</v>
      </c>
      <c r="AB32" s="8">
        <v>0</v>
      </c>
      <c r="AC32" s="2">
        <v>0</v>
      </c>
      <c r="AD32" s="8">
        <v>0</v>
      </c>
      <c r="AE32" s="8">
        <v>0</v>
      </c>
      <c r="AF32" s="8">
        <v>0</v>
      </c>
      <c r="AG32" s="2">
        <v>0</v>
      </c>
      <c r="AH32" s="2">
        <v>0</v>
      </c>
      <c r="AI32" s="2">
        <v>0</v>
      </c>
      <c r="AJ32" s="8">
        <v>0</v>
      </c>
      <c r="AK32" s="8">
        <v>0</v>
      </c>
      <c r="AL32" s="8">
        <f>+AL33</f>
        <v>-2334421</v>
      </c>
      <c r="AM32" s="1"/>
      <c r="AN32" s="947"/>
      <c r="AO32" s="85"/>
      <c r="AP32" s="1110"/>
      <c r="AQ32" s="947"/>
    </row>
    <row r="33" spans="1:43" ht="15" hidden="1" customHeight="1" x14ac:dyDescent="0.2">
      <c r="B33" s="1306"/>
      <c r="C33" s="1307">
        <v>99</v>
      </c>
      <c r="D33" s="1308"/>
      <c r="E33" s="1309"/>
      <c r="F33" s="1310"/>
      <c r="G33" s="1311" t="s">
        <v>511</v>
      </c>
      <c r="H33" s="1312">
        <v>0</v>
      </c>
      <c r="I33" s="1312">
        <v>0</v>
      </c>
      <c r="J33" s="1312">
        <f ca="1">SUMIF(T$3:$AL4,"ok",T33:AL33)</f>
        <v>0</v>
      </c>
      <c r="K33" s="1313" t="str">
        <f t="shared" ca="1" si="8"/>
        <v>0,0%</v>
      </c>
      <c r="L33" s="1314">
        <v>0</v>
      </c>
      <c r="M33" s="1315">
        <f t="shared" si="3"/>
        <v>0</v>
      </c>
      <c r="N33" s="1314">
        <f>+I33-L33</f>
        <v>0</v>
      </c>
      <c r="O33" s="1315">
        <f t="shared" si="7"/>
        <v>0</v>
      </c>
      <c r="P33" s="1316">
        <f>+'P05 2024'!CY4++'P05 2024'!CY3</f>
        <v>0.10420000000000001</v>
      </c>
      <c r="Q33" s="1316">
        <f>SUMIF(S$3:$AL3,"SI",S33:AL33)</f>
        <v>2432466.682</v>
      </c>
      <c r="R33" s="1317">
        <v>1</v>
      </c>
      <c r="S33" s="1317"/>
      <c r="T33" s="1318">
        <f>+'P05 2024'!H4</f>
        <v>156300</v>
      </c>
      <c r="U33" s="1319">
        <v>0</v>
      </c>
      <c r="V33" s="1312">
        <v>0</v>
      </c>
      <c r="W33" s="1312">
        <v>0</v>
      </c>
      <c r="X33" s="1320">
        <f>+'P05 2024'!AD3</f>
        <v>2276166.682</v>
      </c>
      <c r="Y33" s="1321">
        <v>0</v>
      </c>
      <c r="Z33" s="1321">
        <v>0</v>
      </c>
      <c r="AA33" s="1321">
        <v>0</v>
      </c>
      <c r="AB33" s="1321">
        <v>0</v>
      </c>
      <c r="AC33" s="1321">
        <v>0</v>
      </c>
      <c r="AD33" s="1321">
        <v>0</v>
      </c>
      <c r="AE33" s="1321">
        <v>0</v>
      </c>
      <c r="AF33" s="1321">
        <v>0</v>
      </c>
      <c r="AG33" s="1322">
        <v>0</v>
      </c>
      <c r="AH33" s="1322">
        <v>0</v>
      </c>
      <c r="AI33" s="1036">
        <v>0</v>
      </c>
      <c r="AJ33" s="1036">
        <v>0</v>
      </c>
      <c r="AK33" s="1036">
        <v>0</v>
      </c>
      <c r="AL33" s="1036">
        <f>+'P05 2024'!EL3</f>
        <v>-2334421</v>
      </c>
      <c r="AM33" s="1"/>
      <c r="AN33" s="947"/>
      <c r="AO33" s="85"/>
      <c r="AP33" s="1110"/>
      <c r="AQ33" s="947"/>
    </row>
    <row r="34" spans="1:43" ht="15" customHeight="1" x14ac:dyDescent="0.2">
      <c r="B34" s="792">
        <v>33</v>
      </c>
      <c r="C34" s="582" t="s">
        <v>2</v>
      </c>
      <c r="D34" s="322"/>
      <c r="E34" s="577"/>
      <c r="F34" s="576"/>
      <c r="G34" s="503" t="s">
        <v>147</v>
      </c>
      <c r="H34" s="314">
        <f>+H35+H58</f>
        <v>102489437</v>
      </c>
      <c r="I34" s="314">
        <f>+I35+I58</f>
        <v>56857792</v>
      </c>
      <c r="J34" s="165">
        <f ca="1">+J35+J58</f>
        <v>0</v>
      </c>
      <c r="K34" s="580">
        <f ca="1">IFERROR(J34/I34,"0,0%")</f>
        <v>0</v>
      </c>
      <c r="L34" s="165">
        <f>+L35</f>
        <v>0</v>
      </c>
      <c r="M34" s="580">
        <f>IFERROR(L34/I34,0)</f>
        <v>0</v>
      </c>
      <c r="N34" s="314">
        <f>+I34-L34</f>
        <v>56857792</v>
      </c>
      <c r="O34" s="578">
        <f>+IFERROR(N34/I34,0)</f>
        <v>1</v>
      </c>
      <c r="P34" s="323">
        <f>+P35+P58</f>
        <v>53134013.070000008</v>
      </c>
      <c r="Q34" s="314">
        <f ca="1">+Q35+Q58</f>
        <v>0</v>
      </c>
      <c r="R34" s="545">
        <f ca="1">IFERROR(Q34/P34,"0,00%")</f>
        <v>0</v>
      </c>
      <c r="S34" s="545"/>
      <c r="T34" s="452">
        <v>0</v>
      </c>
      <c r="U34" s="452">
        <v>0</v>
      </c>
      <c r="V34" s="165">
        <v>0</v>
      </c>
      <c r="W34" s="165">
        <v>0</v>
      </c>
      <c r="X34" s="524">
        <v>0</v>
      </c>
      <c r="Y34" s="165">
        <v>0</v>
      </c>
      <c r="Z34" s="165">
        <v>0</v>
      </c>
      <c r="AA34" s="165">
        <v>0</v>
      </c>
      <c r="AB34" s="165">
        <v>0</v>
      </c>
      <c r="AC34" s="165">
        <v>0</v>
      </c>
      <c r="AD34" s="165">
        <v>0</v>
      </c>
      <c r="AE34" s="165">
        <v>0</v>
      </c>
      <c r="AF34" s="165">
        <v>0</v>
      </c>
      <c r="AG34" s="165">
        <v>0</v>
      </c>
      <c r="AH34" s="165">
        <v>0</v>
      </c>
      <c r="AI34" s="165">
        <v>0</v>
      </c>
      <c r="AJ34" s="165">
        <v>0</v>
      </c>
      <c r="AK34" s="165">
        <v>0</v>
      </c>
      <c r="AL34" s="165">
        <v>0</v>
      </c>
      <c r="AM34" s="1"/>
      <c r="AN34" s="947"/>
      <c r="AO34" s="85"/>
      <c r="AP34" s="1110"/>
      <c r="AQ34" s="947"/>
    </row>
    <row r="35" spans="1:43" ht="15" hidden="1" customHeight="1" x14ac:dyDescent="0.2">
      <c r="B35" s="792"/>
      <c r="C35" s="582">
        <v>2</v>
      </c>
      <c r="D35" s="583"/>
      <c r="E35" s="577"/>
      <c r="F35" s="576"/>
      <c r="G35" s="503" t="s">
        <v>86</v>
      </c>
      <c r="H35" s="314">
        <f>SUM(H36:H57)</f>
        <v>0</v>
      </c>
      <c r="I35" s="314">
        <f>SUM(I36:I57)</f>
        <v>21495662</v>
      </c>
      <c r="J35" s="314">
        <f ca="1">SUM(J36:J57)</f>
        <v>0</v>
      </c>
      <c r="K35" s="580">
        <f ca="1">IFERROR(J35/I35,"0,0%")</f>
        <v>0</v>
      </c>
      <c r="L35" s="165">
        <f>SUM(L36:L57)</f>
        <v>0</v>
      </c>
      <c r="M35" s="580">
        <f>IFERROR(L35/I35,0)</f>
        <v>0</v>
      </c>
      <c r="N35" s="314">
        <f>+I35-L35</f>
        <v>21495662</v>
      </c>
      <c r="O35" s="578">
        <f t="shared" si="7"/>
        <v>1</v>
      </c>
      <c r="P35" s="323">
        <f>+SUM(P36:P57)</f>
        <v>0</v>
      </c>
      <c r="Q35" s="314">
        <f ca="1">SUM(Q36:Q57)</f>
        <v>0</v>
      </c>
      <c r="R35" s="545" t="str">
        <f t="shared" ref="R35:R56" ca="1" si="9">IFERROR(Q35/P35,"0.00%")</f>
        <v>0.00%</v>
      </c>
      <c r="S35" s="545"/>
      <c r="T35" s="452">
        <v>0</v>
      </c>
      <c r="U35" s="452">
        <v>0</v>
      </c>
      <c r="V35" s="165">
        <v>0</v>
      </c>
      <c r="W35" s="165">
        <v>0</v>
      </c>
      <c r="X35" s="524">
        <v>0</v>
      </c>
      <c r="Y35" s="165">
        <v>0</v>
      </c>
      <c r="Z35" s="165">
        <v>0</v>
      </c>
      <c r="AA35" s="165">
        <v>0</v>
      </c>
      <c r="AB35" s="165">
        <v>0</v>
      </c>
      <c r="AC35" s="165">
        <v>0</v>
      </c>
      <c r="AD35" s="165">
        <v>0</v>
      </c>
      <c r="AE35" s="165">
        <v>0</v>
      </c>
      <c r="AF35" s="165">
        <v>0</v>
      </c>
      <c r="AG35" s="165">
        <v>0</v>
      </c>
      <c r="AH35" s="165">
        <v>0</v>
      </c>
      <c r="AI35" s="165">
        <v>0</v>
      </c>
      <c r="AJ35" s="165">
        <v>0</v>
      </c>
      <c r="AK35" s="165">
        <v>0</v>
      </c>
      <c r="AL35" s="165">
        <f>+AL53</f>
        <v>0</v>
      </c>
      <c r="AM35" s="1"/>
      <c r="AN35" s="947"/>
      <c r="AO35" s="85"/>
      <c r="AP35" s="1110"/>
      <c r="AQ35" s="947"/>
    </row>
    <row r="36" spans="1:43" ht="15" hidden="1" customHeight="1" x14ac:dyDescent="0.2">
      <c r="B36" s="795"/>
      <c r="C36" s="796"/>
      <c r="D36" s="324" t="s">
        <v>165</v>
      </c>
      <c r="E36" s="570"/>
      <c r="F36" s="324">
        <v>3302001</v>
      </c>
      <c r="G36" s="332" t="s">
        <v>491</v>
      </c>
      <c r="H36" s="325">
        <v>0</v>
      </c>
      <c r="I36" s="325">
        <v>0</v>
      </c>
      <c r="J36" s="325">
        <f ca="1">SUMIF(T$3:$AL11,"ok",T36:AL36)</f>
        <v>0</v>
      </c>
      <c r="K36" s="511" t="str">
        <f ca="1">IFERROR(J36/I36,"0,00%")</f>
        <v>0,00%</v>
      </c>
      <c r="L36" s="278">
        <v>0</v>
      </c>
      <c r="M36" s="511">
        <f t="shared" ref="M36:M58" si="10">IFERROR(L36/I36,0)</f>
        <v>0</v>
      </c>
      <c r="N36" s="251">
        <f t="shared" ref="N36:N57" si="11">+I36-L36</f>
        <v>0</v>
      </c>
      <c r="O36" s="511">
        <f>+IFERROR(N36/I36,0)</f>
        <v>0</v>
      </c>
      <c r="P36" s="233">
        <v>0</v>
      </c>
      <c r="Q36" s="233">
        <f>SUMIF(V$3:$AL3,"SI",V36:AL36)</f>
        <v>0</v>
      </c>
      <c r="R36" s="546" t="str">
        <f t="shared" si="9"/>
        <v>0.00%</v>
      </c>
      <c r="S36" s="546"/>
      <c r="T36" s="453">
        <v>0</v>
      </c>
      <c r="U36" s="453">
        <v>0</v>
      </c>
      <c r="V36" s="325">
        <v>0</v>
      </c>
      <c r="W36" s="325">
        <v>0</v>
      </c>
      <c r="X36" s="525">
        <v>0</v>
      </c>
      <c r="Y36" s="89">
        <v>0</v>
      </c>
      <c r="Z36" s="89">
        <v>0</v>
      </c>
      <c r="AA36" s="89">
        <v>0</v>
      </c>
      <c r="AB36" s="89">
        <v>0</v>
      </c>
      <c r="AC36" s="89">
        <v>0</v>
      </c>
      <c r="AD36" s="89">
        <v>0</v>
      </c>
      <c r="AE36" s="89">
        <v>0</v>
      </c>
      <c r="AF36" s="89">
        <v>0</v>
      </c>
      <c r="AG36" s="89">
        <v>0</v>
      </c>
      <c r="AH36" s="89">
        <v>0</v>
      </c>
      <c r="AI36" s="89"/>
      <c r="AJ36" s="89"/>
      <c r="AK36" s="89"/>
      <c r="AL36" s="89"/>
      <c r="AM36" s="1"/>
      <c r="AN36" s="947"/>
      <c r="AO36" s="85"/>
      <c r="AP36" s="947"/>
      <c r="AQ36" s="947"/>
    </row>
    <row r="37" spans="1:43" ht="15" hidden="1" customHeight="1" x14ac:dyDescent="0.2">
      <c r="B37" s="795"/>
      <c r="C37" s="796"/>
      <c r="D37" s="324" t="s">
        <v>161</v>
      </c>
      <c r="E37" s="570"/>
      <c r="F37" s="324">
        <v>3302002</v>
      </c>
      <c r="G37" s="332" t="s">
        <v>484</v>
      </c>
      <c r="H37" s="325">
        <v>0</v>
      </c>
      <c r="I37" s="325">
        <v>0</v>
      </c>
      <c r="J37" s="325">
        <f ca="1">SUMIF(T$3:$AL12,"ok",T37:AL37)</f>
        <v>0</v>
      </c>
      <c r="K37" s="511" t="str">
        <f t="shared" ref="K37:K56" ca="1" si="12">IFERROR(J37/I37,"0,00%")</f>
        <v>0,00%</v>
      </c>
      <c r="L37" s="278">
        <v>0</v>
      </c>
      <c r="M37" s="511">
        <f t="shared" si="10"/>
        <v>0</v>
      </c>
      <c r="N37" s="251">
        <f t="shared" si="11"/>
        <v>0</v>
      </c>
      <c r="O37" s="511">
        <f t="shared" ref="O37:O56" si="13">+IFERROR(N37/I37,0)</f>
        <v>0</v>
      </c>
      <c r="P37" s="233">
        <v>0</v>
      </c>
      <c r="Q37" s="233">
        <f ca="1">SUMIF(V$3:$AL4,"SI",V37:AL37)</f>
        <v>0</v>
      </c>
      <c r="R37" s="546" t="str">
        <f t="shared" ca="1" si="9"/>
        <v>0.00%</v>
      </c>
      <c r="S37" s="546"/>
      <c r="T37" s="453">
        <v>0</v>
      </c>
      <c r="U37" s="453">
        <v>0</v>
      </c>
      <c r="V37" s="325">
        <v>0</v>
      </c>
      <c r="W37" s="325">
        <v>0</v>
      </c>
      <c r="X37" s="525">
        <v>0</v>
      </c>
      <c r="Y37" s="89">
        <v>0</v>
      </c>
      <c r="Z37" s="89">
        <v>0</v>
      </c>
      <c r="AA37" s="89">
        <v>0</v>
      </c>
      <c r="AB37" s="89">
        <v>0</v>
      </c>
      <c r="AC37" s="89">
        <v>0</v>
      </c>
      <c r="AD37" s="89">
        <v>0</v>
      </c>
      <c r="AE37" s="89">
        <v>0</v>
      </c>
      <c r="AF37" s="89">
        <v>0</v>
      </c>
      <c r="AG37" s="89">
        <v>0</v>
      </c>
      <c r="AH37" s="89">
        <v>0</v>
      </c>
      <c r="AI37" s="89"/>
      <c r="AJ37" s="89"/>
      <c r="AK37" s="89"/>
      <c r="AL37" s="89"/>
      <c r="AM37" s="1"/>
      <c r="AN37" s="947"/>
      <c r="AO37" s="85"/>
      <c r="AP37" s="947"/>
      <c r="AQ37" s="947"/>
    </row>
    <row r="38" spans="1:43" s="21" customFormat="1" ht="15" hidden="1" customHeight="1" x14ac:dyDescent="0.2">
      <c r="A38" s="187"/>
      <c r="B38" s="1052"/>
      <c r="C38" s="1057"/>
      <c r="D38" s="934">
        <v>3</v>
      </c>
      <c r="E38" s="1058"/>
      <c r="F38" s="934">
        <v>3302003</v>
      </c>
      <c r="G38" s="328" t="s">
        <v>483</v>
      </c>
      <c r="H38" s="327">
        <v>0</v>
      </c>
      <c r="I38" s="327">
        <f>+'P05 2025'!DL14</f>
        <v>2720606</v>
      </c>
      <c r="J38" s="327">
        <f ca="1">SUMIF(T$3:$AL13,"ok",T38:AL38)</f>
        <v>0</v>
      </c>
      <c r="K38" s="543">
        <f t="shared" ca="1" si="12"/>
        <v>0</v>
      </c>
      <c r="L38" s="251">
        <v>0</v>
      </c>
      <c r="M38" s="543">
        <f t="shared" si="10"/>
        <v>0</v>
      </c>
      <c r="N38" s="251">
        <f t="shared" si="11"/>
        <v>2720606</v>
      </c>
      <c r="O38" s="543">
        <f t="shared" si="13"/>
        <v>1</v>
      </c>
      <c r="P38" s="377">
        <v>0</v>
      </c>
      <c r="Q38" s="377">
        <f ca="1">SUMIF(V$3:$AL5,"SI",V38:AL38)</f>
        <v>0</v>
      </c>
      <c r="R38" s="380" t="str">
        <f t="shared" ca="1" si="9"/>
        <v>0.00%</v>
      </c>
      <c r="S38" s="380"/>
      <c r="T38" s="950">
        <v>0</v>
      </c>
      <c r="U38" s="950">
        <v>0</v>
      </c>
      <c r="V38" s="327">
        <v>0</v>
      </c>
      <c r="W38" s="327">
        <v>0</v>
      </c>
      <c r="X38" s="951">
        <v>0</v>
      </c>
      <c r="Y38" s="249">
        <v>0</v>
      </c>
      <c r="Z38" s="249">
        <v>0</v>
      </c>
      <c r="AA38" s="249">
        <v>0</v>
      </c>
      <c r="AB38" s="249">
        <v>0</v>
      </c>
      <c r="AC38" s="249">
        <v>0</v>
      </c>
      <c r="AD38" s="249">
        <v>0</v>
      </c>
      <c r="AE38" s="249">
        <v>0</v>
      </c>
      <c r="AF38" s="249">
        <v>0</v>
      </c>
      <c r="AG38" s="249">
        <v>0</v>
      </c>
      <c r="AH38" s="249">
        <v>0</v>
      </c>
      <c r="AI38" s="249"/>
      <c r="AJ38" s="249"/>
      <c r="AK38" s="249"/>
      <c r="AL38" s="249"/>
      <c r="AN38" s="948"/>
      <c r="AO38" s="320"/>
      <c r="AP38" s="948"/>
      <c r="AQ38" s="948"/>
    </row>
    <row r="39" spans="1:43" s="21" customFormat="1" ht="15" hidden="1" customHeight="1" x14ac:dyDescent="0.2">
      <c r="A39" s="187"/>
      <c r="B39" s="1052"/>
      <c r="C39" s="1057"/>
      <c r="D39" s="934" t="s">
        <v>175</v>
      </c>
      <c r="E39" s="1058"/>
      <c r="F39" s="934">
        <v>3302004</v>
      </c>
      <c r="G39" s="328" t="s">
        <v>482</v>
      </c>
      <c r="H39" s="327">
        <v>0</v>
      </c>
      <c r="I39" s="327"/>
      <c r="J39" s="327">
        <f ca="1">SUMIF(T$3:$AL14,"ok",T39:AL39)</f>
        <v>0</v>
      </c>
      <c r="K39" s="543" t="str">
        <f t="shared" ca="1" si="12"/>
        <v>0,00%</v>
      </c>
      <c r="L39" s="251">
        <v>0</v>
      </c>
      <c r="M39" s="543">
        <f t="shared" si="10"/>
        <v>0</v>
      </c>
      <c r="N39" s="251">
        <f t="shared" si="11"/>
        <v>0</v>
      </c>
      <c r="O39" s="543">
        <f t="shared" si="13"/>
        <v>0</v>
      </c>
      <c r="P39" s="377">
        <v>0</v>
      </c>
      <c r="Q39" s="377">
        <f ca="1">SUMIF(V$3:$AL6,"SI",V39:AL39)</f>
        <v>0</v>
      </c>
      <c r="R39" s="380" t="str">
        <f t="shared" ca="1" si="9"/>
        <v>0.00%</v>
      </c>
      <c r="S39" s="380"/>
      <c r="T39" s="950">
        <v>0</v>
      </c>
      <c r="U39" s="950">
        <v>0</v>
      </c>
      <c r="V39" s="327">
        <v>0</v>
      </c>
      <c r="W39" s="327">
        <v>0</v>
      </c>
      <c r="X39" s="951">
        <v>0</v>
      </c>
      <c r="Y39" s="249">
        <v>0</v>
      </c>
      <c r="Z39" s="249">
        <v>0</v>
      </c>
      <c r="AA39" s="249">
        <v>0</v>
      </c>
      <c r="AB39" s="249">
        <v>0</v>
      </c>
      <c r="AC39" s="249">
        <v>0</v>
      </c>
      <c r="AD39" s="249">
        <v>0</v>
      </c>
      <c r="AE39" s="249">
        <v>0</v>
      </c>
      <c r="AF39" s="249">
        <v>0</v>
      </c>
      <c r="AG39" s="249">
        <v>0</v>
      </c>
      <c r="AH39" s="249">
        <v>0</v>
      </c>
      <c r="AI39" s="249"/>
      <c r="AJ39" s="249"/>
      <c r="AK39" s="249"/>
      <c r="AL39" s="249"/>
      <c r="AN39" s="948"/>
      <c r="AO39" s="320"/>
      <c r="AP39" s="948"/>
      <c r="AQ39" s="948"/>
    </row>
    <row r="40" spans="1:43" s="21" customFormat="1" ht="15" hidden="1" customHeight="1" x14ac:dyDescent="0.2">
      <c r="A40" s="187"/>
      <c r="B40" s="1052"/>
      <c r="C40" s="1057"/>
      <c r="D40" s="934" t="s">
        <v>176</v>
      </c>
      <c r="E40" s="1058"/>
      <c r="F40" s="934">
        <v>3302005</v>
      </c>
      <c r="G40" s="328" t="s">
        <v>485</v>
      </c>
      <c r="H40" s="327">
        <v>0</v>
      </c>
      <c r="I40" s="327">
        <f>+'P05 2025'!DL15</f>
        <v>1238170</v>
      </c>
      <c r="J40" s="327">
        <f ca="1">SUMIF(T$3:$AL15,"ok",T40:AL40)</f>
        <v>0</v>
      </c>
      <c r="K40" s="543">
        <f t="shared" ca="1" si="12"/>
        <v>0</v>
      </c>
      <c r="L40" s="251">
        <v>0</v>
      </c>
      <c r="M40" s="543">
        <f t="shared" si="10"/>
        <v>0</v>
      </c>
      <c r="N40" s="251">
        <f t="shared" si="11"/>
        <v>1238170</v>
      </c>
      <c r="O40" s="543">
        <f t="shared" si="13"/>
        <v>1</v>
      </c>
      <c r="P40" s="377">
        <v>0</v>
      </c>
      <c r="Q40" s="377">
        <f ca="1">SUMIF(V$3:$AL7,"SI",V40:AL40)</f>
        <v>0</v>
      </c>
      <c r="R40" s="380" t="str">
        <f t="shared" ca="1" si="9"/>
        <v>0.00%</v>
      </c>
      <c r="S40" s="380"/>
      <c r="T40" s="950">
        <v>0</v>
      </c>
      <c r="U40" s="950">
        <v>0</v>
      </c>
      <c r="V40" s="327">
        <v>0</v>
      </c>
      <c r="W40" s="327">
        <v>0</v>
      </c>
      <c r="X40" s="951">
        <v>0</v>
      </c>
      <c r="Y40" s="249">
        <v>0</v>
      </c>
      <c r="Z40" s="249">
        <v>0</v>
      </c>
      <c r="AA40" s="249">
        <v>0</v>
      </c>
      <c r="AB40" s="249">
        <v>0</v>
      </c>
      <c r="AC40" s="249">
        <v>0</v>
      </c>
      <c r="AD40" s="249">
        <v>0</v>
      </c>
      <c r="AE40" s="249">
        <v>0</v>
      </c>
      <c r="AF40" s="249">
        <v>0</v>
      </c>
      <c r="AG40" s="249">
        <v>0</v>
      </c>
      <c r="AH40" s="249">
        <v>0</v>
      </c>
      <c r="AI40" s="249"/>
      <c r="AJ40" s="249"/>
      <c r="AK40" s="249"/>
      <c r="AL40" s="249"/>
      <c r="AN40" s="1047"/>
      <c r="AO40" s="320"/>
    </row>
    <row r="41" spans="1:43" s="21" customFormat="1" ht="15" hidden="1" customHeight="1" x14ac:dyDescent="0.2">
      <c r="A41" s="187"/>
      <c r="B41" s="1052"/>
      <c r="C41" s="1057"/>
      <c r="D41" s="934" t="s">
        <v>177</v>
      </c>
      <c r="E41" s="1058"/>
      <c r="F41" s="934">
        <v>3302006</v>
      </c>
      <c r="G41" s="328" t="s">
        <v>670</v>
      </c>
      <c r="H41" s="327">
        <v>0</v>
      </c>
      <c r="I41" s="327"/>
      <c r="J41" s="327">
        <f ca="1">SUMIF(T$3:$AL16,"ok",T41:AL41)</f>
        <v>0</v>
      </c>
      <c r="K41" s="543" t="str">
        <f t="shared" ca="1" si="12"/>
        <v>0,00%</v>
      </c>
      <c r="L41" s="251">
        <v>0</v>
      </c>
      <c r="M41" s="543">
        <f t="shared" si="10"/>
        <v>0</v>
      </c>
      <c r="N41" s="251">
        <f t="shared" si="11"/>
        <v>0</v>
      </c>
      <c r="O41" s="543">
        <f t="shared" si="13"/>
        <v>0</v>
      </c>
      <c r="P41" s="377">
        <v>0</v>
      </c>
      <c r="Q41" s="377">
        <f ca="1">SUMIF(V$3:$AL8,"SI",V41:AL41)</f>
        <v>0</v>
      </c>
      <c r="R41" s="380" t="str">
        <f t="shared" ca="1" si="9"/>
        <v>0.00%</v>
      </c>
      <c r="S41" s="380"/>
      <c r="T41" s="950">
        <v>0</v>
      </c>
      <c r="U41" s="950">
        <v>0</v>
      </c>
      <c r="V41" s="327">
        <v>0</v>
      </c>
      <c r="W41" s="327">
        <v>0</v>
      </c>
      <c r="X41" s="951">
        <v>0</v>
      </c>
      <c r="Y41" s="249">
        <v>0</v>
      </c>
      <c r="Z41" s="249">
        <v>0</v>
      </c>
      <c r="AA41" s="249">
        <v>0</v>
      </c>
      <c r="AB41" s="249">
        <v>0</v>
      </c>
      <c r="AC41" s="249">
        <v>0</v>
      </c>
      <c r="AD41" s="249">
        <v>0</v>
      </c>
      <c r="AE41" s="249">
        <v>0</v>
      </c>
      <c r="AF41" s="249">
        <v>0</v>
      </c>
      <c r="AG41" s="249">
        <v>0</v>
      </c>
      <c r="AH41" s="249">
        <v>0</v>
      </c>
      <c r="AI41" s="249"/>
      <c r="AJ41" s="249"/>
      <c r="AK41" s="249"/>
      <c r="AL41" s="249"/>
      <c r="AN41" s="1047"/>
      <c r="AO41" s="320"/>
    </row>
    <row r="42" spans="1:43" s="21" customFormat="1" ht="15" hidden="1" customHeight="1" x14ac:dyDescent="0.2">
      <c r="A42" s="187"/>
      <c r="B42" s="1052"/>
      <c r="C42" s="1057"/>
      <c r="D42" s="934" t="s">
        <v>166</v>
      </c>
      <c r="E42" s="1058"/>
      <c r="F42" s="934">
        <v>3302007</v>
      </c>
      <c r="G42" s="328" t="s">
        <v>486</v>
      </c>
      <c r="H42" s="327">
        <v>0</v>
      </c>
      <c r="I42" s="327">
        <f>+'P05 2025'!DL16</f>
        <v>4127232</v>
      </c>
      <c r="J42" s="327">
        <f ca="1">SUMIF(T$3:$AL17,"ok",T42:AL42)</f>
        <v>0</v>
      </c>
      <c r="K42" s="543">
        <f t="shared" ca="1" si="12"/>
        <v>0</v>
      </c>
      <c r="L42" s="251">
        <v>0</v>
      </c>
      <c r="M42" s="543">
        <f t="shared" si="10"/>
        <v>0</v>
      </c>
      <c r="N42" s="251">
        <f t="shared" si="11"/>
        <v>4127232</v>
      </c>
      <c r="O42" s="543">
        <f t="shared" si="13"/>
        <v>1</v>
      </c>
      <c r="P42" s="377">
        <v>0</v>
      </c>
      <c r="Q42" s="377">
        <f ca="1">SUMIF(V$3:$AL9,"SI",V42:AL42)</f>
        <v>0</v>
      </c>
      <c r="R42" s="380" t="str">
        <f t="shared" ca="1" si="9"/>
        <v>0.00%</v>
      </c>
      <c r="S42" s="380"/>
      <c r="T42" s="950">
        <v>0</v>
      </c>
      <c r="U42" s="950">
        <v>0</v>
      </c>
      <c r="V42" s="327">
        <v>0</v>
      </c>
      <c r="W42" s="327">
        <v>0</v>
      </c>
      <c r="X42" s="951">
        <v>0</v>
      </c>
      <c r="Y42" s="249">
        <v>0</v>
      </c>
      <c r="Z42" s="249">
        <v>0</v>
      </c>
      <c r="AA42" s="249">
        <v>0</v>
      </c>
      <c r="AB42" s="249">
        <v>0</v>
      </c>
      <c r="AC42" s="249">
        <v>0</v>
      </c>
      <c r="AD42" s="249">
        <v>0</v>
      </c>
      <c r="AE42" s="249">
        <v>0</v>
      </c>
      <c r="AF42" s="249">
        <v>0</v>
      </c>
      <c r="AG42" s="249">
        <v>0</v>
      </c>
      <c r="AH42" s="249">
        <v>0</v>
      </c>
      <c r="AI42" s="249"/>
      <c r="AJ42" s="249"/>
      <c r="AK42" s="249"/>
      <c r="AL42" s="249"/>
      <c r="AM42" s="51"/>
      <c r="AN42" s="1047"/>
      <c r="AO42" s="320"/>
    </row>
    <row r="43" spans="1:43" s="21" customFormat="1" ht="15" hidden="1" customHeight="1" x14ac:dyDescent="0.2">
      <c r="A43" s="187"/>
      <c r="B43" s="1052"/>
      <c r="C43" s="1057"/>
      <c r="D43" s="934" t="s">
        <v>167</v>
      </c>
      <c r="E43" s="1058"/>
      <c r="F43" s="934">
        <v>3302008</v>
      </c>
      <c r="G43" s="328" t="s">
        <v>492</v>
      </c>
      <c r="H43" s="327">
        <v>0</v>
      </c>
      <c r="I43" s="327"/>
      <c r="J43" s="327">
        <f ca="1">SUMIF(T$3:$AL18,"ok",T43:AL43)</f>
        <v>0</v>
      </c>
      <c r="K43" s="543" t="str">
        <f t="shared" ca="1" si="12"/>
        <v>0,00%</v>
      </c>
      <c r="L43" s="251">
        <v>0</v>
      </c>
      <c r="M43" s="543">
        <f t="shared" si="10"/>
        <v>0</v>
      </c>
      <c r="N43" s="251">
        <f t="shared" si="11"/>
        <v>0</v>
      </c>
      <c r="O43" s="543">
        <f t="shared" si="13"/>
        <v>0</v>
      </c>
      <c r="P43" s="377">
        <v>0</v>
      </c>
      <c r="Q43" s="377">
        <f ca="1">SUMIF(V$3:$AL10,"SI",V43:AL43)</f>
        <v>0</v>
      </c>
      <c r="R43" s="380" t="str">
        <f ca="1">IFERROR(Q43/P43,"0,0%")</f>
        <v>0,0%</v>
      </c>
      <c r="S43" s="380"/>
      <c r="T43" s="950">
        <v>0</v>
      </c>
      <c r="U43" s="950">
        <v>0</v>
      </c>
      <c r="V43" s="327">
        <v>0</v>
      </c>
      <c r="W43" s="327">
        <v>0</v>
      </c>
      <c r="X43" s="951">
        <v>0</v>
      </c>
      <c r="Y43" s="249">
        <v>0</v>
      </c>
      <c r="Z43" s="249">
        <v>0</v>
      </c>
      <c r="AA43" s="249">
        <v>0</v>
      </c>
      <c r="AB43" s="249">
        <v>0</v>
      </c>
      <c r="AC43" s="249">
        <v>0</v>
      </c>
      <c r="AD43" s="249">
        <v>0</v>
      </c>
      <c r="AE43" s="249">
        <v>0</v>
      </c>
      <c r="AF43" s="249">
        <v>0</v>
      </c>
      <c r="AG43" s="249">
        <v>0</v>
      </c>
      <c r="AH43" s="249">
        <v>0</v>
      </c>
      <c r="AI43" s="249"/>
      <c r="AJ43" s="249"/>
      <c r="AK43" s="249"/>
      <c r="AL43" s="249"/>
      <c r="AM43" s="51"/>
      <c r="AN43" s="1047"/>
      <c r="AO43" s="320"/>
    </row>
    <row r="44" spans="1:43" s="21" customFormat="1" ht="15" hidden="1" customHeight="1" x14ac:dyDescent="0.2">
      <c r="A44" s="187"/>
      <c r="B44" s="1052"/>
      <c r="C44" s="1057"/>
      <c r="D44" s="934" t="s">
        <v>168</v>
      </c>
      <c r="E44" s="1058"/>
      <c r="F44" s="934">
        <v>3302009</v>
      </c>
      <c r="G44" s="328" t="s">
        <v>493</v>
      </c>
      <c r="H44" s="327">
        <v>0</v>
      </c>
      <c r="I44" s="327"/>
      <c r="J44" s="327">
        <f ca="1">SUMIF(T$3:$AL19,"ok",T44:AL44)</f>
        <v>0</v>
      </c>
      <c r="K44" s="543" t="str">
        <f t="shared" ca="1" si="12"/>
        <v>0,00%</v>
      </c>
      <c r="L44" s="251">
        <v>0</v>
      </c>
      <c r="M44" s="543">
        <f t="shared" si="10"/>
        <v>0</v>
      </c>
      <c r="N44" s="251">
        <f t="shared" si="11"/>
        <v>0</v>
      </c>
      <c r="O44" s="543">
        <f t="shared" si="13"/>
        <v>0</v>
      </c>
      <c r="P44" s="377">
        <v>0</v>
      </c>
      <c r="Q44" s="377">
        <f ca="1">SUMIF(V$3:$AL11,"SI",V44:AL44)</f>
        <v>0</v>
      </c>
      <c r="R44" s="380" t="str">
        <f t="shared" ca="1" si="9"/>
        <v>0.00%</v>
      </c>
      <c r="S44" s="380"/>
      <c r="T44" s="950">
        <v>0</v>
      </c>
      <c r="U44" s="950">
        <v>0</v>
      </c>
      <c r="V44" s="327">
        <v>0</v>
      </c>
      <c r="W44" s="327">
        <v>0</v>
      </c>
      <c r="X44" s="951">
        <v>0</v>
      </c>
      <c r="Y44" s="249">
        <v>0</v>
      </c>
      <c r="Z44" s="249">
        <v>0</v>
      </c>
      <c r="AA44" s="249">
        <v>0</v>
      </c>
      <c r="AB44" s="249">
        <v>0</v>
      </c>
      <c r="AC44" s="249">
        <v>0</v>
      </c>
      <c r="AD44" s="249">
        <v>0</v>
      </c>
      <c r="AE44" s="249">
        <v>0</v>
      </c>
      <c r="AF44" s="249">
        <v>0</v>
      </c>
      <c r="AG44" s="249">
        <v>0</v>
      </c>
      <c r="AH44" s="249">
        <v>0</v>
      </c>
      <c r="AI44" s="249"/>
      <c r="AJ44" s="249"/>
      <c r="AK44" s="249"/>
      <c r="AL44" s="249"/>
      <c r="AM44" s="51"/>
      <c r="AN44" s="1047"/>
      <c r="AO44" s="320"/>
    </row>
    <row r="45" spans="1:43" s="21" customFormat="1" ht="15" hidden="1" customHeight="1" x14ac:dyDescent="0.2">
      <c r="A45" s="187"/>
      <c r="B45" s="1052"/>
      <c r="C45" s="1057"/>
      <c r="D45" s="934">
        <v>10</v>
      </c>
      <c r="E45" s="1058"/>
      <c r="F45" s="934">
        <v>3302010</v>
      </c>
      <c r="G45" s="328" t="s">
        <v>494</v>
      </c>
      <c r="H45" s="327">
        <v>0</v>
      </c>
      <c r="I45" s="327">
        <f>+'P05 2025'!DL17</f>
        <v>147392</v>
      </c>
      <c r="J45" s="327">
        <f ca="1">SUMIF(T$3:$AL20,"ok",T45:AL45)</f>
        <v>0</v>
      </c>
      <c r="K45" s="543">
        <f t="shared" ca="1" si="12"/>
        <v>0</v>
      </c>
      <c r="L45" s="251">
        <v>0</v>
      </c>
      <c r="M45" s="543">
        <f t="shared" si="10"/>
        <v>0</v>
      </c>
      <c r="N45" s="251">
        <f>+I45-L45</f>
        <v>147392</v>
      </c>
      <c r="O45" s="543">
        <f t="shared" si="13"/>
        <v>1</v>
      </c>
      <c r="P45" s="377">
        <v>0</v>
      </c>
      <c r="Q45" s="377">
        <f ca="1">SUMIF(V$3:$AL12,"SI",V45:AL45)</f>
        <v>0</v>
      </c>
      <c r="R45" s="380" t="str">
        <f t="shared" ca="1" si="9"/>
        <v>0.00%</v>
      </c>
      <c r="S45" s="380"/>
      <c r="T45" s="950">
        <v>0</v>
      </c>
      <c r="U45" s="950">
        <v>0</v>
      </c>
      <c r="V45" s="327">
        <v>0</v>
      </c>
      <c r="W45" s="327">
        <v>0</v>
      </c>
      <c r="X45" s="951">
        <v>0</v>
      </c>
      <c r="Y45" s="249">
        <v>0</v>
      </c>
      <c r="Z45" s="249">
        <v>0</v>
      </c>
      <c r="AA45" s="249">
        <v>0</v>
      </c>
      <c r="AB45" s="249">
        <v>0</v>
      </c>
      <c r="AC45" s="249">
        <v>0</v>
      </c>
      <c r="AD45" s="249">
        <v>0</v>
      </c>
      <c r="AE45" s="249">
        <v>0</v>
      </c>
      <c r="AF45" s="249">
        <v>0</v>
      </c>
      <c r="AG45" s="249">
        <v>0</v>
      </c>
      <c r="AH45" s="249">
        <v>0</v>
      </c>
      <c r="AI45" s="249"/>
      <c r="AJ45" s="249"/>
      <c r="AK45" s="249"/>
      <c r="AL45" s="249"/>
      <c r="AM45" s="51"/>
      <c r="AN45" s="1047"/>
      <c r="AO45" s="320"/>
    </row>
    <row r="46" spans="1:43" s="21" customFormat="1" ht="15" hidden="1" customHeight="1" x14ac:dyDescent="0.2">
      <c r="A46" s="187"/>
      <c r="B46" s="1052"/>
      <c r="C46" s="1057"/>
      <c r="D46" s="934">
        <v>11</v>
      </c>
      <c r="E46" s="1058"/>
      <c r="F46" s="934">
        <v>3302011</v>
      </c>
      <c r="G46" s="328" t="s">
        <v>671</v>
      </c>
      <c r="H46" s="327">
        <v>0</v>
      </c>
      <c r="I46" s="327">
        <f>+'P05 2025'!DL18</f>
        <v>646829</v>
      </c>
      <c r="J46" s="327">
        <f ca="1">SUMIF(T$3:$AL21,"ok",T46:AL46)</f>
        <v>0</v>
      </c>
      <c r="K46" s="543">
        <f t="shared" ca="1" si="12"/>
        <v>0</v>
      </c>
      <c r="L46" s="251">
        <v>0</v>
      </c>
      <c r="M46" s="543">
        <f t="shared" si="10"/>
        <v>0</v>
      </c>
      <c r="N46" s="251">
        <f t="shared" si="11"/>
        <v>646829</v>
      </c>
      <c r="O46" s="543">
        <f t="shared" si="13"/>
        <v>1</v>
      </c>
      <c r="P46" s="377">
        <v>0</v>
      </c>
      <c r="Q46" s="377">
        <f ca="1">SUMIF(V$3:$AL13,"SI",V46:AL46)</f>
        <v>0</v>
      </c>
      <c r="R46" s="380" t="str">
        <f t="shared" ca="1" si="9"/>
        <v>0.00%</v>
      </c>
      <c r="S46" s="380"/>
      <c r="T46" s="950">
        <v>0</v>
      </c>
      <c r="U46" s="950">
        <v>0</v>
      </c>
      <c r="V46" s="327">
        <v>0</v>
      </c>
      <c r="W46" s="327">
        <v>0</v>
      </c>
      <c r="X46" s="951">
        <v>0</v>
      </c>
      <c r="Y46" s="249">
        <v>0</v>
      </c>
      <c r="Z46" s="249">
        <v>0</v>
      </c>
      <c r="AA46" s="249">
        <v>0</v>
      </c>
      <c r="AB46" s="249">
        <v>0</v>
      </c>
      <c r="AC46" s="249">
        <v>0</v>
      </c>
      <c r="AD46" s="249">
        <v>0</v>
      </c>
      <c r="AE46" s="249">
        <v>0</v>
      </c>
      <c r="AF46" s="249">
        <v>0</v>
      </c>
      <c r="AG46" s="249">
        <v>0</v>
      </c>
      <c r="AH46" s="249">
        <v>0</v>
      </c>
      <c r="AI46" s="249"/>
      <c r="AJ46" s="249"/>
      <c r="AK46" s="249"/>
      <c r="AL46" s="249"/>
      <c r="AM46" s="51"/>
      <c r="AN46" s="1047"/>
      <c r="AO46" s="320"/>
    </row>
    <row r="47" spans="1:43" s="21" customFormat="1" ht="15" hidden="1" customHeight="1" x14ac:dyDescent="0.2">
      <c r="A47" s="187"/>
      <c r="B47" s="1052"/>
      <c r="C47" s="1057"/>
      <c r="D47" s="934">
        <v>12</v>
      </c>
      <c r="E47" s="1058"/>
      <c r="F47" s="934">
        <v>3302012</v>
      </c>
      <c r="G47" s="328" t="s">
        <v>487</v>
      </c>
      <c r="H47" s="327">
        <v>0</v>
      </c>
      <c r="I47" s="327">
        <f>+'P05 2025'!DL19</f>
        <v>3330424</v>
      </c>
      <c r="J47" s="327">
        <f ca="1">SUMIF(T$3:$AL22,"ok",T47:AL47)</f>
        <v>0</v>
      </c>
      <c r="K47" s="543">
        <f t="shared" ca="1" si="12"/>
        <v>0</v>
      </c>
      <c r="L47" s="251">
        <v>0</v>
      </c>
      <c r="M47" s="543">
        <f t="shared" si="10"/>
        <v>0</v>
      </c>
      <c r="N47" s="251">
        <f t="shared" si="11"/>
        <v>3330424</v>
      </c>
      <c r="O47" s="543">
        <f t="shared" si="13"/>
        <v>1</v>
      </c>
      <c r="P47" s="377">
        <v>0</v>
      </c>
      <c r="Q47" s="377">
        <f ca="1">SUMIF(V$3:$AL14,"SI",V47:AL47)</f>
        <v>0</v>
      </c>
      <c r="R47" s="380" t="str">
        <f t="shared" ca="1" si="9"/>
        <v>0.00%</v>
      </c>
      <c r="S47" s="380"/>
      <c r="T47" s="950">
        <v>0</v>
      </c>
      <c r="U47" s="950">
        <v>0</v>
      </c>
      <c r="V47" s="327">
        <v>0</v>
      </c>
      <c r="W47" s="327">
        <v>0</v>
      </c>
      <c r="X47" s="951">
        <v>0</v>
      </c>
      <c r="Y47" s="249">
        <v>0</v>
      </c>
      <c r="Z47" s="249">
        <v>0</v>
      </c>
      <c r="AA47" s="249">
        <v>0</v>
      </c>
      <c r="AB47" s="249">
        <v>0</v>
      </c>
      <c r="AC47" s="249">
        <v>0</v>
      </c>
      <c r="AD47" s="249">
        <v>0</v>
      </c>
      <c r="AE47" s="249">
        <v>0</v>
      </c>
      <c r="AF47" s="249">
        <v>0</v>
      </c>
      <c r="AG47" s="249">
        <v>0</v>
      </c>
      <c r="AH47" s="249">
        <v>0</v>
      </c>
      <c r="AI47" s="249"/>
      <c r="AJ47" s="249"/>
      <c r="AK47" s="249"/>
      <c r="AL47" s="249"/>
      <c r="AM47" s="51"/>
      <c r="AN47" s="1047"/>
      <c r="AO47" s="320"/>
    </row>
    <row r="48" spans="1:43" s="21" customFormat="1" ht="15" hidden="1" customHeight="1" x14ac:dyDescent="0.2">
      <c r="A48" s="187"/>
      <c r="B48" s="1052"/>
      <c r="C48" s="1057"/>
      <c r="D48" s="934">
        <v>13</v>
      </c>
      <c r="E48" s="1058"/>
      <c r="F48" s="934">
        <v>3302013</v>
      </c>
      <c r="G48" s="328" t="s">
        <v>488</v>
      </c>
      <c r="H48" s="327">
        <v>0</v>
      </c>
      <c r="I48" s="327">
        <f>+'P05 2025'!DL20</f>
        <v>8323348</v>
      </c>
      <c r="J48" s="327">
        <f ca="1">SUMIF(T$3:$AL23,"ok",T48:AL48)</f>
        <v>0</v>
      </c>
      <c r="K48" s="543">
        <f t="shared" ca="1" si="12"/>
        <v>0</v>
      </c>
      <c r="L48" s="251">
        <v>0</v>
      </c>
      <c r="M48" s="543">
        <f t="shared" si="10"/>
        <v>0</v>
      </c>
      <c r="N48" s="251">
        <f t="shared" si="11"/>
        <v>8323348</v>
      </c>
      <c r="O48" s="543">
        <f t="shared" si="13"/>
        <v>1</v>
      </c>
      <c r="P48" s="377">
        <v>0</v>
      </c>
      <c r="Q48" s="377">
        <f ca="1">SUMIF(V$3:$AL15,"SI",V48:AL48)</f>
        <v>0</v>
      </c>
      <c r="R48" s="380" t="str">
        <f t="shared" ca="1" si="9"/>
        <v>0.00%</v>
      </c>
      <c r="S48" s="380"/>
      <c r="T48" s="950">
        <v>0</v>
      </c>
      <c r="U48" s="950">
        <v>0</v>
      </c>
      <c r="V48" s="327">
        <v>0</v>
      </c>
      <c r="W48" s="327">
        <v>0</v>
      </c>
      <c r="X48" s="951">
        <v>0</v>
      </c>
      <c r="Y48" s="249">
        <v>0</v>
      </c>
      <c r="Z48" s="249">
        <v>0</v>
      </c>
      <c r="AA48" s="249">
        <v>0</v>
      </c>
      <c r="AB48" s="249">
        <v>0</v>
      </c>
      <c r="AC48" s="249">
        <v>0</v>
      </c>
      <c r="AD48" s="249">
        <v>0</v>
      </c>
      <c r="AE48" s="249">
        <v>0</v>
      </c>
      <c r="AF48" s="249">
        <v>0</v>
      </c>
      <c r="AG48" s="249">
        <v>0</v>
      </c>
      <c r="AH48" s="249">
        <v>0</v>
      </c>
      <c r="AI48" s="249"/>
      <c r="AJ48" s="249"/>
      <c r="AK48" s="249"/>
      <c r="AL48" s="249"/>
      <c r="AM48" s="51"/>
      <c r="AN48" s="1047"/>
      <c r="AO48" s="320"/>
    </row>
    <row r="49" spans="1:41" s="21" customFormat="1" ht="15" hidden="1" customHeight="1" x14ac:dyDescent="0.2">
      <c r="A49" s="187"/>
      <c r="B49" s="1052"/>
      <c r="C49" s="1057"/>
      <c r="D49" s="934" t="s">
        <v>187</v>
      </c>
      <c r="E49" s="1058"/>
      <c r="F49" s="934">
        <v>3302014</v>
      </c>
      <c r="G49" s="328" t="s">
        <v>489</v>
      </c>
      <c r="H49" s="327">
        <v>0</v>
      </c>
      <c r="I49" s="327"/>
      <c r="J49" s="327">
        <f ca="1">SUMIF(T$3:$AL24,"ok",T49:AL49)</f>
        <v>0</v>
      </c>
      <c r="K49" s="543" t="str">
        <f t="shared" ca="1" si="12"/>
        <v>0,00%</v>
      </c>
      <c r="L49" s="251">
        <v>0</v>
      </c>
      <c r="M49" s="543">
        <f t="shared" si="10"/>
        <v>0</v>
      </c>
      <c r="N49" s="251">
        <f t="shared" si="11"/>
        <v>0</v>
      </c>
      <c r="O49" s="543">
        <f t="shared" si="13"/>
        <v>0</v>
      </c>
      <c r="P49" s="377">
        <v>0</v>
      </c>
      <c r="Q49" s="377">
        <f ca="1">SUMIF(V$3:$AL16,"SI",V49:AL49)</f>
        <v>0</v>
      </c>
      <c r="R49" s="380" t="str">
        <f t="shared" ca="1" si="9"/>
        <v>0.00%</v>
      </c>
      <c r="S49" s="380"/>
      <c r="T49" s="950">
        <v>0</v>
      </c>
      <c r="U49" s="950">
        <v>0</v>
      </c>
      <c r="V49" s="327">
        <v>0</v>
      </c>
      <c r="W49" s="327">
        <v>0</v>
      </c>
      <c r="X49" s="951">
        <v>0</v>
      </c>
      <c r="Y49" s="249">
        <v>0</v>
      </c>
      <c r="Z49" s="249">
        <v>0</v>
      </c>
      <c r="AA49" s="249">
        <v>0</v>
      </c>
      <c r="AB49" s="249">
        <v>0</v>
      </c>
      <c r="AC49" s="249">
        <v>0</v>
      </c>
      <c r="AD49" s="249">
        <v>0</v>
      </c>
      <c r="AE49" s="249">
        <v>0</v>
      </c>
      <c r="AF49" s="249">
        <v>0</v>
      </c>
      <c r="AG49" s="249">
        <v>0</v>
      </c>
      <c r="AH49" s="249">
        <v>0</v>
      </c>
      <c r="AI49" s="249"/>
      <c r="AJ49" s="249"/>
      <c r="AK49" s="249"/>
      <c r="AL49" s="249"/>
      <c r="AM49" s="51"/>
      <c r="AN49" s="1047"/>
      <c r="AO49" s="320"/>
    </row>
    <row r="50" spans="1:41" s="21" customFormat="1" ht="15" hidden="1" customHeight="1" x14ac:dyDescent="0.2">
      <c r="A50" s="187"/>
      <c r="B50" s="1052"/>
      <c r="C50" s="1057"/>
      <c r="D50" s="934">
        <v>15</v>
      </c>
      <c r="E50" s="1058"/>
      <c r="F50" s="934">
        <v>3302015</v>
      </c>
      <c r="G50" s="328" t="s">
        <v>490</v>
      </c>
      <c r="H50" s="327">
        <v>0</v>
      </c>
      <c r="I50" s="327">
        <f>+'P05 2025'!DL21</f>
        <v>136215</v>
      </c>
      <c r="J50" s="327">
        <f ca="1">SUMIF(T$3:$AL25,"ok",T50:AL50)</f>
        <v>0</v>
      </c>
      <c r="K50" s="543">
        <f t="shared" ca="1" si="12"/>
        <v>0</v>
      </c>
      <c r="L50" s="251">
        <v>0</v>
      </c>
      <c r="M50" s="543">
        <f t="shared" si="10"/>
        <v>0</v>
      </c>
      <c r="N50" s="251">
        <f>+I50-L50</f>
        <v>136215</v>
      </c>
      <c r="O50" s="543">
        <f t="shared" si="13"/>
        <v>1</v>
      </c>
      <c r="P50" s="377">
        <v>0</v>
      </c>
      <c r="Q50" s="377">
        <f ca="1">SUMIF(V$3:$AL17,"SI",V50:AL50)</f>
        <v>0</v>
      </c>
      <c r="R50" s="380" t="str">
        <f t="shared" ca="1" si="9"/>
        <v>0.00%</v>
      </c>
      <c r="S50" s="380"/>
      <c r="T50" s="950">
        <v>0</v>
      </c>
      <c r="U50" s="950">
        <v>0</v>
      </c>
      <c r="V50" s="327">
        <v>0</v>
      </c>
      <c r="W50" s="327">
        <v>0</v>
      </c>
      <c r="X50" s="951">
        <v>0</v>
      </c>
      <c r="Y50" s="249">
        <v>0</v>
      </c>
      <c r="Z50" s="249">
        <v>0</v>
      </c>
      <c r="AA50" s="249">
        <v>0</v>
      </c>
      <c r="AB50" s="249">
        <v>0</v>
      </c>
      <c r="AC50" s="249">
        <v>0</v>
      </c>
      <c r="AD50" s="249">
        <v>0</v>
      </c>
      <c r="AE50" s="249">
        <v>0</v>
      </c>
      <c r="AF50" s="249">
        <v>0</v>
      </c>
      <c r="AG50" s="249">
        <v>0</v>
      </c>
      <c r="AH50" s="249">
        <v>0</v>
      </c>
      <c r="AI50" s="249"/>
      <c r="AJ50" s="249"/>
      <c r="AK50" s="249"/>
      <c r="AL50" s="249"/>
      <c r="AM50" s="51"/>
      <c r="AN50" s="1048"/>
      <c r="AO50" s="320"/>
    </row>
    <row r="51" spans="1:41" s="21" customFormat="1" ht="15" hidden="1" customHeight="1" x14ac:dyDescent="0.2">
      <c r="A51" s="187"/>
      <c r="B51" s="1052"/>
      <c r="C51" s="1057"/>
      <c r="D51" s="934" t="s">
        <v>222</v>
      </c>
      <c r="E51" s="1058"/>
      <c r="F51" s="934">
        <v>3302016</v>
      </c>
      <c r="G51" s="328" t="s">
        <v>481</v>
      </c>
      <c r="H51" s="327">
        <v>0</v>
      </c>
      <c r="I51" s="327">
        <f>+'P05 2025'!DL22</f>
        <v>825446</v>
      </c>
      <c r="J51" s="327">
        <f ca="1">SUMIF(T$3:$AL26,"ok",T51:AL51)</f>
        <v>0</v>
      </c>
      <c r="K51" s="543">
        <f t="shared" ca="1" si="12"/>
        <v>0</v>
      </c>
      <c r="L51" s="251">
        <v>0</v>
      </c>
      <c r="M51" s="543">
        <f t="shared" si="10"/>
        <v>0</v>
      </c>
      <c r="N51" s="251">
        <f t="shared" si="11"/>
        <v>825446</v>
      </c>
      <c r="O51" s="543">
        <f t="shared" si="13"/>
        <v>1</v>
      </c>
      <c r="P51" s="377">
        <v>0</v>
      </c>
      <c r="Q51" s="377">
        <f ca="1">SUMIF(V$3:$AL18,"SI",V51:AL51)</f>
        <v>0</v>
      </c>
      <c r="R51" s="380" t="str">
        <f t="shared" ca="1" si="9"/>
        <v>0.00%</v>
      </c>
      <c r="S51" s="380"/>
      <c r="T51" s="950">
        <v>0</v>
      </c>
      <c r="U51" s="950">
        <v>0</v>
      </c>
      <c r="V51" s="327">
        <v>0</v>
      </c>
      <c r="W51" s="327">
        <v>0</v>
      </c>
      <c r="X51" s="951">
        <v>0</v>
      </c>
      <c r="Y51" s="249">
        <v>0</v>
      </c>
      <c r="Z51" s="249">
        <v>0</v>
      </c>
      <c r="AA51" s="249">
        <v>0</v>
      </c>
      <c r="AB51" s="249">
        <v>0</v>
      </c>
      <c r="AC51" s="249">
        <v>0</v>
      </c>
      <c r="AD51" s="249">
        <v>0</v>
      </c>
      <c r="AE51" s="249">
        <v>0</v>
      </c>
      <c r="AF51" s="249">
        <v>0</v>
      </c>
      <c r="AG51" s="249">
        <v>0</v>
      </c>
      <c r="AH51" s="249">
        <v>0</v>
      </c>
      <c r="AI51" s="249"/>
      <c r="AJ51" s="249"/>
      <c r="AK51" s="249"/>
      <c r="AL51" s="249"/>
      <c r="AM51" s="51"/>
      <c r="AN51" s="1048"/>
      <c r="AO51" s="320"/>
    </row>
    <row r="52" spans="1:41" s="21" customFormat="1" ht="15" hidden="1" customHeight="1" x14ac:dyDescent="0.2">
      <c r="A52" s="187"/>
      <c r="B52" s="1052"/>
      <c r="C52" s="1057"/>
      <c r="D52" s="934" t="s">
        <v>189</v>
      </c>
      <c r="E52" s="1058"/>
      <c r="F52" s="934">
        <v>3302017</v>
      </c>
      <c r="G52" s="328" t="s">
        <v>503</v>
      </c>
      <c r="H52" s="327">
        <v>0</v>
      </c>
      <c r="I52" s="327">
        <v>0</v>
      </c>
      <c r="J52" s="327">
        <f ca="1">SUMIF(T$3:$AL27,"ok",T52:AL52)</f>
        <v>0</v>
      </c>
      <c r="K52" s="543" t="str">
        <f t="shared" ca="1" si="12"/>
        <v>0,00%</v>
      </c>
      <c r="L52" s="251">
        <v>0</v>
      </c>
      <c r="M52" s="543">
        <f t="shared" si="10"/>
        <v>0</v>
      </c>
      <c r="N52" s="251">
        <f t="shared" si="11"/>
        <v>0</v>
      </c>
      <c r="O52" s="543">
        <f t="shared" si="13"/>
        <v>0</v>
      </c>
      <c r="P52" s="377">
        <v>0</v>
      </c>
      <c r="Q52" s="377">
        <f ca="1">SUMIF(V$3:$AL19,"SI",V52:AL52)</f>
        <v>0</v>
      </c>
      <c r="R52" s="380" t="str">
        <f t="shared" ca="1" si="9"/>
        <v>0.00%</v>
      </c>
      <c r="S52" s="380"/>
      <c r="T52" s="950">
        <v>0</v>
      </c>
      <c r="U52" s="950">
        <v>0</v>
      </c>
      <c r="V52" s="327">
        <v>0</v>
      </c>
      <c r="W52" s="327">
        <v>0</v>
      </c>
      <c r="X52" s="951">
        <v>0</v>
      </c>
      <c r="Y52" s="249">
        <v>0</v>
      </c>
      <c r="Z52" s="249">
        <v>0</v>
      </c>
      <c r="AA52" s="249">
        <v>0</v>
      </c>
      <c r="AB52" s="249">
        <v>0</v>
      </c>
      <c r="AC52" s="249">
        <v>0</v>
      </c>
      <c r="AD52" s="249">
        <v>0</v>
      </c>
      <c r="AE52" s="249">
        <v>0</v>
      </c>
      <c r="AF52" s="249">
        <v>0</v>
      </c>
      <c r="AG52" s="249">
        <v>0</v>
      </c>
      <c r="AH52" s="249">
        <v>0</v>
      </c>
      <c r="AI52" s="249"/>
      <c r="AJ52" s="249"/>
      <c r="AK52" s="249"/>
      <c r="AL52" s="249"/>
      <c r="AM52" s="51"/>
      <c r="AN52" s="1048"/>
      <c r="AO52" s="320"/>
    </row>
    <row r="53" spans="1:41" s="21" customFormat="1" ht="15" hidden="1" customHeight="1" x14ac:dyDescent="0.2">
      <c r="A53" s="187"/>
      <c r="B53" s="1052"/>
      <c r="C53" s="1057"/>
      <c r="D53" s="1114" t="s">
        <v>192</v>
      </c>
      <c r="E53" s="1058"/>
      <c r="F53" s="934" t="s">
        <v>832</v>
      </c>
      <c r="G53" s="328" t="s">
        <v>833</v>
      </c>
      <c r="H53" s="327">
        <v>0</v>
      </c>
      <c r="I53" s="327">
        <v>0</v>
      </c>
      <c r="J53" s="327">
        <f ca="1">SUMIF(T$3:$AL28,"ok",T53:AL53)</f>
        <v>0</v>
      </c>
      <c r="K53" s="543" t="str">
        <f ca="1">IFERROR(J53/I53,"0,00%")</f>
        <v>0,00%</v>
      </c>
      <c r="L53" s="251">
        <v>0</v>
      </c>
      <c r="M53" s="543">
        <f>IFERROR(L53/I53,0)</f>
        <v>0</v>
      </c>
      <c r="N53" s="251">
        <f t="shared" si="11"/>
        <v>0</v>
      </c>
      <c r="O53" s="543">
        <f>+IFERROR(N53/I53,0)</f>
        <v>0</v>
      </c>
      <c r="P53" s="319">
        <v>0</v>
      </c>
      <c r="Q53" s="1115">
        <f>SUMIF(S$3:$AL3,"SI",S53:AL53)</f>
        <v>0</v>
      </c>
      <c r="R53" s="380" t="str">
        <f>IFERROR(Q53/P53,"0.00%")</f>
        <v>0.00%</v>
      </c>
      <c r="S53" s="380"/>
      <c r="T53" s="950">
        <v>0</v>
      </c>
      <c r="U53" s="950">
        <v>0</v>
      </c>
      <c r="V53" s="327">
        <v>0</v>
      </c>
      <c r="W53" s="327">
        <v>0</v>
      </c>
      <c r="X53" s="951">
        <v>0</v>
      </c>
      <c r="Y53" s="249">
        <v>0</v>
      </c>
      <c r="Z53" s="249">
        <v>0</v>
      </c>
      <c r="AA53" s="249">
        <v>0</v>
      </c>
      <c r="AB53" s="249">
        <v>0</v>
      </c>
      <c r="AC53" s="249">
        <v>0</v>
      </c>
      <c r="AD53" s="249">
        <v>0</v>
      </c>
      <c r="AE53" s="249">
        <v>0</v>
      </c>
      <c r="AF53" s="249">
        <v>0</v>
      </c>
      <c r="AG53" s="249">
        <v>0</v>
      </c>
      <c r="AH53" s="249">
        <v>0</v>
      </c>
      <c r="AI53" s="249">
        <v>0</v>
      </c>
      <c r="AJ53" s="249">
        <v>0</v>
      </c>
      <c r="AK53" s="249">
        <v>0</v>
      </c>
      <c r="AL53" s="249">
        <v>0</v>
      </c>
      <c r="AM53" s="51"/>
      <c r="AN53" s="1048"/>
      <c r="AO53" s="320"/>
    </row>
    <row r="54" spans="1:41" s="21" customFormat="1" hidden="1" x14ac:dyDescent="0.2">
      <c r="A54" s="187"/>
      <c r="B54" s="1052"/>
      <c r="C54" s="1057"/>
      <c r="D54" s="934" t="s">
        <v>682</v>
      </c>
      <c r="E54" s="1058"/>
      <c r="F54" s="934">
        <v>3302107</v>
      </c>
      <c r="G54" s="328" t="s">
        <v>626</v>
      </c>
      <c r="H54" s="327">
        <v>0</v>
      </c>
      <c r="I54" s="327">
        <v>0</v>
      </c>
      <c r="J54" s="327">
        <f ca="1">SUMIF(T$3:$AL29,"ok",T54:AL54)</f>
        <v>0</v>
      </c>
      <c r="K54" s="543" t="str">
        <f t="shared" ca="1" si="12"/>
        <v>0,00%</v>
      </c>
      <c r="L54" s="251">
        <v>0</v>
      </c>
      <c r="M54" s="543">
        <f t="shared" si="10"/>
        <v>0</v>
      </c>
      <c r="N54" s="251">
        <f t="shared" si="11"/>
        <v>0</v>
      </c>
      <c r="O54" s="543">
        <f t="shared" si="13"/>
        <v>0</v>
      </c>
      <c r="P54" s="377">
        <v>0</v>
      </c>
      <c r="Q54" s="377">
        <f ca="1">SUMIF(V$3:$AL20,"SI",V54:AL54)</f>
        <v>0</v>
      </c>
      <c r="R54" s="380" t="str">
        <f t="shared" ca="1" si="9"/>
        <v>0.00%</v>
      </c>
      <c r="S54" s="380"/>
      <c r="T54" s="950">
        <v>0</v>
      </c>
      <c r="U54" s="950">
        <v>0</v>
      </c>
      <c r="V54" s="327">
        <v>0</v>
      </c>
      <c r="W54" s="327">
        <v>0</v>
      </c>
      <c r="X54" s="951">
        <v>0</v>
      </c>
      <c r="Y54" s="249">
        <v>0</v>
      </c>
      <c r="Z54" s="249">
        <v>0</v>
      </c>
      <c r="AA54" s="249">
        <v>0</v>
      </c>
      <c r="AB54" s="249">
        <v>0</v>
      </c>
      <c r="AC54" s="249">
        <v>0</v>
      </c>
      <c r="AD54" s="249">
        <v>0</v>
      </c>
      <c r="AE54" s="249">
        <v>0</v>
      </c>
      <c r="AF54" s="249">
        <v>0</v>
      </c>
      <c r="AG54" s="249">
        <v>0</v>
      </c>
      <c r="AH54" s="249">
        <v>0</v>
      </c>
      <c r="AI54" s="249"/>
      <c r="AJ54" s="249"/>
      <c r="AK54" s="249"/>
      <c r="AL54" s="249"/>
      <c r="AM54" s="51"/>
      <c r="AN54" s="1048"/>
      <c r="AO54" s="320"/>
    </row>
    <row r="55" spans="1:41" s="21" customFormat="1" hidden="1" x14ac:dyDescent="0.2">
      <c r="A55" s="187"/>
      <c r="B55" s="1116"/>
      <c r="C55" s="962"/>
      <c r="D55" s="934" t="s">
        <v>683</v>
      </c>
      <c r="E55" s="147"/>
      <c r="F55" s="1117">
        <v>3302914</v>
      </c>
      <c r="G55" s="422" t="s">
        <v>506</v>
      </c>
      <c r="H55" s="251">
        <v>0</v>
      </c>
      <c r="I55" s="251">
        <v>0</v>
      </c>
      <c r="J55" s="327">
        <f ca="1">SUMIF(T$3:$AL30,"ok",T55:AL55)</f>
        <v>0</v>
      </c>
      <c r="K55" s="543" t="str">
        <f t="shared" ca="1" si="12"/>
        <v>0,00%</v>
      </c>
      <c r="L55" s="251">
        <v>0</v>
      </c>
      <c r="M55" s="516">
        <f t="shared" si="10"/>
        <v>0</v>
      </c>
      <c r="N55" s="251">
        <f t="shared" si="11"/>
        <v>0</v>
      </c>
      <c r="O55" s="516">
        <f t="shared" si="13"/>
        <v>0</v>
      </c>
      <c r="P55" s="377">
        <v>0</v>
      </c>
      <c r="Q55" s="377">
        <f ca="1">SUMIF(V$3:$AL21,"SI",V55:AL55)</f>
        <v>0</v>
      </c>
      <c r="R55" s="1118" t="str">
        <f t="shared" ca="1" si="9"/>
        <v>0.00%</v>
      </c>
      <c r="S55" s="1118"/>
      <c r="T55" s="1119">
        <v>0</v>
      </c>
      <c r="U55" s="1119">
        <v>0</v>
      </c>
      <c r="V55" s="327">
        <v>0</v>
      </c>
      <c r="W55" s="327">
        <v>0</v>
      </c>
      <c r="X55" s="951">
        <v>0</v>
      </c>
      <c r="Y55" s="249">
        <v>0</v>
      </c>
      <c r="Z55" s="249">
        <v>0</v>
      </c>
      <c r="AA55" s="249">
        <v>0</v>
      </c>
      <c r="AB55" s="249">
        <v>0</v>
      </c>
      <c r="AC55" s="249">
        <v>0</v>
      </c>
      <c r="AD55" s="249">
        <v>0</v>
      </c>
      <c r="AE55" s="249">
        <v>0</v>
      </c>
      <c r="AF55" s="249">
        <v>0</v>
      </c>
      <c r="AG55" s="249">
        <v>0</v>
      </c>
      <c r="AH55" s="249">
        <v>0</v>
      </c>
      <c r="AI55" s="249"/>
      <c r="AJ55" s="249"/>
      <c r="AK55" s="249"/>
      <c r="AL55" s="249"/>
      <c r="AM55" s="51"/>
      <c r="AN55" s="1048"/>
      <c r="AO55" s="1048"/>
    </row>
    <row r="56" spans="1:41" s="21" customFormat="1" hidden="1" x14ac:dyDescent="0.2">
      <c r="A56" s="187"/>
      <c r="B56" s="1052"/>
      <c r="C56" s="1057"/>
      <c r="D56" s="934" t="s">
        <v>684</v>
      </c>
      <c r="E56" s="1058"/>
      <c r="F56" s="934">
        <v>3302916</v>
      </c>
      <c r="G56" s="398" t="s">
        <v>305</v>
      </c>
      <c r="H56" s="327">
        <v>0</v>
      </c>
      <c r="I56" s="327">
        <v>0</v>
      </c>
      <c r="J56" s="327">
        <f ca="1">SUMIF(T$3:$AL31,"ok",T56:AL56)</f>
        <v>0</v>
      </c>
      <c r="K56" s="543" t="str">
        <f t="shared" ca="1" si="12"/>
        <v>0,00%</v>
      </c>
      <c r="L56" s="251">
        <v>0</v>
      </c>
      <c r="M56" s="543">
        <f t="shared" si="10"/>
        <v>0</v>
      </c>
      <c r="N56" s="251">
        <f t="shared" si="11"/>
        <v>0</v>
      </c>
      <c r="O56" s="543">
        <f t="shared" si="13"/>
        <v>0</v>
      </c>
      <c r="P56" s="406">
        <v>0</v>
      </c>
      <c r="Q56" s="377">
        <f ca="1">SUMIF(V$3:$AL22,"SI",V56:AL56)</f>
        <v>0</v>
      </c>
      <c r="R56" s="380" t="str">
        <f t="shared" ca="1" si="9"/>
        <v>0.00%</v>
      </c>
      <c r="S56" s="380"/>
      <c r="T56" s="950">
        <v>0</v>
      </c>
      <c r="U56" s="950">
        <v>0</v>
      </c>
      <c r="V56" s="327">
        <v>0</v>
      </c>
      <c r="W56" s="327">
        <v>0</v>
      </c>
      <c r="X56" s="951">
        <v>0</v>
      </c>
      <c r="Y56" s="249">
        <v>0</v>
      </c>
      <c r="Z56" s="249">
        <v>0</v>
      </c>
      <c r="AA56" s="249">
        <v>0</v>
      </c>
      <c r="AB56" s="249">
        <v>0</v>
      </c>
      <c r="AC56" s="249">
        <v>0</v>
      </c>
      <c r="AD56" s="249">
        <v>0</v>
      </c>
      <c r="AE56" s="249">
        <v>0</v>
      </c>
      <c r="AF56" s="249">
        <v>0</v>
      </c>
      <c r="AG56" s="249">
        <v>0</v>
      </c>
      <c r="AH56" s="249">
        <v>0</v>
      </c>
      <c r="AI56" s="249"/>
      <c r="AJ56" s="249"/>
      <c r="AK56" s="249"/>
      <c r="AL56" s="249"/>
      <c r="AM56" s="1055"/>
      <c r="AN56" s="1048"/>
      <c r="AO56" s="1048"/>
    </row>
    <row r="57" spans="1:41" s="21" customFormat="1" hidden="1" x14ac:dyDescent="0.2">
      <c r="A57" s="187"/>
      <c r="B57" s="1052"/>
      <c r="C57" s="1057"/>
      <c r="D57" s="934" t="s">
        <v>627</v>
      </c>
      <c r="E57" s="1058"/>
      <c r="F57" s="934">
        <v>3302020</v>
      </c>
      <c r="G57" s="328" t="s">
        <v>695</v>
      </c>
      <c r="H57" s="327">
        <v>0</v>
      </c>
      <c r="I57" s="327">
        <v>0</v>
      </c>
      <c r="J57" s="327">
        <f ca="1">SUMIF(T$3:$AL32,"ok",T57:AL57)</f>
        <v>0</v>
      </c>
      <c r="K57" s="543" t="str">
        <f ca="1">IFERROR(J57/#REF!,"0,00%")</f>
        <v>0,00%</v>
      </c>
      <c r="L57" s="251">
        <v>0</v>
      </c>
      <c r="M57" s="543">
        <f>IFERROR(#REF!/#REF!,0)</f>
        <v>0</v>
      </c>
      <c r="N57" s="251">
        <f t="shared" si="11"/>
        <v>0</v>
      </c>
      <c r="O57" s="543">
        <f>+IFERROR(N57/#REF!,0)</f>
        <v>0</v>
      </c>
      <c r="P57" s="406">
        <v>0</v>
      </c>
      <c r="Q57" s="377">
        <f ca="1">SUMIF(V$3:$AL23,"SI",V57:AL57)</f>
        <v>0</v>
      </c>
      <c r="R57" s="380" t="str">
        <f ca="1">IFERROR(Q57/P57,"0,0%")</f>
        <v>0,0%</v>
      </c>
      <c r="S57" s="380"/>
      <c r="T57" s="950">
        <v>0</v>
      </c>
      <c r="U57" s="950">
        <v>0</v>
      </c>
      <c r="V57" s="327">
        <v>0</v>
      </c>
      <c r="W57" s="327">
        <v>0</v>
      </c>
      <c r="X57" s="951">
        <v>0</v>
      </c>
      <c r="Y57" s="249">
        <v>0</v>
      </c>
      <c r="Z57" s="249">
        <v>0</v>
      </c>
      <c r="AA57" s="249">
        <v>0</v>
      </c>
      <c r="AB57" s="249">
        <v>0</v>
      </c>
      <c r="AC57" s="249">
        <v>0</v>
      </c>
      <c r="AD57" s="249">
        <v>0</v>
      </c>
      <c r="AE57" s="249">
        <v>0</v>
      </c>
      <c r="AF57" s="249">
        <v>0</v>
      </c>
      <c r="AG57" s="249">
        <v>0</v>
      </c>
      <c r="AH57" s="249">
        <v>0</v>
      </c>
      <c r="AI57" s="249"/>
      <c r="AJ57" s="249"/>
      <c r="AK57" s="249"/>
      <c r="AL57" s="249"/>
      <c r="AM57" s="1055"/>
      <c r="AN57" s="1048"/>
      <c r="AO57" s="1048"/>
    </row>
    <row r="58" spans="1:41" ht="15" customHeight="1" x14ac:dyDescent="0.2">
      <c r="B58" s="1306"/>
      <c r="C58" s="1307">
        <v>3</v>
      </c>
      <c r="D58" s="1323"/>
      <c r="E58" s="1309"/>
      <c r="F58" s="1324"/>
      <c r="G58" s="1311" t="s">
        <v>207</v>
      </c>
      <c r="H58" s="1312">
        <f>SUM(H59:H69)</f>
        <v>102489437</v>
      </c>
      <c r="I58" s="1312">
        <f>SUM(I59:I69)</f>
        <v>35362130</v>
      </c>
      <c r="J58" s="1312">
        <f ca="1">SUMIF(T$3:$AL42,"ok",T58:AL58)</f>
        <v>0</v>
      </c>
      <c r="K58" s="1313">
        <f ca="1">IFERROR(J58/I58,"0,0%")</f>
        <v>0</v>
      </c>
      <c r="L58" s="1325">
        <v>0</v>
      </c>
      <c r="M58" s="1313">
        <f t="shared" si="10"/>
        <v>0</v>
      </c>
      <c r="N58" s="1312">
        <f>+I58-L58</f>
        <v>35362130</v>
      </c>
      <c r="O58" s="1315">
        <f>+IFERROR(N58/I58,0)</f>
        <v>1</v>
      </c>
      <c r="P58" s="1326">
        <f>SUM(P59:P69)</f>
        <v>53134013.070000008</v>
      </c>
      <c r="Q58" s="1312">
        <f ca="1">SUM(Q59:Q69)</f>
        <v>0</v>
      </c>
      <c r="R58" s="1317">
        <f ca="1">IFERROR(Q58/P58,"0.00%")</f>
        <v>0</v>
      </c>
      <c r="S58" s="1317"/>
      <c r="T58" s="1319">
        <v>0</v>
      </c>
      <c r="U58" s="1319">
        <v>0</v>
      </c>
      <c r="V58" s="1327">
        <v>0</v>
      </c>
      <c r="W58" s="1327">
        <v>0</v>
      </c>
      <c r="X58" s="1328">
        <v>0</v>
      </c>
      <c r="Y58" s="1329">
        <v>0</v>
      </c>
      <c r="Z58" s="1329">
        <v>0</v>
      </c>
      <c r="AA58" s="1329">
        <v>0</v>
      </c>
      <c r="AB58" s="1329">
        <v>0</v>
      </c>
      <c r="AC58" s="1329">
        <v>0</v>
      </c>
      <c r="AD58" s="1329">
        <v>0</v>
      </c>
      <c r="AE58" s="1329">
        <v>0</v>
      </c>
      <c r="AF58" s="1329">
        <v>0</v>
      </c>
      <c r="AG58" s="1327">
        <v>0</v>
      </c>
      <c r="AH58" s="1327">
        <v>0</v>
      </c>
      <c r="AI58" s="165">
        <v>0</v>
      </c>
      <c r="AJ58" s="155">
        <v>0</v>
      </c>
      <c r="AK58" s="155">
        <v>0</v>
      </c>
      <c r="AL58" s="155">
        <v>0</v>
      </c>
      <c r="AN58" s="1048"/>
      <c r="AO58" s="1048"/>
    </row>
    <row r="59" spans="1:41" s="21" customFormat="1" ht="15" customHeight="1" x14ac:dyDescent="0.2">
      <c r="A59" s="187"/>
      <c r="B59" s="1052"/>
      <c r="C59" s="1053"/>
      <c r="D59" s="934">
        <v>1</v>
      </c>
      <c r="E59" s="1054"/>
      <c r="F59" s="934">
        <v>3303001</v>
      </c>
      <c r="G59" s="328" t="s">
        <v>241</v>
      </c>
      <c r="H59" s="327">
        <f>+'P05 2025'!F3</f>
        <v>82544640</v>
      </c>
      <c r="I59" s="251">
        <f>+'P05 2025'!DL23</f>
        <v>29716070</v>
      </c>
      <c r="J59" s="327">
        <f ca="1">SUMIF(T$3:$AL43,"ok",T59:AL59)</f>
        <v>0</v>
      </c>
      <c r="K59" s="543">
        <f ca="1">IFERROR(J59/I59,"0,00%")</f>
        <v>0</v>
      </c>
      <c r="L59" s="251">
        <v>0</v>
      </c>
      <c r="M59" s="543">
        <f t="shared" ref="M59:M72" si="14">IFERROR(L59/I59,0)</f>
        <v>0</v>
      </c>
      <c r="N59" s="251">
        <f>+I59-L59</f>
        <v>29716070</v>
      </c>
      <c r="O59" s="543">
        <f>+IFERROR(N59/I59,0)</f>
        <v>1</v>
      </c>
      <c r="P59" s="406">
        <f>+'P05 2024'!CY5</f>
        <v>42123040.686000004</v>
      </c>
      <c r="Q59" s="327">
        <f>SUMIF(S$3:$AL3,"SI",S59:AL59)</f>
        <v>0</v>
      </c>
      <c r="R59" s="380">
        <f>IFERROR(Q59/P59,"0,0%")</f>
        <v>0</v>
      </c>
      <c r="S59" s="380"/>
      <c r="T59" s="950">
        <v>0</v>
      </c>
      <c r="U59" s="950">
        <v>0</v>
      </c>
      <c r="V59" s="327">
        <v>0</v>
      </c>
      <c r="W59" s="327">
        <v>0</v>
      </c>
      <c r="X59" s="1120">
        <v>0</v>
      </c>
      <c r="Y59" s="249">
        <v>0</v>
      </c>
      <c r="Z59" s="249">
        <v>0</v>
      </c>
      <c r="AA59" s="249">
        <v>0</v>
      </c>
      <c r="AB59" s="249">
        <v>0</v>
      </c>
      <c r="AC59" s="249">
        <v>0</v>
      </c>
      <c r="AD59" s="249">
        <v>0</v>
      </c>
      <c r="AE59" s="249">
        <v>0</v>
      </c>
      <c r="AF59" s="249">
        <v>0</v>
      </c>
      <c r="AG59" s="249">
        <v>0</v>
      </c>
      <c r="AH59" s="249">
        <v>0</v>
      </c>
      <c r="AI59" s="249">
        <v>0</v>
      </c>
      <c r="AJ59" s="249">
        <v>0</v>
      </c>
      <c r="AK59" s="249">
        <v>0</v>
      </c>
      <c r="AL59" s="249">
        <v>0</v>
      </c>
      <c r="AM59" s="1055"/>
      <c r="AN59" s="1048"/>
      <c r="AO59" s="1048"/>
    </row>
    <row r="60" spans="1:41" s="21" customFormat="1" ht="15" customHeight="1" x14ac:dyDescent="0.2">
      <c r="A60" s="187"/>
      <c r="B60" s="1052"/>
      <c r="C60" s="1053"/>
      <c r="D60" s="934">
        <v>432</v>
      </c>
      <c r="E60" s="1054"/>
      <c r="F60" s="934">
        <v>3303432</v>
      </c>
      <c r="G60" s="328" t="s">
        <v>634</v>
      </c>
      <c r="H60" s="327">
        <f>+'P05 2025'!F4+5124472</f>
        <v>19944797</v>
      </c>
      <c r="I60" s="251">
        <f>+'P05 2025'!DL24</f>
        <v>5646060</v>
      </c>
      <c r="J60" s="327">
        <f ca="1">SUMIF(T$3:$AL44,"ok",T60:AL60)</f>
        <v>0</v>
      </c>
      <c r="K60" s="543">
        <f t="shared" ref="K60:K71" ca="1" si="15">IFERROR(J60/I60,"0,00%")</f>
        <v>0</v>
      </c>
      <c r="L60" s="251">
        <v>0</v>
      </c>
      <c r="M60" s="543">
        <f t="shared" si="14"/>
        <v>0</v>
      </c>
      <c r="N60" s="251">
        <f>+I60-L60</f>
        <v>5646060</v>
      </c>
      <c r="O60" s="543">
        <f>+IFERROR(N60/I60,0)</f>
        <v>1</v>
      </c>
      <c r="P60" s="406">
        <f>+'P05 2024'!CY6</f>
        <v>11010972.384</v>
      </c>
      <c r="Q60" s="327">
        <f ca="1">SUMIF(S$3:$AL4,"SI",S60:AL60)</f>
        <v>0</v>
      </c>
      <c r="R60" s="380">
        <f ca="1">IFERROR(Q60/P60,"0,0%")</f>
        <v>0</v>
      </c>
      <c r="S60" s="380"/>
      <c r="T60" s="950">
        <v>0</v>
      </c>
      <c r="U60" s="950">
        <v>0</v>
      </c>
      <c r="V60" s="327">
        <v>0</v>
      </c>
      <c r="W60" s="327">
        <v>0</v>
      </c>
      <c r="X60" s="1120">
        <v>0</v>
      </c>
      <c r="Y60" s="249">
        <v>0</v>
      </c>
      <c r="Z60" s="249">
        <v>0</v>
      </c>
      <c r="AA60" s="249">
        <v>0</v>
      </c>
      <c r="AB60" s="249">
        <v>0</v>
      </c>
      <c r="AC60" s="249">
        <v>0</v>
      </c>
      <c r="AD60" s="249">
        <v>0</v>
      </c>
      <c r="AE60" s="249">
        <v>0</v>
      </c>
      <c r="AF60" s="249">
        <v>0</v>
      </c>
      <c r="AG60" s="249">
        <v>0</v>
      </c>
      <c r="AH60" s="249">
        <v>0</v>
      </c>
      <c r="AI60" s="249">
        <v>0</v>
      </c>
      <c r="AJ60" s="249">
        <v>0</v>
      </c>
      <c r="AK60" s="249">
        <v>0</v>
      </c>
      <c r="AL60" s="249">
        <v>0</v>
      </c>
      <c r="AM60" s="1055"/>
      <c r="AN60" s="1048"/>
      <c r="AO60" s="1048"/>
    </row>
    <row r="61" spans="1:41" s="47" customFormat="1" ht="15" hidden="1" customHeight="1" x14ac:dyDescent="0.2">
      <c r="A61" s="187"/>
      <c r="B61" s="1121"/>
      <c r="C61" s="1122"/>
      <c r="D61" s="934" t="s">
        <v>189</v>
      </c>
      <c r="E61" s="1054"/>
      <c r="F61" s="1117">
        <v>3303017</v>
      </c>
      <c r="G61" s="328" t="s">
        <v>242</v>
      </c>
      <c r="H61" s="251">
        <v>0</v>
      </c>
      <c r="I61" s="251">
        <v>0</v>
      </c>
      <c r="J61" s="327">
        <f ca="1">SUMIF(T$3:$AL45,"ok",T61:AL61)</f>
        <v>0</v>
      </c>
      <c r="K61" s="543" t="str">
        <f t="shared" ca="1" si="15"/>
        <v>0,00%</v>
      </c>
      <c r="L61" s="251">
        <v>0</v>
      </c>
      <c r="M61" s="543">
        <f t="shared" si="14"/>
        <v>0</v>
      </c>
      <c r="N61" s="251">
        <v>0</v>
      </c>
      <c r="O61" s="543">
        <f t="shared" ref="O61:O72" si="16">+IFERROR(N61/I61,0)</f>
        <v>0</v>
      </c>
      <c r="P61" s="406">
        <v>0</v>
      </c>
      <c r="Q61" s="327">
        <f ca="1">SUMIF(V$3:$AL5,"SI",V61:AL61)</f>
        <v>0</v>
      </c>
      <c r="R61" s="380" t="str">
        <f t="shared" ref="R61:R71" ca="1" si="17">IFERROR(Q61/P61,"0,0%")</f>
        <v>0,0%</v>
      </c>
      <c r="S61" s="380"/>
      <c r="T61" s="950">
        <v>0</v>
      </c>
      <c r="U61" s="950">
        <v>0</v>
      </c>
      <c r="V61" s="327">
        <v>0</v>
      </c>
      <c r="W61" s="327">
        <v>0</v>
      </c>
      <c r="X61" s="1123">
        <v>0</v>
      </c>
      <c r="Y61" s="1124">
        <v>0</v>
      </c>
      <c r="Z61" s="1124">
        <v>0</v>
      </c>
      <c r="AA61" s="1124">
        <v>0</v>
      </c>
      <c r="AB61" s="1124">
        <v>0</v>
      </c>
      <c r="AC61" s="1124">
        <v>0</v>
      </c>
      <c r="AD61" s="1124">
        <v>0</v>
      </c>
      <c r="AE61" s="1124">
        <v>0</v>
      </c>
      <c r="AF61" s="1124">
        <v>0</v>
      </c>
      <c r="AG61" s="1124">
        <v>0</v>
      </c>
      <c r="AH61" s="1124">
        <v>0</v>
      </c>
      <c r="AI61" s="1124"/>
      <c r="AJ61" s="1124"/>
      <c r="AK61" s="1124"/>
      <c r="AL61" s="1124"/>
      <c r="AN61" s="1048"/>
      <c r="AO61" s="1048"/>
    </row>
    <row r="62" spans="1:41" s="47" customFormat="1" ht="15" hidden="1" customHeight="1" x14ac:dyDescent="0.2">
      <c r="A62" s="187"/>
      <c r="B62" s="1121"/>
      <c r="C62" s="1122"/>
      <c r="D62" s="934" t="s">
        <v>190</v>
      </c>
      <c r="E62" s="1054"/>
      <c r="F62" s="1117">
        <v>3303021</v>
      </c>
      <c r="G62" s="328" t="s">
        <v>243</v>
      </c>
      <c r="H62" s="251">
        <v>0</v>
      </c>
      <c r="I62" s="251">
        <v>0</v>
      </c>
      <c r="J62" s="327">
        <f ca="1">SUMIF(T$3:$AL46,"ok",T62:AL62)</f>
        <v>0</v>
      </c>
      <c r="K62" s="543" t="str">
        <f t="shared" ca="1" si="15"/>
        <v>0,00%</v>
      </c>
      <c r="L62" s="251">
        <v>0</v>
      </c>
      <c r="M62" s="543">
        <f t="shared" si="14"/>
        <v>0</v>
      </c>
      <c r="N62" s="251">
        <v>0</v>
      </c>
      <c r="O62" s="543">
        <f t="shared" si="16"/>
        <v>0</v>
      </c>
      <c r="P62" s="406">
        <v>0</v>
      </c>
      <c r="Q62" s="327">
        <f ca="1">SUMIF(V$3:$AL6,"SI",V62:AL62)</f>
        <v>0</v>
      </c>
      <c r="R62" s="380" t="str">
        <f t="shared" ca="1" si="17"/>
        <v>0,0%</v>
      </c>
      <c r="S62" s="380"/>
      <c r="T62" s="950">
        <v>0</v>
      </c>
      <c r="U62" s="950">
        <v>0</v>
      </c>
      <c r="V62" s="327">
        <v>0</v>
      </c>
      <c r="W62" s="327">
        <v>0</v>
      </c>
      <c r="X62" s="1120">
        <v>0</v>
      </c>
      <c r="Y62" s="1124">
        <v>0</v>
      </c>
      <c r="Z62" s="1124">
        <v>0</v>
      </c>
      <c r="AA62" s="1124">
        <v>0</v>
      </c>
      <c r="AB62" s="1124">
        <v>0</v>
      </c>
      <c r="AC62" s="1124">
        <v>0</v>
      </c>
      <c r="AD62" s="1124">
        <v>0</v>
      </c>
      <c r="AE62" s="1124">
        <v>0</v>
      </c>
      <c r="AF62" s="1124">
        <v>0</v>
      </c>
      <c r="AG62" s="1124">
        <v>0</v>
      </c>
      <c r="AH62" s="1124">
        <v>0</v>
      </c>
      <c r="AI62" s="1124"/>
      <c r="AJ62" s="1124"/>
      <c r="AK62" s="1124"/>
      <c r="AL62" s="1124"/>
      <c r="AM62" s="51"/>
      <c r="AN62" s="1048"/>
      <c r="AO62" s="1048"/>
    </row>
    <row r="63" spans="1:41" s="47" customFormat="1" ht="15" hidden="1" customHeight="1" x14ac:dyDescent="0.2">
      <c r="A63" s="187"/>
      <c r="B63" s="1121"/>
      <c r="C63" s="1122"/>
      <c r="D63" s="934" t="s">
        <v>192</v>
      </c>
      <c r="E63" s="1054"/>
      <c r="F63" s="1117">
        <v>3303025</v>
      </c>
      <c r="G63" s="328" t="s">
        <v>244</v>
      </c>
      <c r="H63" s="251">
        <v>0</v>
      </c>
      <c r="I63" s="251">
        <v>0</v>
      </c>
      <c r="J63" s="327">
        <f ca="1">SUMIF(T$3:$AL47,"ok",T63:AL63)</f>
        <v>0</v>
      </c>
      <c r="K63" s="543" t="str">
        <f t="shared" ca="1" si="15"/>
        <v>0,00%</v>
      </c>
      <c r="L63" s="251">
        <v>0</v>
      </c>
      <c r="M63" s="543">
        <f t="shared" si="14"/>
        <v>0</v>
      </c>
      <c r="N63" s="251">
        <v>0</v>
      </c>
      <c r="O63" s="543">
        <f t="shared" si="16"/>
        <v>0</v>
      </c>
      <c r="P63" s="406">
        <v>0</v>
      </c>
      <c r="Q63" s="327">
        <f ca="1">SUMIF(V$3:$AL7,"SI",V63:AL63)</f>
        <v>0</v>
      </c>
      <c r="R63" s="380" t="str">
        <f t="shared" ca="1" si="17"/>
        <v>0,0%</v>
      </c>
      <c r="S63" s="380"/>
      <c r="T63" s="950">
        <v>0</v>
      </c>
      <c r="U63" s="950">
        <v>0</v>
      </c>
      <c r="V63" s="327">
        <v>0</v>
      </c>
      <c r="W63" s="327">
        <v>0</v>
      </c>
      <c r="X63" s="1120">
        <v>0</v>
      </c>
      <c r="Y63" s="1124">
        <v>0</v>
      </c>
      <c r="Z63" s="1124">
        <v>0</v>
      </c>
      <c r="AA63" s="1124">
        <v>0</v>
      </c>
      <c r="AB63" s="1124">
        <v>0</v>
      </c>
      <c r="AC63" s="1124">
        <v>0</v>
      </c>
      <c r="AD63" s="1124">
        <v>0</v>
      </c>
      <c r="AE63" s="1124">
        <v>0</v>
      </c>
      <c r="AF63" s="1124">
        <v>0</v>
      </c>
      <c r="AG63" s="1124">
        <v>0</v>
      </c>
      <c r="AH63" s="1124">
        <v>0</v>
      </c>
      <c r="AI63" s="1124"/>
      <c r="AJ63" s="1124"/>
      <c r="AK63" s="1124"/>
      <c r="AL63" s="1124"/>
      <c r="AM63" s="51"/>
      <c r="AN63" s="1048"/>
      <c r="AO63" s="1048"/>
    </row>
    <row r="64" spans="1:41" s="47" customFormat="1" ht="15" hidden="1" customHeight="1" x14ac:dyDescent="0.2">
      <c r="A64" s="187"/>
      <c r="B64" s="1121"/>
      <c r="C64" s="1122"/>
      <c r="D64" s="934" t="s">
        <v>193</v>
      </c>
      <c r="E64" s="1054"/>
      <c r="F64" s="1117">
        <v>3303130</v>
      </c>
      <c r="G64" s="328" t="s">
        <v>245</v>
      </c>
      <c r="H64" s="251">
        <v>0</v>
      </c>
      <c r="I64" s="251">
        <v>0</v>
      </c>
      <c r="J64" s="327">
        <f ca="1">SUMIF(T$3:$AL48,"ok",T64:AL64)</f>
        <v>0</v>
      </c>
      <c r="K64" s="543" t="str">
        <f t="shared" ca="1" si="15"/>
        <v>0,00%</v>
      </c>
      <c r="L64" s="251">
        <v>0</v>
      </c>
      <c r="M64" s="543">
        <f t="shared" si="14"/>
        <v>0</v>
      </c>
      <c r="N64" s="251">
        <v>0</v>
      </c>
      <c r="O64" s="543">
        <f t="shared" si="16"/>
        <v>0</v>
      </c>
      <c r="P64" s="406">
        <v>0</v>
      </c>
      <c r="Q64" s="327">
        <f ca="1">SUMIF(V$3:$AL8,"SI",V64:AL64)</f>
        <v>0</v>
      </c>
      <c r="R64" s="380" t="str">
        <f t="shared" ca="1" si="17"/>
        <v>0,0%</v>
      </c>
      <c r="S64" s="380"/>
      <c r="T64" s="950">
        <v>0</v>
      </c>
      <c r="U64" s="950">
        <v>0</v>
      </c>
      <c r="V64" s="327">
        <v>0</v>
      </c>
      <c r="W64" s="327">
        <v>0</v>
      </c>
      <c r="X64" s="1123">
        <v>0</v>
      </c>
      <c r="Y64" s="1124">
        <v>0</v>
      </c>
      <c r="Z64" s="1124">
        <v>0</v>
      </c>
      <c r="AA64" s="1124">
        <v>0</v>
      </c>
      <c r="AB64" s="1124">
        <v>0</v>
      </c>
      <c r="AC64" s="1124">
        <v>0</v>
      </c>
      <c r="AD64" s="1124">
        <v>0</v>
      </c>
      <c r="AE64" s="1124">
        <v>0</v>
      </c>
      <c r="AF64" s="1124">
        <v>0</v>
      </c>
      <c r="AG64" s="1124">
        <v>0</v>
      </c>
      <c r="AH64" s="1124">
        <v>0</v>
      </c>
      <c r="AI64" s="1124"/>
      <c r="AJ64" s="1124"/>
      <c r="AK64" s="1124"/>
      <c r="AL64" s="1124"/>
      <c r="AN64" s="1048"/>
      <c r="AO64" s="1048"/>
    </row>
    <row r="65" spans="1:41" s="47" customFormat="1" ht="15" hidden="1" customHeight="1" x14ac:dyDescent="0.2">
      <c r="A65" s="187"/>
      <c r="B65" s="1121"/>
      <c r="C65" s="1122"/>
      <c r="D65" s="934" t="s">
        <v>194</v>
      </c>
      <c r="E65" s="1054"/>
      <c r="F65" s="1117">
        <v>3303190</v>
      </c>
      <c r="G65" s="328" t="s">
        <v>246</v>
      </c>
      <c r="H65" s="251">
        <v>0</v>
      </c>
      <c r="I65" s="251">
        <v>0</v>
      </c>
      <c r="J65" s="327">
        <f ca="1">SUMIF(T$3:$AL49,"ok",T65:AL65)</f>
        <v>0</v>
      </c>
      <c r="K65" s="543" t="str">
        <f t="shared" ca="1" si="15"/>
        <v>0,00%</v>
      </c>
      <c r="L65" s="251">
        <v>0</v>
      </c>
      <c r="M65" s="543">
        <f t="shared" si="14"/>
        <v>0</v>
      </c>
      <c r="N65" s="251">
        <v>0</v>
      </c>
      <c r="O65" s="543">
        <f t="shared" si="16"/>
        <v>0</v>
      </c>
      <c r="P65" s="406">
        <v>0</v>
      </c>
      <c r="Q65" s="327">
        <f ca="1">SUMIF(V$3:$AL9,"SI",V65:AL65)</f>
        <v>0</v>
      </c>
      <c r="R65" s="380" t="str">
        <f t="shared" ca="1" si="17"/>
        <v>0,0%</v>
      </c>
      <c r="S65" s="380"/>
      <c r="T65" s="950">
        <v>0</v>
      </c>
      <c r="U65" s="950">
        <v>0</v>
      </c>
      <c r="V65" s="327">
        <v>0</v>
      </c>
      <c r="W65" s="327">
        <v>0</v>
      </c>
      <c r="X65" s="1120">
        <v>0</v>
      </c>
      <c r="Y65" s="1124">
        <v>0</v>
      </c>
      <c r="Z65" s="1124">
        <v>0</v>
      </c>
      <c r="AA65" s="1124">
        <v>0</v>
      </c>
      <c r="AB65" s="1124">
        <v>0</v>
      </c>
      <c r="AC65" s="1124">
        <v>0</v>
      </c>
      <c r="AD65" s="1124">
        <v>0</v>
      </c>
      <c r="AE65" s="1124">
        <v>0</v>
      </c>
      <c r="AF65" s="1124">
        <v>0</v>
      </c>
      <c r="AG65" s="1124">
        <v>0</v>
      </c>
      <c r="AH65" s="1124">
        <v>0</v>
      </c>
      <c r="AI65" s="1124"/>
      <c r="AJ65" s="1124"/>
      <c r="AK65" s="1124"/>
      <c r="AL65" s="1124"/>
      <c r="AN65" s="1048"/>
      <c r="AO65" s="1048"/>
    </row>
    <row r="66" spans="1:41" s="47" customFormat="1" ht="15" hidden="1" customHeight="1" x14ac:dyDescent="0.2">
      <c r="A66" s="187"/>
      <c r="B66" s="1121"/>
      <c r="C66" s="1122"/>
      <c r="D66" s="934" t="s">
        <v>195</v>
      </c>
      <c r="E66" s="1054"/>
      <c r="F66" s="1117">
        <v>3303418</v>
      </c>
      <c r="G66" s="328" t="s">
        <v>603</v>
      </c>
      <c r="H66" s="251">
        <v>0</v>
      </c>
      <c r="I66" s="251">
        <v>0</v>
      </c>
      <c r="J66" s="327">
        <f ca="1">SUMIF(T$3:$AL50,"ok",T66:AL66)</f>
        <v>0</v>
      </c>
      <c r="K66" s="543" t="str">
        <f t="shared" ca="1" si="15"/>
        <v>0,00%</v>
      </c>
      <c r="L66" s="251">
        <v>0</v>
      </c>
      <c r="M66" s="543">
        <f t="shared" si="14"/>
        <v>0</v>
      </c>
      <c r="N66" s="251">
        <v>0</v>
      </c>
      <c r="O66" s="543">
        <f t="shared" si="16"/>
        <v>0</v>
      </c>
      <c r="P66" s="406">
        <v>0</v>
      </c>
      <c r="Q66" s="327">
        <f ca="1">SUMIF(V$3:$AL10,"SI",V66:AL66)</f>
        <v>0</v>
      </c>
      <c r="R66" s="380" t="str">
        <f t="shared" ca="1" si="17"/>
        <v>0,0%</v>
      </c>
      <c r="S66" s="380"/>
      <c r="T66" s="950">
        <v>0</v>
      </c>
      <c r="U66" s="950">
        <v>0</v>
      </c>
      <c r="V66" s="327">
        <v>0</v>
      </c>
      <c r="W66" s="327">
        <v>0</v>
      </c>
      <c r="X66" s="1120">
        <v>0</v>
      </c>
      <c r="Y66" s="1124">
        <v>0</v>
      </c>
      <c r="Z66" s="1124">
        <v>0</v>
      </c>
      <c r="AA66" s="1124">
        <v>0</v>
      </c>
      <c r="AB66" s="1124">
        <v>0</v>
      </c>
      <c r="AC66" s="1124">
        <v>0</v>
      </c>
      <c r="AD66" s="1124">
        <v>0</v>
      </c>
      <c r="AE66" s="1124">
        <v>0</v>
      </c>
      <c r="AF66" s="1124">
        <v>0</v>
      </c>
      <c r="AG66" s="1124">
        <v>0</v>
      </c>
      <c r="AH66" s="1124">
        <v>0</v>
      </c>
      <c r="AI66" s="1124"/>
      <c r="AJ66" s="1124"/>
      <c r="AK66" s="1124"/>
      <c r="AL66" s="1124"/>
      <c r="AM66" s="51"/>
      <c r="AN66" s="1048"/>
    </row>
    <row r="67" spans="1:41" s="47" customFormat="1" ht="15" hidden="1" customHeight="1" x14ac:dyDescent="0.2">
      <c r="A67" s="187"/>
      <c r="B67" s="1121"/>
      <c r="C67" s="1122"/>
      <c r="D67" s="934" t="s">
        <v>196</v>
      </c>
      <c r="E67" s="1054"/>
      <c r="F67" s="1117">
        <v>3303421</v>
      </c>
      <c r="G67" s="328" t="s">
        <v>121</v>
      </c>
      <c r="H67" s="251">
        <v>0</v>
      </c>
      <c r="I67" s="251">
        <v>0</v>
      </c>
      <c r="J67" s="327">
        <f ca="1">SUMIF(T$3:$AL51,"ok",T67:AL67)</f>
        <v>0</v>
      </c>
      <c r="K67" s="543" t="str">
        <f t="shared" ca="1" si="15"/>
        <v>0,00%</v>
      </c>
      <c r="L67" s="251">
        <v>0</v>
      </c>
      <c r="M67" s="543">
        <f t="shared" si="14"/>
        <v>0</v>
      </c>
      <c r="N67" s="251">
        <v>0</v>
      </c>
      <c r="O67" s="543">
        <f t="shared" si="16"/>
        <v>0</v>
      </c>
      <c r="P67" s="406">
        <v>0</v>
      </c>
      <c r="Q67" s="327">
        <f ca="1">SUMIF(V$3:$AL11,"SI",V67:AL67)</f>
        <v>0</v>
      </c>
      <c r="R67" s="380" t="str">
        <f t="shared" ca="1" si="17"/>
        <v>0,0%</v>
      </c>
      <c r="S67" s="380"/>
      <c r="T67" s="950">
        <v>0</v>
      </c>
      <c r="U67" s="950">
        <v>0</v>
      </c>
      <c r="V67" s="327">
        <v>0</v>
      </c>
      <c r="W67" s="327">
        <v>0</v>
      </c>
      <c r="X67" s="1123">
        <v>0</v>
      </c>
      <c r="Y67" s="1124">
        <v>0</v>
      </c>
      <c r="Z67" s="1124">
        <v>0</v>
      </c>
      <c r="AA67" s="1124">
        <v>0</v>
      </c>
      <c r="AB67" s="1124">
        <v>0</v>
      </c>
      <c r="AC67" s="1124">
        <v>0</v>
      </c>
      <c r="AD67" s="1124">
        <v>0</v>
      </c>
      <c r="AE67" s="1124">
        <v>0</v>
      </c>
      <c r="AF67" s="1124">
        <v>0</v>
      </c>
      <c r="AG67" s="1124">
        <v>0</v>
      </c>
      <c r="AH67" s="1124">
        <v>0</v>
      </c>
      <c r="AI67" s="1124"/>
      <c r="AJ67" s="1124"/>
      <c r="AK67" s="1124"/>
      <c r="AL67" s="1124"/>
      <c r="AM67" s="51"/>
      <c r="AN67" s="1048"/>
    </row>
    <row r="68" spans="1:41" s="47" customFormat="1" ht="15" hidden="1" customHeight="1" x14ac:dyDescent="0.2">
      <c r="A68" s="187"/>
      <c r="B68" s="1121"/>
      <c r="C68" s="1122"/>
      <c r="D68" s="934" t="s">
        <v>197</v>
      </c>
      <c r="E68" s="1054"/>
      <c r="F68" s="1117">
        <v>3303426</v>
      </c>
      <c r="G68" s="328" t="s">
        <v>122</v>
      </c>
      <c r="H68" s="251">
        <v>0</v>
      </c>
      <c r="I68" s="251">
        <v>0</v>
      </c>
      <c r="J68" s="327">
        <f ca="1">SUMIF(T$3:$AL52,"ok",T68:AL68)</f>
        <v>0</v>
      </c>
      <c r="K68" s="543" t="str">
        <f t="shared" ca="1" si="15"/>
        <v>0,00%</v>
      </c>
      <c r="L68" s="251">
        <v>0</v>
      </c>
      <c r="M68" s="543">
        <f t="shared" si="14"/>
        <v>0</v>
      </c>
      <c r="N68" s="251">
        <v>0</v>
      </c>
      <c r="O68" s="543">
        <f t="shared" si="16"/>
        <v>0</v>
      </c>
      <c r="P68" s="406">
        <v>0</v>
      </c>
      <c r="Q68" s="327">
        <f ca="1">SUMIF(V$3:$AL12,"SI",V68:AL68)</f>
        <v>0</v>
      </c>
      <c r="R68" s="380" t="str">
        <f t="shared" ca="1" si="17"/>
        <v>0,0%</v>
      </c>
      <c r="S68" s="380"/>
      <c r="T68" s="950">
        <v>0</v>
      </c>
      <c r="U68" s="950">
        <v>0</v>
      </c>
      <c r="V68" s="327">
        <v>0</v>
      </c>
      <c r="W68" s="327">
        <v>0</v>
      </c>
      <c r="X68" s="1120">
        <v>0</v>
      </c>
      <c r="Y68" s="1124">
        <v>0</v>
      </c>
      <c r="Z68" s="1124">
        <v>0</v>
      </c>
      <c r="AA68" s="1124">
        <v>0</v>
      </c>
      <c r="AB68" s="1124">
        <v>0</v>
      </c>
      <c r="AC68" s="1124">
        <v>0</v>
      </c>
      <c r="AD68" s="1124">
        <v>0</v>
      </c>
      <c r="AE68" s="1124">
        <v>0</v>
      </c>
      <c r="AF68" s="1124">
        <v>0</v>
      </c>
      <c r="AG68" s="1124">
        <v>0</v>
      </c>
      <c r="AH68" s="1124">
        <v>0</v>
      </c>
      <c r="AI68" s="1124"/>
      <c r="AJ68" s="1124"/>
      <c r="AK68" s="1124"/>
      <c r="AL68" s="1124"/>
      <c r="AN68" s="1048"/>
    </row>
    <row r="69" spans="1:41" s="36" customFormat="1" ht="15" hidden="1" customHeight="1" x14ac:dyDescent="0.2">
      <c r="A69" s="68"/>
      <c r="B69" s="797"/>
      <c r="C69" s="798"/>
      <c r="D69" s="324" t="s">
        <v>584</v>
      </c>
      <c r="E69" s="581"/>
      <c r="F69" s="584">
        <v>3303431</v>
      </c>
      <c r="G69" s="332" t="s">
        <v>604</v>
      </c>
      <c r="H69" s="278">
        <v>0</v>
      </c>
      <c r="I69" s="278">
        <v>0</v>
      </c>
      <c r="J69" s="325">
        <f ca="1">SUMIF(T$3:$AL53,"ok",T69:AL69)</f>
        <v>0</v>
      </c>
      <c r="K69" s="511" t="str">
        <f t="shared" ca="1" si="15"/>
        <v>0,00%</v>
      </c>
      <c r="L69" s="278">
        <v>0</v>
      </c>
      <c r="M69" s="511">
        <f t="shared" si="14"/>
        <v>0</v>
      </c>
      <c r="N69" s="278">
        <v>0</v>
      </c>
      <c r="O69" s="511">
        <f t="shared" si="16"/>
        <v>0</v>
      </c>
      <c r="P69" s="536">
        <v>0</v>
      </c>
      <c r="Q69" s="325">
        <f ca="1">SUMIF(V$3:$AL13,"SI",V69:AL69)</f>
        <v>0</v>
      </c>
      <c r="R69" s="546" t="str">
        <f t="shared" ca="1" si="17"/>
        <v>0,0%</v>
      </c>
      <c r="S69" s="546"/>
      <c r="T69" s="453">
        <v>0</v>
      </c>
      <c r="U69" s="453">
        <v>0</v>
      </c>
      <c r="V69" s="325">
        <v>0</v>
      </c>
      <c r="W69" s="325">
        <v>0</v>
      </c>
      <c r="X69" s="50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/>
      <c r="AJ69" s="7"/>
      <c r="AK69" s="7"/>
      <c r="AL69" s="7"/>
      <c r="AM69" s="59"/>
      <c r="AN69" s="1048"/>
    </row>
    <row r="70" spans="1:41" s="36" customFormat="1" ht="15" customHeight="1" x14ac:dyDescent="0.2">
      <c r="A70" s="68"/>
      <c r="B70" s="510">
        <v>34</v>
      </c>
      <c r="C70" s="391"/>
      <c r="D70" s="322"/>
      <c r="E70" s="131"/>
      <c r="F70" s="232"/>
      <c r="G70" s="403" t="s">
        <v>83</v>
      </c>
      <c r="H70" s="87">
        <f>+'P05 2025'!C7</f>
        <v>0</v>
      </c>
      <c r="I70" s="87">
        <f>+I71</f>
        <v>0</v>
      </c>
      <c r="J70" s="314">
        <f ca="1">SUMIF(T$3:$AL54,"ok",T70:AL70)</f>
        <v>0</v>
      </c>
      <c r="K70" s="514" t="str">
        <f ca="1">IFERROR(J70/I70,"0,00%")</f>
        <v>0,00%</v>
      </c>
      <c r="L70" s="87">
        <f>+L71</f>
        <v>0</v>
      </c>
      <c r="M70" s="585">
        <f t="shared" si="14"/>
        <v>0</v>
      </c>
      <c r="N70" s="87">
        <f>+I70-L70</f>
        <v>0</v>
      </c>
      <c r="O70" s="514">
        <f>+IFERROR(N70/I70,0)</f>
        <v>0</v>
      </c>
      <c r="P70" s="541">
        <f>+P71</f>
        <v>8187173.3282000003</v>
      </c>
      <c r="Q70" s="314">
        <f ca="1">SUMIF(S$3:$AL14,"SI",S70:AL70)</f>
        <v>8187173.2240000004</v>
      </c>
      <c r="R70" s="571">
        <f t="shared" ca="1" si="17"/>
        <v>0.99999998727277462</v>
      </c>
      <c r="S70" s="571"/>
      <c r="T70" s="572">
        <f>+'P05 2024'!H8</f>
        <v>8187173.2240000004</v>
      </c>
      <c r="U70" s="573">
        <v>0</v>
      </c>
      <c r="V70" s="87">
        <v>0</v>
      </c>
      <c r="W70" s="87">
        <v>0</v>
      </c>
      <c r="X70" s="529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59"/>
      <c r="AN70" s="1048"/>
    </row>
    <row r="71" spans="1:41" s="36" customFormat="1" ht="15" customHeight="1" x14ac:dyDescent="0.2">
      <c r="A71" s="68"/>
      <c r="B71" s="1330"/>
      <c r="C71" s="1331"/>
      <c r="D71" s="1310">
        <v>7</v>
      </c>
      <c r="E71" s="1332"/>
      <c r="F71" s="1333"/>
      <c r="G71" s="1334" t="s">
        <v>127</v>
      </c>
      <c r="H71" s="1314">
        <f>+H70</f>
        <v>0</v>
      </c>
      <c r="I71" s="1314">
        <v>0</v>
      </c>
      <c r="J71" s="1312">
        <f ca="1">SUMIF(T$3:$T72,"ok",T71:AL71)</f>
        <v>0</v>
      </c>
      <c r="K71" s="1335" t="str">
        <f t="shared" ca="1" si="15"/>
        <v>0,00%</v>
      </c>
      <c r="L71" s="1314">
        <f>+'P05 2025'!EM8</f>
        <v>0</v>
      </c>
      <c r="M71" s="1335">
        <f t="shared" si="14"/>
        <v>0</v>
      </c>
      <c r="N71" s="1314">
        <f>+I71-L71</f>
        <v>0</v>
      </c>
      <c r="O71" s="1335">
        <f t="shared" si="16"/>
        <v>0</v>
      </c>
      <c r="P71" s="1316">
        <f>+'P05 2024'!CY7</f>
        <v>8187173.3282000003</v>
      </c>
      <c r="Q71" s="1312">
        <f>SUMIF(S$3:$AL3,"SI",S71:AL71)</f>
        <v>8187173.2240000004</v>
      </c>
      <c r="R71" s="1336">
        <f t="shared" si="17"/>
        <v>0.99999998727277462</v>
      </c>
      <c r="S71" s="1336"/>
      <c r="T71" s="1337">
        <f>+'P05 2024'!H8</f>
        <v>8187173.2240000004</v>
      </c>
      <c r="U71" s="1338">
        <v>0</v>
      </c>
      <c r="V71" s="1314">
        <v>0</v>
      </c>
      <c r="W71" s="1314">
        <v>0</v>
      </c>
      <c r="X71" s="1339">
        <v>0</v>
      </c>
      <c r="Y71" s="1321">
        <v>0</v>
      </c>
      <c r="Z71" s="1321">
        <v>0</v>
      </c>
      <c r="AA71" s="1321">
        <v>0</v>
      </c>
      <c r="AB71" s="1321">
        <v>0</v>
      </c>
      <c r="AC71" s="1321">
        <v>0</v>
      </c>
      <c r="AD71" s="1321">
        <v>0</v>
      </c>
      <c r="AE71" s="1321">
        <v>0</v>
      </c>
      <c r="AF71" s="1321">
        <v>0</v>
      </c>
      <c r="AG71" s="1322">
        <v>0</v>
      </c>
      <c r="AH71" s="1322">
        <v>0</v>
      </c>
      <c r="AI71" s="1036">
        <v>0</v>
      </c>
      <c r="AJ71" s="1036">
        <v>0</v>
      </c>
      <c r="AK71" s="1036">
        <v>0</v>
      </c>
      <c r="AL71" s="1036">
        <v>0</v>
      </c>
      <c r="AM71" s="303"/>
      <c r="AN71" s="1048"/>
    </row>
    <row r="72" spans="1:41" ht="15" customHeight="1" x14ac:dyDescent="0.25">
      <c r="B72" s="574">
        <v>35</v>
      </c>
      <c r="C72" s="575"/>
      <c r="D72" s="322"/>
      <c r="E72" s="577"/>
      <c r="F72" s="576">
        <v>35</v>
      </c>
      <c r="G72" s="503" t="s">
        <v>124</v>
      </c>
      <c r="H72" s="314">
        <v>0</v>
      </c>
      <c r="I72" s="314">
        <v>0</v>
      </c>
      <c r="J72" s="314">
        <f ca="1">SUMIF(T$3:$AL56,"ok",T72:AL72)</f>
        <v>0</v>
      </c>
      <c r="K72" s="580" t="str">
        <f ca="1">IFERROR(J72/I72,"0,0%")</f>
        <v>0,0%</v>
      </c>
      <c r="L72" s="314">
        <v>0</v>
      </c>
      <c r="M72" s="580">
        <f t="shared" si="14"/>
        <v>0</v>
      </c>
      <c r="N72" s="314">
        <v>0</v>
      </c>
      <c r="O72" s="580">
        <f t="shared" si="16"/>
        <v>0</v>
      </c>
      <c r="P72" s="542">
        <v>0</v>
      </c>
      <c r="Q72" s="314">
        <f ca="1">SUMIF(V$3:$AL60,"SI",V72:AL72)</f>
        <v>0</v>
      </c>
      <c r="R72" s="580" t="str">
        <f ca="1">IFERROR(Q72/P72,"0,0%")</f>
        <v>0,0%</v>
      </c>
      <c r="S72" s="580"/>
      <c r="T72" s="586">
        <v>0</v>
      </c>
      <c r="U72" s="586">
        <v>0</v>
      </c>
      <c r="V72" s="314">
        <v>0</v>
      </c>
      <c r="W72" s="314">
        <v>0</v>
      </c>
      <c r="X72" s="547">
        <v>0</v>
      </c>
      <c r="Y72" s="547"/>
      <c r="Z72" s="2">
        <v>0</v>
      </c>
      <c r="AA72" s="2"/>
      <c r="AB72" s="2">
        <v>0</v>
      </c>
      <c r="AC72" s="2"/>
      <c r="AD72" s="2">
        <v>0</v>
      </c>
      <c r="AE72" s="2"/>
      <c r="AF72" s="2">
        <v>0</v>
      </c>
      <c r="AG72" s="2">
        <v>0</v>
      </c>
      <c r="AH72" s="2">
        <v>0</v>
      </c>
      <c r="AI72" s="2"/>
      <c r="AJ72" s="8"/>
      <c r="AK72" s="8"/>
      <c r="AL72" s="8"/>
      <c r="AM72" s="1"/>
      <c r="AN72" s="1049"/>
    </row>
    <row r="73" spans="1:41" ht="15" x14ac:dyDescent="0.25">
      <c r="K73" s="121"/>
      <c r="M73" s="102"/>
      <c r="O73" s="102"/>
      <c r="P73" s="234"/>
      <c r="R73" s="119"/>
      <c r="S73" s="119"/>
      <c r="T73" s="119"/>
      <c r="U73" s="119"/>
      <c r="V73" s="119"/>
      <c r="W73" s="119"/>
      <c r="AD73" s="1"/>
      <c r="AE73" s="1"/>
      <c r="AM73" s="1"/>
      <c r="AN73" s="1049"/>
    </row>
    <row r="74" spans="1:41" ht="15" x14ac:dyDescent="0.25">
      <c r="K74" s="121"/>
      <c r="M74" s="102"/>
      <c r="O74" s="102"/>
      <c r="P74" s="234"/>
      <c r="R74" s="119"/>
      <c r="S74" s="119"/>
      <c r="T74" s="119"/>
      <c r="U74" s="119"/>
      <c r="V74" s="119"/>
      <c r="W74" s="119"/>
      <c r="AM74" s="1"/>
      <c r="AN74" s="1049"/>
    </row>
    <row r="75" spans="1:41" hidden="1" x14ac:dyDescent="0.2">
      <c r="P75" s="235"/>
      <c r="R75" s="161"/>
      <c r="S75" s="161"/>
      <c r="T75" s="161"/>
      <c r="U75" s="161"/>
      <c r="V75" s="161"/>
      <c r="W75" s="161"/>
      <c r="AN75" s="604"/>
    </row>
    <row r="76" spans="1:41" x14ac:dyDescent="0.2">
      <c r="K76" s="3"/>
      <c r="M76" s="3"/>
    </row>
    <row r="77" spans="1:41" x14ac:dyDescent="0.2">
      <c r="K77" s="3"/>
      <c r="M77" s="3"/>
    </row>
    <row r="78" spans="1:41" x14ac:dyDescent="0.2">
      <c r="K78" s="3"/>
      <c r="M78" s="3"/>
    </row>
    <row r="79" spans="1:41" x14ac:dyDescent="0.2">
      <c r="K79" s="3"/>
      <c r="M79" s="3"/>
    </row>
    <row r="80" spans="1:41" x14ac:dyDescent="0.2">
      <c r="K80" s="3"/>
      <c r="M80" s="3"/>
    </row>
    <row r="81" spans="11:13" x14ac:dyDescent="0.2">
      <c r="K81" s="3"/>
      <c r="M81" s="3"/>
    </row>
    <row r="82" spans="11:13" x14ac:dyDescent="0.2">
      <c r="K82" s="3"/>
      <c r="M82" s="3"/>
    </row>
    <row r="83" spans="11:13" x14ac:dyDescent="0.2">
      <c r="K83" s="3"/>
      <c r="M83" s="3"/>
    </row>
  </sheetData>
  <mergeCells count="24">
    <mergeCell ref="AG6:AH6"/>
    <mergeCell ref="AE6:AF6"/>
    <mergeCell ref="S7:T7"/>
    <mergeCell ref="S6:T6"/>
    <mergeCell ref="S2:T2"/>
    <mergeCell ref="S5:T5"/>
    <mergeCell ref="W7:X7"/>
    <mergeCell ref="W6:X6"/>
    <mergeCell ref="W5:X5"/>
    <mergeCell ref="AC6:AD6"/>
    <mergeCell ref="W2:X2"/>
    <mergeCell ref="U7:V7"/>
    <mergeCell ref="U6:V6"/>
    <mergeCell ref="U5:V5"/>
    <mergeCell ref="U2:V2"/>
    <mergeCell ref="AA7:AB7"/>
    <mergeCell ref="AA6:AB6"/>
    <mergeCell ref="Y7:Z7"/>
    <mergeCell ref="Y6:Z6"/>
    <mergeCell ref="B2:R2"/>
    <mergeCell ref="B5:R5"/>
    <mergeCell ref="H6:O6"/>
    <mergeCell ref="B6:G8"/>
    <mergeCell ref="P6:R6"/>
  </mergeCells>
  <phoneticPr fontId="17" type="noConversion"/>
  <conditionalFormatting sqref="H59:L72">
    <cfRule type="cellIs" dxfId="11" priority="45" operator="equal">
      <formula>"·¡$S$$P$16"</formula>
    </cfRule>
  </conditionalFormatting>
  <conditionalFormatting sqref="H9:V9 Y9:AL10 X9:X11 W9:W72 H10:M11 O10:V11 H12:L33 V12:V71 X32 AG32:AI33 X34:X35 AG36:AI57 X58 X70:AL70 Q72:V72 X72:AI72 H73:W1048576">
    <cfRule type="cellIs" dxfId="10" priority="6" operator="equal">
      <formula>"·¡$S$$P$16"</formula>
    </cfRule>
  </conditionalFormatting>
  <conditionalFormatting sqref="J49:M57">
    <cfRule type="cellIs" dxfId="9" priority="26" operator="equal">
      <formula>"·¡$S$$P$16"</formula>
    </cfRule>
  </conditionalFormatting>
  <conditionalFormatting sqref="J36:N48 N49:N72">
    <cfRule type="cellIs" dxfId="8" priority="3" operator="equal">
      <formula>"·¡$S$$P$16"</formula>
    </cfRule>
  </conditionalFormatting>
  <conditionalFormatting sqref="M11:M33">
    <cfRule type="cellIs" dxfId="7" priority="5" operator="equal">
      <formula>"·¡$S$$P$16"</formula>
    </cfRule>
  </conditionalFormatting>
  <conditionalFormatting sqref="M13:O28 M29:N31 P32:U32 H34:M34 H35:N35 H58:M58 Q58:U71 M59:N60 M61:O71 M70:M72 O70:O72">
    <cfRule type="cellIs" dxfId="6" priority="434" operator="equal">
      <formula>"·¡$S$$P$16"</formula>
    </cfRule>
  </conditionalFormatting>
  <conditionalFormatting sqref="N10:N34">
    <cfRule type="cellIs" dxfId="5" priority="1" operator="equal">
      <formula>"·¡$S$$P$16"</formula>
    </cfRule>
  </conditionalFormatting>
  <conditionalFormatting sqref="O12:O60">
    <cfRule type="cellIs" dxfId="4" priority="4" operator="equal">
      <formula>"·¡$S$$P$16"</formula>
    </cfRule>
  </conditionalFormatting>
  <conditionalFormatting sqref="P56:P72">
    <cfRule type="cellIs" dxfId="3" priority="16" operator="equal">
      <formula>"·¡$S$$P$16"</formula>
    </cfRule>
  </conditionalFormatting>
  <conditionalFormatting sqref="P33:Q35">
    <cfRule type="cellIs" dxfId="2" priority="11" operator="equal">
      <formula>"·¡$S$$P$16"</formula>
    </cfRule>
  </conditionalFormatting>
  <conditionalFormatting sqref="Q12:U31">
    <cfRule type="cellIs" dxfId="1" priority="49" operator="equal">
      <formula>"·¡$S$$P$16"</formula>
    </cfRule>
  </conditionalFormatting>
  <conditionalFormatting sqref="R33:U57">
    <cfRule type="cellIs" dxfId="0" priority="28" operator="equal">
      <formula>"·¡$S$$P$16"</formula>
    </cfRule>
  </conditionalFormatting>
  <printOptions horizontalCentered="1"/>
  <pageMargins left="1" right="1" top="1" bottom="1" header="0.5" footer="0.5"/>
  <pageSetup paperSize="5" scale="47" fitToHeight="0" orientation="landscape" r:id="rId1"/>
  <ignoredErrors>
    <ignoredError sqref="R10 K10 J71 L34 R57 M57 M53 K35 R38:R49 R34:R35 T32:T33 T36:T37 K34 T34:T35 T50:T52 K38:M46 T38:T49 M35 T54:T56 K53:L53 T53 T58:T71 K57:L57 P57:Q57 T57 M34:N34 V32:V33 V36:V37 V34:V35 V50:V52 V38:V49 V54:V56 V53 V58:V71 V57 X32:X33 X36:X37 X34:X35 X50:X52 X38:X49 X54:X56 X53 X58:X70 X57 Z32:Z33 Z36:Z37 Z34:Z35 Z50:Z52 Z38:Z49 Z54:Z56 Z53 Z58:Z71 Z57 AB32:AB33 AB36:AB37 AB34:AB35 AB50:AB52 AB38:AB49 AB54:AB56 AB53 AB58:AB71 AB57 AD32:AD33 AD36:AD37 AD34:AD35 AD50:AD52 AD38:AD49 AD54:AD56 AD53 AD58:AD71 AD57 AH32:AH33 AH36:AH37 AH34:AH35 AH50:AH52 AH38:AH49 AH54:AH56 AH53 AH58:AH71 AH57 AI32:AI33 AI36:AI37 AI34:AI35 AI50:AI52 AI38:AI49 AI54:AI56 AI53 AI58:AI71 AI57 AJ32:AJ33 AJ36:AJ37 AJ34:AJ35 AJ50:AJ52 AJ38:AJ49 AJ54:AJ56 AJ53 AJ58:AJ71 AJ57 AK32:AK33 AK36:AK37 AK34:AK35 AK50:AK52 AK38:AK49 AK54:AK56 AK53 AK58:AK71 AK57 AL32:AL33 AL36:AL37 AL34:AL35 AL50:AL52 AL38:AL49 AL54:AL56 AL53 AL58:AL71 AL57 K58:R58 O53 K54:M56 K50:M52 K36:M37 K32:P32 K71 R71 K61:P69 R61:R70 R53 K60:O60 K59:O59 R59 R60 K33 R32 M33:O33 M71:O71 P34 O35:Q35 K49:M49 K47:M47 O47:Q47 O38:Q46 O36:R37 K48:M48 O48:Q48 K70:O70 O57 O54:R56 O50:R52 O49:Q49" formula="1"/>
    <ignoredError sqref="D58 D34:D37 D13:D14 D40:D44 F16:F27 F53 D49" numberStoredAsText="1"/>
    <ignoredError sqref="L35 P11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5DFDD"/>
  </sheetPr>
  <dimension ref="A1:EU11"/>
  <sheetViews>
    <sheetView showGridLines="0" topLeftCell="CA1" workbookViewId="0">
      <selection activeCell="CO1" sqref="CO1:CO1048576"/>
    </sheetView>
  </sheetViews>
  <sheetFormatPr baseColWidth="10" defaultColWidth="11.42578125" defaultRowHeight="12" x14ac:dyDescent="0.2"/>
  <cols>
    <col min="1" max="1" width="21.7109375" style="204" hidden="1" customWidth="1"/>
    <col min="2" max="2" width="40.7109375" style="204" hidden="1" customWidth="1"/>
    <col min="3" max="3" width="12.140625" style="204" hidden="1" customWidth="1"/>
    <col min="4" max="5" width="11.28515625" style="204" hidden="1" customWidth="1"/>
    <col min="6" max="6" width="12" style="204" hidden="1" customWidth="1"/>
    <col min="7" max="7" width="10.7109375" style="204" hidden="1" customWidth="1"/>
    <col min="8" max="8" width="9.42578125" style="204" hidden="1" customWidth="1"/>
    <col min="9" max="9" width="0" style="204" hidden="1" customWidth="1"/>
    <col min="10" max="13" width="11.42578125" style="204" hidden="1" customWidth="1"/>
    <col min="14" max="14" width="11.7109375" style="204" hidden="1" customWidth="1"/>
    <col min="15" max="15" width="6.28515625" style="204" hidden="1" customWidth="1"/>
    <col min="16" max="16" width="11.42578125" style="204" hidden="1" customWidth="1"/>
    <col min="17" max="17" width="34.42578125" style="213" hidden="1" customWidth="1"/>
    <col min="18" max="20" width="11.42578125" style="204" hidden="1" customWidth="1"/>
    <col min="21" max="23" width="11.7109375" style="204" hidden="1" customWidth="1"/>
    <col min="24" max="26" width="11.42578125" style="204" hidden="1" customWidth="1"/>
    <col min="27" max="27" width="11.7109375" style="204" hidden="1" customWidth="1"/>
    <col min="28" max="30" width="11.5703125" style="204" hidden="1" customWidth="1"/>
    <col min="31" max="36" width="11.42578125" style="204" hidden="1" customWidth="1"/>
    <col min="37" max="39" width="11.5703125" style="204" hidden="1" customWidth="1"/>
    <col min="40" max="41" width="11.42578125" style="204" hidden="1" customWidth="1"/>
    <col min="42" max="42" width="18.28515625" style="204" hidden="1" customWidth="1"/>
    <col min="43" max="43" width="11.5703125" style="204" hidden="1" customWidth="1"/>
    <col min="44" max="45" width="11.42578125" style="204" hidden="1" customWidth="1"/>
    <col min="46" max="46" width="28.140625" style="204" hidden="1" customWidth="1"/>
    <col min="47" max="49" width="11.42578125" style="204" hidden="1" customWidth="1"/>
    <col min="50" max="52" width="11.5703125" style="204" hidden="1" customWidth="1"/>
    <col min="53" max="53" width="11.42578125" style="204" hidden="1" customWidth="1"/>
    <col min="54" max="54" width="7.42578125" style="693" hidden="1" customWidth="1"/>
    <col min="55" max="55" width="32" style="693" hidden="1" customWidth="1"/>
    <col min="56" max="56" width="11.5703125" style="693" hidden="1" customWidth="1"/>
    <col min="57" max="57" width="11.42578125" style="204" hidden="1" customWidth="1"/>
    <col min="58" max="62" width="11.42578125" style="693" hidden="1" customWidth="1"/>
    <col min="63" max="65" width="11.5703125" style="693" hidden="1" customWidth="1"/>
    <col min="66" max="71" width="11.42578125" style="204" hidden="1" customWidth="1"/>
    <col min="72" max="72" width="35.7109375" style="213" hidden="1" customWidth="1"/>
    <col min="73" max="75" width="11.42578125" style="204" hidden="1" customWidth="1"/>
    <col min="76" max="78" width="11.5703125" style="204" hidden="1" customWidth="1"/>
    <col min="79" max="79" width="11.42578125" style="204" customWidth="1"/>
    <col min="80" max="84" width="11.42578125" style="204" hidden="1" customWidth="1"/>
    <col min="85" max="85" width="13" style="204" hidden="1" customWidth="1"/>
    <col min="86" max="86" width="21" style="204" hidden="1" customWidth="1"/>
    <col min="87" max="89" width="11.42578125" style="204" hidden="1" customWidth="1"/>
    <col min="90" max="92" width="11.5703125" style="204" hidden="1" customWidth="1"/>
    <col min="93" max="93" width="11.42578125" style="204" hidden="1" customWidth="1"/>
    <col min="94" max="98" width="11.42578125" style="204" customWidth="1"/>
    <col min="99" max="99" width="20.28515625" style="204" customWidth="1"/>
    <col min="100" max="102" width="11.42578125" style="204" hidden="1" customWidth="1"/>
    <col min="103" max="106" width="11.42578125" style="204" customWidth="1"/>
    <col min="107" max="111" width="11.42578125" style="204" hidden="1" customWidth="1"/>
    <col min="112" max="112" width="28.7109375" style="204" hidden="1" customWidth="1"/>
    <col min="113" max="120" width="11.42578125" style="204" hidden="1" customWidth="1"/>
    <col min="121" max="121" width="8.140625" style="204" hidden="1" customWidth="1"/>
    <col min="122" max="122" width="40.140625" style="204" hidden="1" customWidth="1"/>
    <col min="123" max="123" width="12.85546875" style="204" hidden="1" customWidth="1"/>
    <col min="124" max="125" width="11.7109375" style="204" hidden="1" customWidth="1"/>
    <col min="126" max="130" width="11.42578125" style="204" hidden="1" customWidth="1"/>
    <col min="131" max="131" width="31.140625" style="224" hidden="1" customWidth="1"/>
    <col min="132" max="134" width="11.42578125" style="204" hidden="1" customWidth="1"/>
    <col min="135" max="137" width="11.42578125" style="217" hidden="1" customWidth="1"/>
    <col min="138" max="142" width="11.42578125" style="204" hidden="1" customWidth="1"/>
    <col min="143" max="143" width="11.42578125" style="204" customWidth="1"/>
    <col min="144" max="144" width="11.42578125" style="204" hidden="1" customWidth="1"/>
    <col min="145" max="145" width="22.7109375" style="204" hidden="1" customWidth="1"/>
    <col min="146" max="151" width="11.42578125" style="204" hidden="1" customWidth="1"/>
    <col min="152" max="153" width="11.42578125" style="204" customWidth="1"/>
    <col min="154" max="16384" width="11.42578125" style="204"/>
  </cols>
  <sheetData>
    <row r="1" spans="1:151" x14ac:dyDescent="0.2">
      <c r="A1" s="1287" t="s">
        <v>894</v>
      </c>
      <c r="B1" s="1287"/>
      <c r="C1" s="1287"/>
      <c r="D1" s="1287"/>
      <c r="E1" s="1287"/>
      <c r="F1" s="204">
        <v>1000</v>
      </c>
      <c r="G1" s="204">
        <v>1.042</v>
      </c>
      <c r="J1" s="1297" t="s">
        <v>901</v>
      </c>
      <c r="K1" s="1297"/>
      <c r="L1" s="1297"/>
      <c r="M1" s="1297"/>
      <c r="N1" s="1297"/>
      <c r="P1" s="1287" t="s">
        <v>900</v>
      </c>
      <c r="Q1" s="1287"/>
      <c r="R1" s="1287"/>
      <c r="S1" s="1287"/>
      <c r="T1" s="1287"/>
      <c r="U1" s="1287"/>
      <c r="V1" s="204">
        <v>1000</v>
      </c>
      <c r="W1" s="204">
        <v>1.042</v>
      </c>
      <c r="Y1" s="1287" t="s">
        <v>1060</v>
      </c>
      <c r="Z1" s="1287"/>
      <c r="AA1" s="1287"/>
      <c r="AB1" s="1287"/>
      <c r="AC1" s="204">
        <v>1000</v>
      </c>
      <c r="AD1" s="204">
        <v>1.042</v>
      </c>
      <c r="AF1" s="1287" t="s">
        <v>1064</v>
      </c>
      <c r="AG1" s="1287"/>
      <c r="AH1" s="1287"/>
      <c r="AI1" s="1287"/>
      <c r="AJ1" s="1287"/>
      <c r="AK1" s="1287"/>
      <c r="AL1" s="204">
        <v>1000</v>
      </c>
      <c r="AM1" s="204">
        <v>1.042</v>
      </c>
      <c r="AO1" s="1287" t="s">
        <v>7</v>
      </c>
      <c r="AP1" s="1287"/>
      <c r="AQ1" s="1287"/>
      <c r="AS1" s="1287" t="s">
        <v>921</v>
      </c>
      <c r="AT1" s="1287"/>
      <c r="AU1" s="1287"/>
      <c r="AV1" s="1287"/>
      <c r="AW1" s="1287"/>
      <c r="AX1" s="204">
        <v>1000</v>
      </c>
      <c r="AY1" s="204">
        <v>1.042</v>
      </c>
      <c r="BB1" s="1294" t="s">
        <v>8</v>
      </c>
      <c r="BC1" s="1295"/>
      <c r="BD1" s="1296"/>
      <c r="BF1" s="1294" t="s">
        <v>835</v>
      </c>
      <c r="BG1" s="1295"/>
      <c r="BH1" s="1295"/>
      <c r="BI1" s="1295"/>
      <c r="BJ1" s="1295"/>
      <c r="BK1" s="1295"/>
      <c r="BL1" s="715">
        <v>1000</v>
      </c>
      <c r="BM1" s="716">
        <v>1.042</v>
      </c>
      <c r="BO1" s="1287" t="s">
        <v>9</v>
      </c>
      <c r="BP1" s="1287"/>
      <c r="BQ1" s="1287"/>
      <c r="BS1" s="1287" t="s">
        <v>845</v>
      </c>
      <c r="BT1" s="1287"/>
      <c r="BU1" s="1287"/>
      <c r="BV1" s="1287"/>
      <c r="BW1" s="1287"/>
      <c r="BX1" s="204">
        <v>1000</v>
      </c>
      <c r="BY1" s="204">
        <v>1.042</v>
      </c>
      <c r="BZ1" s="358"/>
      <c r="CC1" s="1287" t="s">
        <v>79</v>
      </c>
      <c r="CD1" s="1287"/>
      <c r="CE1" s="1287"/>
      <c r="CG1" s="1287" t="s">
        <v>738</v>
      </c>
      <c r="CH1" s="1287"/>
      <c r="CI1" s="1287"/>
      <c r="CJ1" s="1287"/>
      <c r="CK1" s="1287"/>
      <c r="CL1" s="1287"/>
      <c r="CM1" s="204">
        <v>1000</v>
      </c>
      <c r="CN1" s="204">
        <v>1.042</v>
      </c>
      <c r="CP1" s="1287" t="s">
        <v>10</v>
      </c>
      <c r="CQ1" s="1287"/>
      <c r="CR1" s="1287"/>
      <c r="CT1" s="1287" t="s">
        <v>739</v>
      </c>
      <c r="CU1" s="1287"/>
      <c r="CV1" s="1287"/>
      <c r="CW1" s="1287"/>
      <c r="CX1" s="1287"/>
      <c r="CY1" s="204">
        <v>1000</v>
      </c>
      <c r="CZ1" s="204">
        <v>1.042</v>
      </c>
      <c r="DC1" s="1287" t="s">
        <v>11</v>
      </c>
      <c r="DD1" s="1287"/>
      <c r="DE1" s="1287"/>
      <c r="DG1" s="1287" t="s">
        <v>857</v>
      </c>
      <c r="DH1" s="1287"/>
      <c r="DI1" s="1287"/>
      <c r="DJ1" s="1287"/>
      <c r="DK1" s="1287"/>
      <c r="DL1" s="1287"/>
      <c r="DM1" s="204">
        <v>1000</v>
      </c>
      <c r="DN1" s="204">
        <v>1</v>
      </c>
      <c r="DQ1" s="1286" t="s">
        <v>973</v>
      </c>
      <c r="DR1" s="1286"/>
      <c r="DW1" s="204">
        <v>1000</v>
      </c>
      <c r="DX1" s="204">
        <v>1</v>
      </c>
      <c r="DZ1" s="1287" t="s">
        <v>758</v>
      </c>
      <c r="EA1" s="1287"/>
      <c r="EB1" s="1287"/>
      <c r="EC1" s="1287"/>
      <c r="ED1" s="1287"/>
      <c r="EE1" s="217">
        <v>1000</v>
      </c>
      <c r="EF1" s="217">
        <v>1</v>
      </c>
      <c r="EJ1" s="204" t="s">
        <v>14</v>
      </c>
      <c r="EK1" s="204">
        <v>1000</v>
      </c>
      <c r="EL1" s="204">
        <v>1</v>
      </c>
      <c r="EN1" s="1287" t="s">
        <v>991</v>
      </c>
      <c r="EO1" s="1287"/>
      <c r="EP1" s="1287"/>
      <c r="EQ1" s="1287"/>
      <c r="ER1" s="204">
        <v>1000</v>
      </c>
      <c r="ES1" s="204">
        <v>1</v>
      </c>
    </row>
    <row r="2" spans="1:151" s="363" customFormat="1" ht="24" customHeight="1" x14ac:dyDescent="0.2">
      <c r="A2" s="362" t="s">
        <v>407</v>
      </c>
      <c r="B2" s="362" t="s">
        <v>432</v>
      </c>
      <c r="C2" s="362" t="s">
        <v>444</v>
      </c>
      <c r="D2" s="362" t="s">
        <v>463</v>
      </c>
      <c r="E2" s="362" t="s">
        <v>410</v>
      </c>
      <c r="F2" s="362" t="s">
        <v>444</v>
      </c>
      <c r="G2" s="362" t="s">
        <v>463</v>
      </c>
      <c r="H2" s="362" t="s">
        <v>410</v>
      </c>
      <c r="J2" s="362" t="s">
        <v>407</v>
      </c>
      <c r="K2" s="362" t="s">
        <v>432</v>
      </c>
      <c r="L2" s="362" t="s">
        <v>408</v>
      </c>
      <c r="M2" s="362" t="s">
        <v>502</v>
      </c>
      <c r="N2" s="362" t="s">
        <v>410</v>
      </c>
      <c r="P2" s="362" t="s">
        <v>407</v>
      </c>
      <c r="Q2" s="362" t="s">
        <v>432</v>
      </c>
      <c r="R2" s="362" t="s">
        <v>444</v>
      </c>
      <c r="S2" s="362" t="s">
        <v>463</v>
      </c>
      <c r="T2" s="362" t="s">
        <v>410</v>
      </c>
      <c r="U2" s="362" t="s">
        <v>914</v>
      </c>
      <c r="V2" s="362" t="s">
        <v>920</v>
      </c>
      <c r="W2" s="362" t="s">
        <v>919</v>
      </c>
      <c r="Y2" s="362" t="s">
        <v>407</v>
      </c>
      <c r="Z2" s="362" t="s">
        <v>432</v>
      </c>
      <c r="AA2" s="362" t="s">
        <v>444</v>
      </c>
      <c r="AB2" s="362" t="s">
        <v>463</v>
      </c>
      <c r="AC2" s="362" t="s">
        <v>410</v>
      </c>
      <c r="AD2" s="362" t="s">
        <v>919</v>
      </c>
      <c r="AF2" s="362" t="s">
        <v>407</v>
      </c>
      <c r="AG2" s="362" t="s">
        <v>432</v>
      </c>
      <c r="AH2" s="362" t="s">
        <v>444</v>
      </c>
      <c r="AI2" s="362" t="s">
        <v>463</v>
      </c>
      <c r="AJ2" s="362" t="s">
        <v>410</v>
      </c>
      <c r="AK2" s="362" t="s">
        <v>914</v>
      </c>
      <c r="AL2" s="362" t="s">
        <v>920</v>
      </c>
      <c r="AM2" s="362" t="s">
        <v>919</v>
      </c>
      <c r="AO2" s="362" t="s">
        <v>407</v>
      </c>
      <c r="AP2" s="362" t="s">
        <v>432</v>
      </c>
      <c r="AQ2" s="362" t="s">
        <v>410</v>
      </c>
      <c r="AS2" s="362" t="s">
        <v>407</v>
      </c>
      <c r="AT2" s="362" t="s">
        <v>432</v>
      </c>
      <c r="AU2" s="362" t="s">
        <v>444</v>
      </c>
      <c r="AV2" s="362" t="s">
        <v>463</v>
      </c>
      <c r="AW2" s="362" t="s">
        <v>410</v>
      </c>
      <c r="AX2" s="362" t="s">
        <v>914</v>
      </c>
      <c r="AY2" s="362" t="s">
        <v>920</v>
      </c>
      <c r="AZ2" s="362" t="s">
        <v>919</v>
      </c>
      <c r="BB2" s="694" t="s">
        <v>407</v>
      </c>
      <c r="BC2" s="695" t="s">
        <v>432</v>
      </c>
      <c r="BD2" s="696" t="s">
        <v>410</v>
      </c>
      <c r="BF2" s="694" t="s">
        <v>407</v>
      </c>
      <c r="BG2" s="695" t="s">
        <v>432</v>
      </c>
      <c r="BH2" s="695" t="s">
        <v>444</v>
      </c>
      <c r="BI2" s="695" t="s">
        <v>463</v>
      </c>
      <c r="BJ2" s="695" t="s">
        <v>410</v>
      </c>
      <c r="BK2" s="695" t="s">
        <v>914</v>
      </c>
      <c r="BL2" s="695" t="s">
        <v>920</v>
      </c>
      <c r="BM2" s="696" t="s">
        <v>919</v>
      </c>
      <c r="BO2" s="1293" t="s">
        <v>932</v>
      </c>
      <c r="BP2" s="1293"/>
      <c r="BQ2" s="1293"/>
      <c r="BS2" s="362" t="s">
        <v>407</v>
      </c>
      <c r="BT2" s="362" t="s">
        <v>432</v>
      </c>
      <c r="BU2" s="362" t="s">
        <v>444</v>
      </c>
      <c r="BV2" s="362" t="s">
        <v>463</v>
      </c>
      <c r="BW2" s="362" t="s">
        <v>410</v>
      </c>
      <c r="BX2" s="362" t="s">
        <v>914</v>
      </c>
      <c r="BY2" s="362" t="s">
        <v>920</v>
      </c>
      <c r="BZ2" s="362" t="s">
        <v>919</v>
      </c>
      <c r="CC2" s="1293" t="s">
        <v>932</v>
      </c>
      <c r="CD2" s="1293"/>
      <c r="CE2" s="1293"/>
      <c r="CG2" s="362" t="s">
        <v>407</v>
      </c>
      <c r="CH2" s="362" t="s">
        <v>432</v>
      </c>
      <c r="CI2" s="362" t="s">
        <v>444</v>
      </c>
      <c r="CJ2" s="362" t="s">
        <v>463</v>
      </c>
      <c r="CK2" s="362" t="s">
        <v>410</v>
      </c>
      <c r="CL2" s="362" t="s">
        <v>914</v>
      </c>
      <c r="CM2" s="362" t="s">
        <v>920</v>
      </c>
      <c r="CN2" s="362" t="s">
        <v>919</v>
      </c>
      <c r="CP2" s="1293" t="s">
        <v>932</v>
      </c>
      <c r="CQ2" s="1293"/>
      <c r="CR2" s="1293"/>
      <c r="CT2" s="362" t="s">
        <v>407</v>
      </c>
      <c r="CU2" s="362" t="s">
        <v>432</v>
      </c>
      <c r="CV2" s="362" t="s">
        <v>444</v>
      </c>
      <c r="CW2" s="362" t="s">
        <v>463</v>
      </c>
      <c r="CX2" s="362" t="s">
        <v>410</v>
      </c>
      <c r="CY2" s="362" t="s">
        <v>914</v>
      </c>
      <c r="CZ2" s="362" t="s">
        <v>920</v>
      </c>
      <c r="DA2" s="362" t="s">
        <v>919</v>
      </c>
      <c r="DC2" s="362" t="s">
        <v>407</v>
      </c>
      <c r="DD2" s="362" t="s">
        <v>432</v>
      </c>
      <c r="DE2" s="362" t="s">
        <v>410</v>
      </c>
      <c r="DG2" s="362" t="s">
        <v>407</v>
      </c>
      <c r="DH2" s="362" t="s">
        <v>432</v>
      </c>
      <c r="DI2" s="362" t="s">
        <v>444</v>
      </c>
      <c r="DJ2" s="362" t="s">
        <v>463</v>
      </c>
      <c r="DK2" s="362" t="s">
        <v>410</v>
      </c>
      <c r="DL2" s="362" t="s">
        <v>914</v>
      </c>
      <c r="DM2" s="362" t="s">
        <v>920</v>
      </c>
      <c r="DN2" s="362" t="s">
        <v>919</v>
      </c>
      <c r="DQ2" s="362" t="s">
        <v>407</v>
      </c>
      <c r="DR2" s="362" t="s">
        <v>432</v>
      </c>
      <c r="DS2" s="362" t="s">
        <v>444</v>
      </c>
      <c r="DT2" s="362" t="s">
        <v>463</v>
      </c>
      <c r="DU2" s="362" t="s">
        <v>410</v>
      </c>
      <c r="DV2" s="362" t="s">
        <v>444</v>
      </c>
      <c r="DW2" s="362" t="s">
        <v>463</v>
      </c>
      <c r="DX2" s="362" t="s">
        <v>410</v>
      </c>
      <c r="DZ2" s="362" t="s">
        <v>407</v>
      </c>
      <c r="EA2" s="362" t="s">
        <v>432</v>
      </c>
      <c r="EB2" s="362" t="s">
        <v>444</v>
      </c>
      <c r="EC2" s="362" t="s">
        <v>463</v>
      </c>
      <c r="ED2" s="362" t="s">
        <v>410</v>
      </c>
      <c r="EE2" s="362" t="s">
        <v>914</v>
      </c>
      <c r="EF2" s="362" t="s">
        <v>920</v>
      </c>
      <c r="EG2" s="362" t="s">
        <v>919</v>
      </c>
      <c r="EI2" s="362" t="s">
        <v>407</v>
      </c>
      <c r="EJ2" s="362" t="s">
        <v>432</v>
      </c>
      <c r="EK2" s="362" t="s">
        <v>410</v>
      </c>
      <c r="EL2" s="362" t="s">
        <v>990</v>
      </c>
      <c r="EN2" s="362" t="s">
        <v>407</v>
      </c>
      <c r="EO2" s="362" t="s">
        <v>432</v>
      </c>
      <c r="EP2" s="362" t="s">
        <v>444</v>
      </c>
      <c r="EQ2" s="362" t="s">
        <v>410</v>
      </c>
      <c r="ER2" s="362" t="s">
        <v>463</v>
      </c>
      <c r="ES2" s="362" t="s">
        <v>914</v>
      </c>
      <c r="ET2" s="362" t="s">
        <v>919</v>
      </c>
      <c r="EU2" s="362" t="s">
        <v>920</v>
      </c>
    </row>
    <row r="3" spans="1:151" ht="15" customHeight="1" x14ac:dyDescent="0.2">
      <c r="A3" s="210" t="s">
        <v>852</v>
      </c>
      <c r="B3" s="210" t="s">
        <v>51</v>
      </c>
      <c r="C3" s="211">
        <v>100</v>
      </c>
      <c r="D3" s="211">
        <v>0</v>
      </c>
      <c r="E3" s="211">
        <v>0</v>
      </c>
      <c r="F3" s="218">
        <f t="shared" ref="F3:H8" si="0">+C3/$F$1*$G$1</f>
        <v>0.10420000000000001</v>
      </c>
      <c r="G3" s="216">
        <f t="shared" si="0"/>
        <v>0</v>
      </c>
      <c r="H3" s="216">
        <f t="shared" si="0"/>
        <v>0</v>
      </c>
      <c r="J3" s="219" t="s">
        <v>462</v>
      </c>
      <c r="K3" s="219" t="s">
        <v>241</v>
      </c>
      <c r="L3" s="219" t="s">
        <v>426</v>
      </c>
      <c r="M3" s="219" t="s">
        <v>426</v>
      </c>
      <c r="N3" s="220">
        <v>0</v>
      </c>
      <c r="P3" s="221" t="s">
        <v>852</v>
      </c>
      <c r="Q3" s="200" t="s">
        <v>51</v>
      </c>
      <c r="R3" s="201">
        <v>100</v>
      </c>
      <c r="S3" s="201">
        <v>0</v>
      </c>
      <c r="T3" s="201">
        <v>0</v>
      </c>
      <c r="U3" s="217">
        <f t="shared" ref="U3:W8" si="1">+R3/$V$1*$W$1</f>
        <v>0.10420000000000001</v>
      </c>
      <c r="V3" s="217">
        <f t="shared" si="1"/>
        <v>0</v>
      </c>
      <c r="W3" s="217">
        <f t="shared" si="1"/>
        <v>0</v>
      </c>
      <c r="Y3" s="210" t="s">
        <v>852</v>
      </c>
      <c r="Z3" s="212" t="s">
        <v>51</v>
      </c>
      <c r="AA3" s="211">
        <v>0</v>
      </c>
      <c r="AB3" s="211">
        <v>2184421000</v>
      </c>
      <c r="AC3" s="211">
        <v>2184421000</v>
      </c>
      <c r="AD3" s="217">
        <f>+AC3/$AC$1*$AD$1</f>
        <v>2276166.682</v>
      </c>
      <c r="AF3" s="210" t="s">
        <v>852</v>
      </c>
      <c r="AG3" s="212" t="s">
        <v>51</v>
      </c>
      <c r="AH3" s="211">
        <v>100</v>
      </c>
      <c r="AI3" s="211">
        <v>0</v>
      </c>
      <c r="AJ3" s="211">
        <v>0</v>
      </c>
      <c r="AK3" s="217">
        <f t="shared" ref="AK3:AM8" si="2">+AH3/$AL$1*$AM$1</f>
        <v>0.10420000000000001</v>
      </c>
      <c r="AL3" s="217">
        <f t="shared" si="2"/>
        <v>0</v>
      </c>
      <c r="AM3" s="217">
        <f t="shared" si="2"/>
        <v>0</v>
      </c>
      <c r="AO3" s="210" t="s">
        <v>633</v>
      </c>
      <c r="AP3" s="212" t="s">
        <v>634</v>
      </c>
      <c r="AQ3" s="211">
        <v>0</v>
      </c>
      <c r="AS3" s="210" t="s">
        <v>852</v>
      </c>
      <c r="AT3" s="212" t="s">
        <v>51</v>
      </c>
      <c r="AU3" s="211">
        <v>100</v>
      </c>
      <c r="AV3" s="211">
        <v>0</v>
      </c>
      <c r="AW3" s="211">
        <v>0</v>
      </c>
      <c r="AX3" s="216">
        <f t="shared" ref="AX3:AZ8" si="3">+AU3/$AX$1*$AY$1</f>
        <v>0.10420000000000001</v>
      </c>
      <c r="AY3" s="216">
        <f t="shared" si="3"/>
        <v>0</v>
      </c>
      <c r="AZ3" s="216">
        <f t="shared" si="3"/>
        <v>0</v>
      </c>
      <c r="BB3" s="697" t="s">
        <v>633</v>
      </c>
      <c r="BC3" s="698" t="s">
        <v>634</v>
      </c>
      <c r="BD3" s="699">
        <v>0</v>
      </c>
      <c r="BF3" s="697" t="s">
        <v>852</v>
      </c>
      <c r="BG3" s="706" t="s">
        <v>51</v>
      </c>
      <c r="BH3" s="707">
        <v>100</v>
      </c>
      <c r="BI3" s="707">
        <v>0</v>
      </c>
      <c r="BJ3" s="707">
        <v>0</v>
      </c>
      <c r="BK3" s="708">
        <f>+BH3/$BL$1*$BM$1</f>
        <v>0.10420000000000001</v>
      </c>
      <c r="BL3" s="708">
        <f t="shared" ref="BL3:BM3" si="4">+BI3/$BL$1*$BM$1</f>
        <v>0</v>
      </c>
      <c r="BM3" s="709">
        <f t="shared" si="4"/>
        <v>0</v>
      </c>
      <c r="BS3" s="214" t="s">
        <v>852</v>
      </c>
      <c r="BT3" s="222" t="s">
        <v>51</v>
      </c>
      <c r="BU3" s="215">
        <v>100</v>
      </c>
      <c r="BV3" s="215">
        <v>0</v>
      </c>
      <c r="BW3" s="215">
        <v>0</v>
      </c>
      <c r="BX3" s="215">
        <f>+BU3/$BX$1*$BY$1</f>
        <v>0.10420000000000001</v>
      </c>
      <c r="BY3" s="215">
        <f t="shared" ref="BY3:BZ3" si="5">+BV3/$BX$1*$BY$1</f>
        <v>0</v>
      </c>
      <c r="BZ3" s="215">
        <f t="shared" si="5"/>
        <v>0</v>
      </c>
      <c r="CG3" s="210" t="s">
        <v>852</v>
      </c>
      <c r="CH3" s="212" t="s">
        <v>51</v>
      </c>
      <c r="CI3" s="211">
        <v>100</v>
      </c>
      <c r="CJ3" s="211">
        <v>0</v>
      </c>
      <c r="CK3" s="211">
        <v>0</v>
      </c>
      <c r="CL3" s="216">
        <f>+CI3/$CM$1*$CN$1</f>
        <v>0.10420000000000001</v>
      </c>
      <c r="CM3" s="216">
        <f t="shared" ref="CM3:CN3" si="6">+CJ3/$CM$1*$CN$1</f>
        <v>0</v>
      </c>
      <c r="CN3" s="216">
        <f t="shared" si="6"/>
        <v>0</v>
      </c>
      <c r="CT3" s="210" t="s">
        <v>852</v>
      </c>
      <c r="CU3" s="212" t="s">
        <v>51</v>
      </c>
      <c r="CV3" s="211">
        <v>100</v>
      </c>
      <c r="CW3" s="211">
        <v>0</v>
      </c>
      <c r="CX3" s="211">
        <v>0</v>
      </c>
      <c r="CY3" s="216">
        <f>+CV3/$CY$1*$CZ$1</f>
        <v>0.10420000000000001</v>
      </c>
      <c r="CZ3" s="216">
        <f t="shared" ref="CZ3:DA3" si="7">+CW3/$CY$1*$CZ$1</f>
        <v>0</v>
      </c>
      <c r="DA3" s="216">
        <f t="shared" si="7"/>
        <v>0</v>
      </c>
      <c r="DC3" s="73" t="s">
        <v>462</v>
      </c>
      <c r="DD3" s="73" t="s">
        <v>241</v>
      </c>
      <c r="DE3" s="60">
        <v>0</v>
      </c>
      <c r="DG3" s="359" t="s">
        <v>852</v>
      </c>
      <c r="DH3" s="231" t="s">
        <v>51</v>
      </c>
      <c r="DI3" s="360">
        <v>100</v>
      </c>
      <c r="DJ3" s="360">
        <v>0</v>
      </c>
      <c r="DK3" s="360">
        <v>0</v>
      </c>
      <c r="DL3" s="361">
        <f>+DI3/$DM$1*$DN$1</f>
        <v>0.1</v>
      </c>
      <c r="DM3" s="361">
        <f t="shared" ref="DM3:DN8" si="8">+DJ3/$DM$1*$DN$1</f>
        <v>0</v>
      </c>
      <c r="DN3" s="361">
        <f t="shared" si="8"/>
        <v>0</v>
      </c>
      <c r="DQ3" s="204" t="s">
        <v>852</v>
      </c>
      <c r="DR3" s="204" t="s">
        <v>51</v>
      </c>
      <c r="DS3" s="260">
        <v>100</v>
      </c>
      <c r="DT3" s="260">
        <v>0</v>
      </c>
      <c r="DU3" s="260">
        <v>0</v>
      </c>
      <c r="DV3" s="260">
        <f t="shared" ref="DV3:DV8" si="9">DS3/$DW$1*$DX$1</f>
        <v>0.1</v>
      </c>
      <c r="DW3" s="260">
        <f t="shared" ref="DW3:DX3" si="10">DT3/$DW$1*$DX$1</f>
        <v>0</v>
      </c>
      <c r="DX3" s="260">
        <f t="shared" si="10"/>
        <v>0</v>
      </c>
      <c r="DZ3" s="73" t="s">
        <v>852</v>
      </c>
      <c r="EA3" s="73" t="s">
        <v>51</v>
      </c>
      <c r="EB3" s="60">
        <v>100</v>
      </c>
      <c r="EC3" s="60">
        <v>0</v>
      </c>
      <c r="ED3" s="60">
        <v>0</v>
      </c>
      <c r="EE3" s="217">
        <f>+EB3/$EE$1*$EF$1</f>
        <v>0.1</v>
      </c>
      <c r="EF3" s="217">
        <f t="shared" ref="EF3:EG3" si="11">+EC3/$EE$1*$EF$1</f>
        <v>0</v>
      </c>
      <c r="EG3" s="217">
        <f t="shared" si="11"/>
        <v>0</v>
      </c>
      <c r="EI3" s="73" t="s">
        <v>852</v>
      </c>
      <c r="EJ3" s="73" t="s">
        <v>51</v>
      </c>
      <c r="EK3" s="60">
        <v>-2334421000</v>
      </c>
      <c r="EL3" s="60">
        <f>+EK3/$EK$1*$EL$1</f>
        <v>-2334421</v>
      </c>
      <c r="EN3" s="73" t="s">
        <v>852</v>
      </c>
      <c r="EO3" s="364" t="s">
        <v>51</v>
      </c>
      <c r="EP3" s="60">
        <v>100</v>
      </c>
      <c r="EQ3" s="60">
        <v>0</v>
      </c>
      <c r="ER3" s="60">
        <v>0</v>
      </c>
      <c r="ES3" s="217">
        <f>+EP3/$ER$1*$ES$1</f>
        <v>0.1</v>
      </c>
      <c r="ET3" s="217">
        <f t="shared" ref="ET3:EU3" si="12">+EQ3/$ER$1*$ES$1</f>
        <v>0</v>
      </c>
      <c r="EU3" s="217">
        <f t="shared" si="12"/>
        <v>0</v>
      </c>
    </row>
    <row r="4" spans="1:151" x14ac:dyDescent="0.2">
      <c r="A4" s="210" t="s">
        <v>852</v>
      </c>
      <c r="B4" s="210" t="s">
        <v>51</v>
      </c>
      <c r="C4" s="211">
        <v>0</v>
      </c>
      <c r="D4" s="211">
        <v>150000000</v>
      </c>
      <c r="E4" s="211">
        <v>150000000</v>
      </c>
      <c r="F4" s="216">
        <f t="shared" si="0"/>
        <v>0</v>
      </c>
      <c r="G4" s="216">
        <f t="shared" si="0"/>
        <v>156300</v>
      </c>
      <c r="H4" s="216">
        <f t="shared" si="0"/>
        <v>156300</v>
      </c>
      <c r="P4" s="221" t="s">
        <v>852</v>
      </c>
      <c r="Q4" s="200" t="s">
        <v>51</v>
      </c>
      <c r="R4" s="201">
        <v>0</v>
      </c>
      <c r="S4" s="201">
        <v>150000000</v>
      </c>
      <c r="T4" s="201">
        <v>150000000</v>
      </c>
      <c r="U4" s="217">
        <f t="shared" si="1"/>
        <v>0</v>
      </c>
      <c r="V4" s="217">
        <f t="shared" si="1"/>
        <v>156300</v>
      </c>
      <c r="W4" s="217">
        <f t="shared" si="1"/>
        <v>156300</v>
      </c>
      <c r="Y4" s="210" t="s">
        <v>633</v>
      </c>
      <c r="Z4" s="212" t="s">
        <v>634</v>
      </c>
      <c r="AA4" s="211">
        <v>-15051788000</v>
      </c>
      <c r="AB4" s="211">
        <v>0</v>
      </c>
      <c r="AC4" s="211">
        <v>0</v>
      </c>
      <c r="AD4" s="217">
        <f>+AC4/$AC$1*$AD$1</f>
        <v>0</v>
      </c>
      <c r="AF4" s="210" t="s">
        <v>852</v>
      </c>
      <c r="AG4" s="212" t="s">
        <v>51</v>
      </c>
      <c r="AH4" s="211">
        <v>0</v>
      </c>
      <c r="AI4" s="211">
        <v>2334421000</v>
      </c>
      <c r="AJ4" s="211">
        <v>2334421000</v>
      </c>
      <c r="AK4" s="217">
        <f t="shared" si="2"/>
        <v>0</v>
      </c>
      <c r="AL4" s="217">
        <f t="shared" si="2"/>
        <v>2432466.682</v>
      </c>
      <c r="AM4" s="217">
        <f t="shared" si="2"/>
        <v>2432466.682</v>
      </c>
      <c r="AS4" s="210" t="s">
        <v>852</v>
      </c>
      <c r="AT4" s="212" t="s">
        <v>51</v>
      </c>
      <c r="AU4" s="211">
        <v>0</v>
      </c>
      <c r="AV4" s="211">
        <v>2334421000</v>
      </c>
      <c r="AW4" s="211">
        <v>2334421000</v>
      </c>
      <c r="AX4" s="216">
        <f t="shared" si="3"/>
        <v>0</v>
      </c>
      <c r="AY4" s="216">
        <f t="shared" si="3"/>
        <v>2432466.682</v>
      </c>
      <c r="AZ4" s="216">
        <f t="shared" si="3"/>
        <v>2432466.682</v>
      </c>
      <c r="BB4" s="700" t="s">
        <v>431</v>
      </c>
      <c r="BC4" s="701" t="s">
        <v>127</v>
      </c>
      <c r="BD4" s="702">
        <v>0</v>
      </c>
      <c r="BF4" s="710" t="s">
        <v>852</v>
      </c>
      <c r="BG4" s="711" t="s">
        <v>51</v>
      </c>
      <c r="BH4" s="712">
        <v>0</v>
      </c>
      <c r="BI4" s="712">
        <v>2334421000</v>
      </c>
      <c r="BJ4" s="712">
        <v>2334421000</v>
      </c>
      <c r="BK4" s="713">
        <f t="shared" ref="BK4:BK8" si="13">+BH4/$BL$1*$BM$1</f>
        <v>0</v>
      </c>
      <c r="BL4" s="713">
        <f t="shared" ref="BL4:BL8" si="14">+BI4/$BL$1*$BM$1</f>
        <v>2432466.682</v>
      </c>
      <c r="BM4" s="714">
        <f t="shared" ref="BM4:BM8" si="15">+BJ4/$BL$1*$BM$1</f>
        <v>2432466.682</v>
      </c>
      <c r="BS4" s="214" t="s">
        <v>852</v>
      </c>
      <c r="BT4" s="222" t="s">
        <v>51</v>
      </c>
      <c r="BU4" s="215">
        <v>0</v>
      </c>
      <c r="BV4" s="215">
        <v>2334421000</v>
      </c>
      <c r="BW4" s="215">
        <v>2334421000</v>
      </c>
      <c r="BX4" s="215">
        <f t="shared" ref="BX4:BX8" si="16">+BU4/$BX$1*$BY$1</f>
        <v>0</v>
      </c>
      <c r="BY4" s="215">
        <f t="shared" ref="BY4:BY8" si="17">+BV4/$BX$1*$BY$1</f>
        <v>2432466.682</v>
      </c>
      <c r="BZ4" s="215">
        <f t="shared" ref="BZ4:BZ8" si="18">+BW4/$BX$1*$BY$1</f>
        <v>2432466.682</v>
      </c>
      <c r="CG4" s="210" t="s">
        <v>852</v>
      </c>
      <c r="CH4" s="212" t="s">
        <v>51</v>
      </c>
      <c r="CI4" s="211">
        <v>0</v>
      </c>
      <c r="CJ4" s="211">
        <v>2334421000</v>
      </c>
      <c r="CK4" s="211">
        <v>2334421000</v>
      </c>
      <c r="CL4" s="216">
        <f t="shared" ref="CL4:CL8" si="19">+CI4/$CM$1*$CN$1</f>
        <v>0</v>
      </c>
      <c r="CM4" s="216">
        <f t="shared" ref="CM4:CM8" si="20">+CJ4/$CM$1*$CN$1</f>
        <v>2432466.682</v>
      </c>
      <c r="CN4" s="216">
        <f t="shared" ref="CN4:CN8" si="21">+CK4/$CM$1*$CN$1</f>
        <v>2432466.682</v>
      </c>
      <c r="CT4" s="210" t="s">
        <v>852</v>
      </c>
      <c r="CU4" s="212" t="s">
        <v>51</v>
      </c>
      <c r="CV4" s="211">
        <v>0</v>
      </c>
      <c r="CW4" s="211">
        <v>2334421000</v>
      </c>
      <c r="CX4" s="211">
        <v>2334421000</v>
      </c>
      <c r="CY4" s="216">
        <f t="shared" ref="CY4:CY8" si="22">+CV4/$CY$1*$CZ$1</f>
        <v>0</v>
      </c>
      <c r="CZ4" s="216">
        <f t="shared" ref="CZ4:CZ8" si="23">+CW4/$CY$1*$CZ$1</f>
        <v>2432466.682</v>
      </c>
      <c r="DA4" s="216">
        <f t="shared" ref="DA4:DA8" si="24">+CX4/$CY$1*$CZ$1</f>
        <v>2432466.682</v>
      </c>
      <c r="DC4" s="73" t="s">
        <v>633</v>
      </c>
      <c r="DD4" s="73" t="s">
        <v>634</v>
      </c>
      <c r="DE4" s="60">
        <v>0</v>
      </c>
      <c r="DG4" s="359" t="s">
        <v>852</v>
      </c>
      <c r="DH4" s="231" t="s">
        <v>51</v>
      </c>
      <c r="DI4" s="360">
        <v>0</v>
      </c>
      <c r="DJ4" s="360">
        <v>2334421000</v>
      </c>
      <c r="DK4" s="360">
        <v>2334421000</v>
      </c>
      <c r="DL4" s="361">
        <f t="shared" ref="DL4:DL8" si="25">+DI4/$DM$1*$DN$1</f>
        <v>0</v>
      </c>
      <c r="DM4" s="361">
        <f t="shared" si="8"/>
        <v>2334421</v>
      </c>
      <c r="DN4" s="361">
        <f t="shared" si="8"/>
        <v>2334421</v>
      </c>
      <c r="DQ4" s="204" t="s">
        <v>852</v>
      </c>
      <c r="DR4" s="204" t="s">
        <v>51</v>
      </c>
      <c r="DS4" s="260">
        <v>0</v>
      </c>
      <c r="DT4" s="260">
        <v>2334421000</v>
      </c>
      <c r="DU4" s="260">
        <v>2334421000</v>
      </c>
      <c r="DV4" s="260">
        <f t="shared" si="9"/>
        <v>0</v>
      </c>
      <c r="DW4" s="260">
        <f t="shared" ref="DW4:DW8" si="26">DT4/$DW$1*$DX$1</f>
        <v>2334421</v>
      </c>
      <c r="DX4" s="260">
        <f>DU4/$DW$1*$DX$1</f>
        <v>2334421</v>
      </c>
      <c r="DZ4" s="73" t="s">
        <v>852</v>
      </c>
      <c r="EA4" s="73" t="s">
        <v>51</v>
      </c>
      <c r="EB4" s="60">
        <v>0</v>
      </c>
      <c r="EC4" s="60">
        <v>2334421000</v>
      </c>
      <c r="ED4" s="60">
        <v>2334421000</v>
      </c>
      <c r="EE4" s="217">
        <f t="shared" ref="EE4:EE8" si="27">+EB4/$EE$1*$EF$1</f>
        <v>0</v>
      </c>
      <c r="EF4" s="217">
        <f t="shared" ref="EF4:EF8" si="28">+EC4/$EE$1*$EF$1</f>
        <v>2334421</v>
      </c>
      <c r="EG4" s="217">
        <f t="shared" ref="EG4:EG8" si="29">+ED4/$EE$1*$EF$1</f>
        <v>2334421</v>
      </c>
      <c r="EI4" s="73" t="s">
        <v>633</v>
      </c>
      <c r="EJ4" s="73" t="s">
        <v>634</v>
      </c>
      <c r="EK4" s="60">
        <v>0</v>
      </c>
      <c r="EL4" s="60">
        <f>+EK4/$EK$1*$EL$1</f>
        <v>0</v>
      </c>
      <c r="EN4" s="73" t="s">
        <v>852</v>
      </c>
      <c r="EO4" s="364" t="s">
        <v>51</v>
      </c>
      <c r="EP4" s="60">
        <v>0</v>
      </c>
      <c r="EQ4" s="60">
        <v>0</v>
      </c>
      <c r="ER4" s="60">
        <v>0</v>
      </c>
      <c r="ES4" s="217">
        <f t="shared" ref="ES4:ES8" si="30">+EP4/$ER$1*$ES$1</f>
        <v>0</v>
      </c>
      <c r="ET4" s="217">
        <f t="shared" ref="ET4:ET8" si="31">+EQ4/$ER$1*$ES$1</f>
        <v>0</v>
      </c>
      <c r="EU4" s="217">
        <f t="shared" ref="EU4:EU8" si="32">+ER4/$ER$1*$ES$1</f>
        <v>0</v>
      </c>
    </row>
    <row r="5" spans="1:151" x14ac:dyDescent="0.2">
      <c r="A5" s="210" t="s">
        <v>462</v>
      </c>
      <c r="B5" s="210" t="s">
        <v>241</v>
      </c>
      <c r="C5" s="211">
        <v>79217505000</v>
      </c>
      <c r="D5" s="211">
        <v>0</v>
      </c>
      <c r="E5" s="211">
        <v>0</v>
      </c>
      <c r="F5" s="216">
        <f t="shared" si="0"/>
        <v>82544640.210000008</v>
      </c>
      <c r="G5" s="216">
        <f t="shared" si="0"/>
        <v>0</v>
      </c>
      <c r="H5" s="216">
        <f t="shared" si="0"/>
        <v>0</v>
      </c>
      <c r="P5" s="221" t="s">
        <v>462</v>
      </c>
      <c r="Q5" s="200" t="s">
        <v>241</v>
      </c>
      <c r="R5" s="201">
        <v>40425183000</v>
      </c>
      <c r="S5" s="201">
        <v>0</v>
      </c>
      <c r="T5" s="201">
        <v>0</v>
      </c>
      <c r="U5" s="217">
        <f t="shared" si="1"/>
        <v>42123040.686000004</v>
      </c>
      <c r="V5" s="217">
        <f t="shared" si="1"/>
        <v>0</v>
      </c>
      <c r="W5" s="217">
        <f t="shared" si="1"/>
        <v>0</v>
      </c>
      <c r="Z5" s="213"/>
      <c r="AF5" s="210" t="s">
        <v>462</v>
      </c>
      <c r="AG5" s="212" t="s">
        <v>241</v>
      </c>
      <c r="AH5" s="211">
        <v>40425183000</v>
      </c>
      <c r="AI5" s="211">
        <v>0</v>
      </c>
      <c r="AJ5" s="211">
        <v>0</v>
      </c>
      <c r="AK5" s="217">
        <f t="shared" si="2"/>
        <v>42123040.686000004</v>
      </c>
      <c r="AL5" s="217">
        <f t="shared" si="2"/>
        <v>0</v>
      </c>
      <c r="AM5" s="217">
        <f t="shared" si="2"/>
        <v>0</v>
      </c>
      <c r="AS5" s="210" t="s">
        <v>462</v>
      </c>
      <c r="AT5" s="212" t="s">
        <v>241</v>
      </c>
      <c r="AU5" s="211">
        <v>40425183000</v>
      </c>
      <c r="AV5" s="211">
        <v>0</v>
      </c>
      <c r="AW5" s="211">
        <v>0</v>
      </c>
      <c r="AX5" s="216">
        <f t="shared" si="3"/>
        <v>42123040.686000004</v>
      </c>
      <c r="AY5" s="216">
        <f t="shared" si="3"/>
        <v>0</v>
      </c>
      <c r="AZ5" s="216">
        <f t="shared" si="3"/>
        <v>0</v>
      </c>
      <c r="BB5" s="703"/>
      <c r="BC5" s="704"/>
      <c r="BD5" s="705">
        <f>SUM(BD3:BD4)</f>
        <v>0</v>
      </c>
      <c r="BF5" s="710" t="s">
        <v>462</v>
      </c>
      <c r="BG5" s="711" t="s">
        <v>241</v>
      </c>
      <c r="BH5" s="712">
        <v>40425183000</v>
      </c>
      <c r="BI5" s="712">
        <v>0</v>
      </c>
      <c r="BJ5" s="712">
        <v>0</v>
      </c>
      <c r="BK5" s="713">
        <f t="shared" si="13"/>
        <v>42123040.686000004</v>
      </c>
      <c r="BL5" s="713">
        <f t="shared" si="14"/>
        <v>0</v>
      </c>
      <c r="BM5" s="714">
        <f t="shared" si="15"/>
        <v>0</v>
      </c>
      <c r="BS5" s="214" t="s">
        <v>462</v>
      </c>
      <c r="BT5" s="222" t="s">
        <v>241</v>
      </c>
      <c r="BU5" s="215">
        <v>40425183000</v>
      </c>
      <c r="BV5" s="215">
        <v>0</v>
      </c>
      <c r="BW5" s="215">
        <v>0</v>
      </c>
      <c r="BX5" s="215">
        <f>+BU5/$BX$1*$BY$1</f>
        <v>42123040.686000004</v>
      </c>
      <c r="BY5" s="215">
        <f t="shared" si="17"/>
        <v>0</v>
      </c>
      <c r="BZ5" s="215">
        <f t="shared" si="18"/>
        <v>0</v>
      </c>
      <c r="CG5" s="210" t="s">
        <v>462</v>
      </c>
      <c r="CH5" s="212" t="s">
        <v>241</v>
      </c>
      <c r="CI5" s="211">
        <v>40425183000</v>
      </c>
      <c r="CJ5" s="211">
        <v>0</v>
      </c>
      <c r="CK5" s="211">
        <v>0</v>
      </c>
      <c r="CL5" s="216">
        <f t="shared" si="19"/>
        <v>42123040.686000004</v>
      </c>
      <c r="CM5" s="216">
        <f t="shared" si="20"/>
        <v>0</v>
      </c>
      <c r="CN5" s="216">
        <f t="shared" si="21"/>
        <v>0</v>
      </c>
      <c r="CT5" s="210" t="s">
        <v>462</v>
      </c>
      <c r="CU5" s="212" t="s">
        <v>241</v>
      </c>
      <c r="CV5" s="211">
        <v>40425183000</v>
      </c>
      <c r="CW5" s="211">
        <v>0</v>
      </c>
      <c r="CX5" s="211">
        <v>0</v>
      </c>
      <c r="CY5" s="216">
        <f t="shared" si="22"/>
        <v>42123040.686000004</v>
      </c>
      <c r="CZ5" s="216">
        <f t="shared" si="23"/>
        <v>0</v>
      </c>
      <c r="DA5" s="216">
        <f t="shared" si="24"/>
        <v>0</v>
      </c>
      <c r="DG5" s="359" t="s">
        <v>462</v>
      </c>
      <c r="DH5" s="231" t="s">
        <v>241</v>
      </c>
      <c r="DI5" s="360">
        <v>39608752000</v>
      </c>
      <c r="DJ5" s="360">
        <v>0</v>
      </c>
      <c r="DK5" s="360">
        <v>0</v>
      </c>
      <c r="DL5" s="361">
        <f t="shared" si="25"/>
        <v>39608752</v>
      </c>
      <c r="DM5" s="361">
        <f t="shared" si="8"/>
        <v>0</v>
      </c>
      <c r="DN5" s="361">
        <f t="shared" si="8"/>
        <v>0</v>
      </c>
      <c r="DQ5" s="204" t="s">
        <v>462</v>
      </c>
      <c r="DR5" s="204" t="s">
        <v>241</v>
      </c>
      <c r="DS5" s="260">
        <v>39608752000</v>
      </c>
      <c r="DT5" s="260">
        <v>0</v>
      </c>
      <c r="DU5" s="260">
        <v>0</v>
      </c>
      <c r="DV5" s="260">
        <f t="shared" si="9"/>
        <v>39608752</v>
      </c>
      <c r="DW5" s="260">
        <f t="shared" si="26"/>
        <v>0</v>
      </c>
      <c r="DX5" s="260">
        <f>DU5/$DW$1*$DX$1</f>
        <v>0</v>
      </c>
      <c r="DZ5" s="73" t="s">
        <v>462</v>
      </c>
      <c r="EA5" s="73" t="s">
        <v>241</v>
      </c>
      <c r="EB5" s="60">
        <v>0</v>
      </c>
      <c r="EC5" s="60">
        <v>0</v>
      </c>
      <c r="ED5" s="60">
        <v>0</v>
      </c>
      <c r="EE5" s="217">
        <f t="shared" si="27"/>
        <v>0</v>
      </c>
      <c r="EF5" s="217">
        <f t="shared" si="28"/>
        <v>0</v>
      </c>
      <c r="EG5" s="217">
        <f t="shared" si="29"/>
        <v>0</v>
      </c>
      <c r="EN5" s="73" t="s">
        <v>462</v>
      </c>
      <c r="EO5" s="364" t="s">
        <v>241</v>
      </c>
      <c r="EP5" s="60">
        <v>0</v>
      </c>
      <c r="EQ5" s="60">
        <v>0</v>
      </c>
      <c r="ER5" s="60">
        <v>0</v>
      </c>
      <c r="ES5" s="217">
        <f t="shared" si="30"/>
        <v>0</v>
      </c>
      <c r="ET5" s="217">
        <f t="shared" si="31"/>
        <v>0</v>
      </c>
      <c r="EU5" s="217">
        <f t="shared" si="32"/>
        <v>0</v>
      </c>
    </row>
    <row r="6" spans="1:151" x14ac:dyDescent="0.2">
      <c r="A6" s="210" t="s">
        <v>633</v>
      </c>
      <c r="B6" s="210" t="s">
        <v>634</v>
      </c>
      <c r="C6" s="211">
        <v>38281761000</v>
      </c>
      <c r="D6" s="211">
        <v>0</v>
      </c>
      <c r="E6" s="211">
        <v>0</v>
      </c>
      <c r="F6" s="216">
        <f t="shared" si="0"/>
        <v>39889594.962000005</v>
      </c>
      <c r="G6" s="216">
        <f t="shared" si="0"/>
        <v>0</v>
      </c>
      <c r="H6" s="216">
        <f t="shared" si="0"/>
        <v>0</v>
      </c>
      <c r="P6" s="221" t="s">
        <v>633</v>
      </c>
      <c r="Q6" s="200" t="s">
        <v>634</v>
      </c>
      <c r="R6" s="201">
        <v>38281761000</v>
      </c>
      <c r="S6" s="201">
        <v>0</v>
      </c>
      <c r="T6" s="201">
        <v>0</v>
      </c>
      <c r="U6" s="217">
        <f t="shared" si="1"/>
        <v>39889594.962000005</v>
      </c>
      <c r="V6" s="217">
        <f t="shared" si="1"/>
        <v>0</v>
      </c>
      <c r="W6" s="217">
        <f t="shared" si="1"/>
        <v>0</v>
      </c>
      <c r="AF6" s="210" t="s">
        <v>633</v>
      </c>
      <c r="AG6" s="212" t="s">
        <v>634</v>
      </c>
      <c r="AH6" s="211">
        <v>23229973000</v>
      </c>
      <c r="AI6" s="211">
        <v>0</v>
      </c>
      <c r="AJ6" s="211">
        <v>0</v>
      </c>
      <c r="AK6" s="217">
        <f t="shared" si="2"/>
        <v>24205631.866</v>
      </c>
      <c r="AL6" s="217">
        <f t="shared" si="2"/>
        <v>0</v>
      </c>
      <c r="AM6" s="217">
        <f t="shared" si="2"/>
        <v>0</v>
      </c>
      <c r="AS6" s="210" t="s">
        <v>633</v>
      </c>
      <c r="AT6" s="212" t="s">
        <v>634</v>
      </c>
      <c r="AU6" s="211">
        <v>15229973000</v>
      </c>
      <c r="AV6" s="211">
        <v>0</v>
      </c>
      <c r="AW6" s="211">
        <v>0</v>
      </c>
      <c r="AX6" s="216">
        <f t="shared" si="3"/>
        <v>15869631.866</v>
      </c>
      <c r="AY6" s="216">
        <f t="shared" si="3"/>
        <v>0</v>
      </c>
      <c r="AZ6" s="216">
        <f t="shared" si="3"/>
        <v>0</v>
      </c>
      <c r="BF6" s="710" t="s">
        <v>633</v>
      </c>
      <c r="BG6" s="711" t="s">
        <v>634</v>
      </c>
      <c r="BH6" s="712">
        <v>12856456000</v>
      </c>
      <c r="BI6" s="712">
        <v>0</v>
      </c>
      <c r="BJ6" s="712">
        <v>0</v>
      </c>
      <c r="BK6" s="713">
        <f t="shared" si="13"/>
        <v>13396427.152000001</v>
      </c>
      <c r="BL6" s="713">
        <f t="shared" si="14"/>
        <v>0</v>
      </c>
      <c r="BM6" s="714">
        <f t="shared" si="15"/>
        <v>0</v>
      </c>
      <c r="BS6" s="214" t="s">
        <v>633</v>
      </c>
      <c r="BT6" s="222" t="s">
        <v>634</v>
      </c>
      <c r="BU6" s="215">
        <v>12856456000</v>
      </c>
      <c r="BV6" s="215">
        <v>0</v>
      </c>
      <c r="BW6" s="215">
        <v>0</v>
      </c>
      <c r="BX6" s="215">
        <f t="shared" si="16"/>
        <v>13396427.152000001</v>
      </c>
      <c r="BY6" s="215">
        <f t="shared" si="17"/>
        <v>0</v>
      </c>
      <c r="BZ6" s="215">
        <f t="shared" si="18"/>
        <v>0</v>
      </c>
      <c r="CG6" s="210" t="s">
        <v>633</v>
      </c>
      <c r="CH6" s="212" t="s">
        <v>634</v>
      </c>
      <c r="CI6" s="211">
        <v>12696456000</v>
      </c>
      <c r="CJ6" s="211">
        <v>0</v>
      </c>
      <c r="CK6" s="211">
        <v>0</v>
      </c>
      <c r="CL6" s="216">
        <f t="shared" si="19"/>
        <v>13229707.152000001</v>
      </c>
      <c r="CM6" s="216">
        <f t="shared" si="20"/>
        <v>0</v>
      </c>
      <c r="CN6" s="216">
        <f t="shared" si="21"/>
        <v>0</v>
      </c>
      <c r="CT6" s="210" t="s">
        <v>633</v>
      </c>
      <c r="CU6" s="212" t="s">
        <v>634</v>
      </c>
      <c r="CV6" s="211">
        <v>10567152000</v>
      </c>
      <c r="CW6" s="211">
        <v>0</v>
      </c>
      <c r="CX6" s="211">
        <v>0</v>
      </c>
      <c r="CY6" s="216">
        <f t="shared" si="22"/>
        <v>11010972.384</v>
      </c>
      <c r="CZ6" s="216">
        <f t="shared" si="23"/>
        <v>0</v>
      </c>
      <c r="DA6" s="216">
        <f t="shared" si="24"/>
        <v>0</v>
      </c>
      <c r="DG6" s="359" t="s">
        <v>633</v>
      </c>
      <c r="DH6" s="231" t="s">
        <v>634</v>
      </c>
      <c r="DI6" s="360">
        <v>10267152000</v>
      </c>
      <c r="DJ6" s="360">
        <v>0</v>
      </c>
      <c r="DK6" s="360">
        <v>0</v>
      </c>
      <c r="DL6" s="361">
        <f t="shared" si="25"/>
        <v>10267152</v>
      </c>
      <c r="DM6" s="361">
        <f t="shared" si="8"/>
        <v>0</v>
      </c>
      <c r="DN6" s="361">
        <f t="shared" si="8"/>
        <v>0</v>
      </c>
      <c r="DQ6" s="204" t="s">
        <v>633</v>
      </c>
      <c r="DR6" s="204" t="s">
        <v>634</v>
      </c>
      <c r="DS6" s="260">
        <v>10267152000</v>
      </c>
      <c r="DT6" s="260">
        <v>0</v>
      </c>
      <c r="DU6" s="260">
        <v>0</v>
      </c>
      <c r="DV6" s="260">
        <f t="shared" si="9"/>
        <v>10267152</v>
      </c>
      <c r="DW6" s="260">
        <f t="shared" si="26"/>
        <v>0</v>
      </c>
      <c r="DX6" s="260">
        <f>DU6/$DW$1*$DX$1</f>
        <v>0</v>
      </c>
      <c r="DZ6" s="73" t="s">
        <v>633</v>
      </c>
      <c r="EA6" s="73" t="s">
        <v>634</v>
      </c>
      <c r="EB6" s="60">
        <v>10267152000</v>
      </c>
      <c r="EC6" s="60">
        <v>0</v>
      </c>
      <c r="ED6" s="60">
        <v>0</v>
      </c>
      <c r="EE6" s="217">
        <f t="shared" si="27"/>
        <v>10267152</v>
      </c>
      <c r="EF6" s="217">
        <f t="shared" si="28"/>
        <v>0</v>
      </c>
      <c r="EG6" s="217">
        <f t="shared" si="29"/>
        <v>0</v>
      </c>
      <c r="EN6" s="73" t="s">
        <v>633</v>
      </c>
      <c r="EO6" s="364" t="s">
        <v>634</v>
      </c>
      <c r="EP6" s="60">
        <v>0</v>
      </c>
      <c r="EQ6" s="60">
        <v>0</v>
      </c>
      <c r="ER6" s="60">
        <v>0</v>
      </c>
      <c r="ES6" s="217">
        <f t="shared" si="30"/>
        <v>0</v>
      </c>
      <c r="ET6" s="217">
        <f t="shared" si="31"/>
        <v>0</v>
      </c>
      <c r="EU6" s="217">
        <f t="shared" si="32"/>
        <v>0</v>
      </c>
    </row>
    <row r="7" spans="1:151" x14ac:dyDescent="0.2">
      <c r="A7" s="210" t="s">
        <v>431</v>
      </c>
      <c r="B7" s="210" t="s">
        <v>127</v>
      </c>
      <c r="C7" s="211">
        <v>100</v>
      </c>
      <c r="D7" s="211">
        <v>0</v>
      </c>
      <c r="E7" s="211">
        <v>0</v>
      </c>
      <c r="F7" s="216">
        <f t="shared" si="0"/>
        <v>0.10420000000000001</v>
      </c>
      <c r="G7" s="216">
        <f t="shared" si="0"/>
        <v>0</v>
      </c>
      <c r="H7" s="216">
        <f t="shared" si="0"/>
        <v>0</v>
      </c>
      <c r="P7" s="221" t="s">
        <v>431</v>
      </c>
      <c r="Q7" s="200" t="s">
        <v>127</v>
      </c>
      <c r="R7" s="201">
        <v>100</v>
      </c>
      <c r="S7" s="201">
        <v>0</v>
      </c>
      <c r="T7" s="201">
        <v>0</v>
      </c>
      <c r="U7" s="217">
        <f t="shared" si="1"/>
        <v>0.10420000000000001</v>
      </c>
      <c r="V7" s="217">
        <f t="shared" si="1"/>
        <v>0</v>
      </c>
      <c r="W7" s="217">
        <f t="shared" si="1"/>
        <v>0</v>
      </c>
      <c r="AF7" s="210" t="s">
        <v>431</v>
      </c>
      <c r="AG7" s="212" t="s">
        <v>127</v>
      </c>
      <c r="AH7" s="211">
        <v>100</v>
      </c>
      <c r="AI7" s="211">
        <v>0</v>
      </c>
      <c r="AJ7" s="211">
        <v>0</v>
      </c>
      <c r="AK7" s="217">
        <f t="shared" si="2"/>
        <v>0.10420000000000001</v>
      </c>
      <c r="AL7" s="217">
        <f t="shared" si="2"/>
        <v>0</v>
      </c>
      <c r="AM7" s="217">
        <f t="shared" si="2"/>
        <v>0</v>
      </c>
      <c r="AS7" s="210" t="s">
        <v>431</v>
      </c>
      <c r="AT7" s="212" t="s">
        <v>127</v>
      </c>
      <c r="AU7" s="211">
        <f>100+AU8</f>
        <v>7857172100</v>
      </c>
      <c r="AV7" s="211">
        <v>0</v>
      </c>
      <c r="AW7" s="211">
        <v>0</v>
      </c>
      <c r="AX7" s="216">
        <f t="shared" si="3"/>
        <v>8187173.3282000003</v>
      </c>
      <c r="AY7" s="216">
        <f t="shared" si="3"/>
        <v>0</v>
      </c>
      <c r="AZ7" s="216">
        <f t="shared" si="3"/>
        <v>0</v>
      </c>
      <c r="BF7" s="710" t="s">
        <v>431</v>
      </c>
      <c r="BG7" s="711" t="s">
        <v>127</v>
      </c>
      <c r="BH7" s="712">
        <v>7857172100</v>
      </c>
      <c r="BI7" s="712">
        <v>0</v>
      </c>
      <c r="BJ7" s="712">
        <v>0</v>
      </c>
      <c r="BK7" s="713">
        <f t="shared" si="13"/>
        <v>8187173.3282000003</v>
      </c>
      <c r="BL7" s="713">
        <f t="shared" si="14"/>
        <v>0</v>
      </c>
      <c r="BM7" s="714">
        <f t="shared" si="15"/>
        <v>0</v>
      </c>
      <c r="BS7" s="214" t="s">
        <v>431</v>
      </c>
      <c r="BT7" s="222" t="s">
        <v>127</v>
      </c>
      <c r="BU7" s="215">
        <v>7857172100</v>
      </c>
      <c r="BV7" s="215">
        <v>0</v>
      </c>
      <c r="BW7" s="215">
        <v>0</v>
      </c>
      <c r="BX7" s="215">
        <f t="shared" si="16"/>
        <v>8187173.3282000003</v>
      </c>
      <c r="BY7" s="215">
        <f t="shared" si="17"/>
        <v>0</v>
      </c>
      <c r="BZ7" s="215">
        <f t="shared" si="18"/>
        <v>0</v>
      </c>
      <c r="CG7" s="210" t="s">
        <v>431</v>
      </c>
      <c r="CH7" s="212" t="s">
        <v>127</v>
      </c>
      <c r="CI7" s="211">
        <v>7857172100</v>
      </c>
      <c r="CJ7" s="211">
        <v>0</v>
      </c>
      <c r="CK7" s="211">
        <v>0</v>
      </c>
      <c r="CL7" s="216">
        <f t="shared" si="19"/>
        <v>8187173.3282000003</v>
      </c>
      <c r="CM7" s="216">
        <f t="shared" si="20"/>
        <v>0</v>
      </c>
      <c r="CN7" s="216">
        <f t="shared" si="21"/>
        <v>0</v>
      </c>
      <c r="CT7" s="210" t="s">
        <v>431</v>
      </c>
      <c r="CU7" s="212" t="s">
        <v>127</v>
      </c>
      <c r="CV7" s="211">
        <v>7857172100</v>
      </c>
      <c r="CW7" s="211">
        <v>0</v>
      </c>
      <c r="CX7" s="211">
        <v>0</v>
      </c>
      <c r="CY7" s="216">
        <f t="shared" si="22"/>
        <v>8187173.3282000003</v>
      </c>
      <c r="CZ7" s="216">
        <f t="shared" si="23"/>
        <v>0</v>
      </c>
      <c r="DA7" s="216">
        <f t="shared" si="24"/>
        <v>0</v>
      </c>
      <c r="DG7" s="359" t="s">
        <v>431</v>
      </c>
      <c r="DH7" s="231" t="s">
        <v>127</v>
      </c>
      <c r="DI7" s="360">
        <v>7857172100</v>
      </c>
      <c r="DJ7" s="360">
        <v>0</v>
      </c>
      <c r="DK7" s="360">
        <v>0</v>
      </c>
      <c r="DL7" s="361">
        <f t="shared" si="25"/>
        <v>7857172.0999999996</v>
      </c>
      <c r="DM7" s="361">
        <f t="shared" si="8"/>
        <v>0</v>
      </c>
      <c r="DN7" s="361">
        <f t="shared" si="8"/>
        <v>0</v>
      </c>
      <c r="DQ7" s="204" t="s">
        <v>431</v>
      </c>
      <c r="DR7" s="204" t="s">
        <v>127</v>
      </c>
      <c r="DS7" s="260">
        <v>7857172100</v>
      </c>
      <c r="DT7" s="260">
        <v>0</v>
      </c>
      <c r="DU7" s="260">
        <v>0</v>
      </c>
      <c r="DV7" s="260">
        <f t="shared" si="9"/>
        <v>7857172.0999999996</v>
      </c>
      <c r="DW7" s="260">
        <f t="shared" si="26"/>
        <v>0</v>
      </c>
      <c r="DX7" s="260">
        <f>DU7/$DW$1*$DX$1</f>
        <v>0</v>
      </c>
      <c r="DZ7" s="73" t="s">
        <v>431</v>
      </c>
      <c r="EA7" s="73" t="s">
        <v>127</v>
      </c>
      <c r="EB7" s="60">
        <v>7857172100</v>
      </c>
      <c r="EC7" s="60">
        <v>0</v>
      </c>
      <c r="ED7" s="60">
        <v>0</v>
      </c>
      <c r="EE7" s="217">
        <f t="shared" si="27"/>
        <v>7857172.0999999996</v>
      </c>
      <c r="EF7" s="217">
        <f t="shared" si="28"/>
        <v>0</v>
      </c>
      <c r="EG7" s="217">
        <f t="shared" si="29"/>
        <v>0</v>
      </c>
      <c r="EN7" s="73" t="s">
        <v>431</v>
      </c>
      <c r="EO7" s="364" t="s">
        <v>127</v>
      </c>
      <c r="EP7" s="60">
        <v>7857172100</v>
      </c>
      <c r="EQ7" s="60">
        <v>0</v>
      </c>
      <c r="ER7" s="60">
        <v>0</v>
      </c>
      <c r="ES7" s="217">
        <f t="shared" si="30"/>
        <v>7857172.0999999996</v>
      </c>
      <c r="ET7" s="217">
        <f t="shared" si="31"/>
        <v>0</v>
      </c>
      <c r="EU7" s="217">
        <f t="shared" si="32"/>
        <v>0</v>
      </c>
    </row>
    <row r="8" spans="1:151" x14ac:dyDescent="0.2">
      <c r="A8" s="210" t="s">
        <v>431</v>
      </c>
      <c r="B8" s="210" t="s">
        <v>127</v>
      </c>
      <c r="C8" s="211">
        <v>0</v>
      </c>
      <c r="D8" s="211">
        <v>7857172000</v>
      </c>
      <c r="E8" s="211">
        <v>7857172000</v>
      </c>
      <c r="F8" s="216">
        <f t="shared" si="0"/>
        <v>0</v>
      </c>
      <c r="G8" s="216">
        <f t="shared" si="0"/>
        <v>8187173.2240000004</v>
      </c>
      <c r="H8" s="216">
        <f t="shared" si="0"/>
        <v>8187173.2240000004</v>
      </c>
      <c r="P8" s="221" t="s">
        <v>431</v>
      </c>
      <c r="Q8" s="200" t="s">
        <v>127</v>
      </c>
      <c r="R8" s="201">
        <v>0</v>
      </c>
      <c r="S8" s="201">
        <v>7857172000</v>
      </c>
      <c r="T8" s="201">
        <v>7857172000</v>
      </c>
      <c r="U8" s="217">
        <f t="shared" si="1"/>
        <v>0</v>
      </c>
      <c r="V8" s="217">
        <f t="shared" si="1"/>
        <v>8187173.2240000004</v>
      </c>
      <c r="W8" s="217">
        <f t="shared" si="1"/>
        <v>8187173.2240000004</v>
      </c>
      <c r="AF8" s="210" t="s">
        <v>431</v>
      </c>
      <c r="AG8" s="212" t="s">
        <v>127</v>
      </c>
      <c r="AH8" s="211">
        <v>0</v>
      </c>
      <c r="AI8" s="211">
        <v>7857172000</v>
      </c>
      <c r="AJ8" s="211">
        <v>7857172000</v>
      </c>
      <c r="AK8" s="217">
        <f t="shared" si="2"/>
        <v>0</v>
      </c>
      <c r="AL8" s="217">
        <f t="shared" si="2"/>
        <v>8187173.2240000004</v>
      </c>
      <c r="AM8" s="217">
        <f t="shared" si="2"/>
        <v>8187173.2240000004</v>
      </c>
      <c r="AS8" s="210" t="s">
        <v>431</v>
      </c>
      <c r="AT8" s="212" t="s">
        <v>127</v>
      </c>
      <c r="AU8" s="211">
        <v>7857172000</v>
      </c>
      <c r="AV8" s="211">
        <v>7857172000</v>
      </c>
      <c r="AW8" s="211">
        <v>7857172000</v>
      </c>
      <c r="AX8" s="216">
        <f t="shared" si="3"/>
        <v>8187173.2240000004</v>
      </c>
      <c r="AY8" s="216">
        <f t="shared" si="3"/>
        <v>8187173.2240000004</v>
      </c>
      <c r="AZ8" s="216">
        <f t="shared" si="3"/>
        <v>8187173.2240000004</v>
      </c>
      <c r="BF8" s="710" t="s">
        <v>431</v>
      </c>
      <c r="BG8" s="711" t="s">
        <v>127</v>
      </c>
      <c r="BH8" s="712">
        <v>0</v>
      </c>
      <c r="BI8" s="712">
        <v>7857172000</v>
      </c>
      <c r="BJ8" s="712">
        <v>7857172000</v>
      </c>
      <c r="BK8" s="713">
        <f t="shared" si="13"/>
        <v>0</v>
      </c>
      <c r="BL8" s="713">
        <f t="shared" si="14"/>
        <v>8187173.2240000004</v>
      </c>
      <c r="BM8" s="714">
        <f t="shared" si="15"/>
        <v>8187173.2240000004</v>
      </c>
      <c r="BS8" s="214" t="s">
        <v>431</v>
      </c>
      <c r="BT8" s="222" t="s">
        <v>127</v>
      </c>
      <c r="BU8" s="215">
        <v>0</v>
      </c>
      <c r="BV8" s="215">
        <v>7857172000</v>
      </c>
      <c r="BW8" s="215">
        <v>7857172000</v>
      </c>
      <c r="BX8" s="215">
        <f t="shared" si="16"/>
        <v>0</v>
      </c>
      <c r="BY8" s="215">
        <f t="shared" si="17"/>
        <v>8187173.2240000004</v>
      </c>
      <c r="BZ8" s="215">
        <f t="shared" si="18"/>
        <v>8187173.2240000004</v>
      </c>
      <c r="CG8" s="210" t="s">
        <v>431</v>
      </c>
      <c r="CH8" s="212" t="s">
        <v>127</v>
      </c>
      <c r="CI8" s="211">
        <v>0</v>
      </c>
      <c r="CJ8" s="211">
        <v>7857172000</v>
      </c>
      <c r="CK8" s="211">
        <v>7857172000</v>
      </c>
      <c r="CL8" s="216">
        <f t="shared" si="19"/>
        <v>0</v>
      </c>
      <c r="CM8" s="216">
        <f t="shared" si="20"/>
        <v>8187173.2240000004</v>
      </c>
      <c r="CN8" s="216">
        <f t="shared" si="21"/>
        <v>8187173.2240000004</v>
      </c>
      <c r="CT8" s="210" t="s">
        <v>431</v>
      </c>
      <c r="CU8" s="212" t="s">
        <v>127</v>
      </c>
      <c r="CV8" s="211">
        <v>0</v>
      </c>
      <c r="CW8" s="211">
        <v>7857172000</v>
      </c>
      <c r="CX8" s="211">
        <v>7857172000</v>
      </c>
      <c r="CY8" s="216">
        <f t="shared" si="22"/>
        <v>0</v>
      </c>
      <c r="CZ8" s="216">
        <f t="shared" si="23"/>
        <v>8187173.2240000004</v>
      </c>
      <c r="DA8" s="216">
        <f t="shared" si="24"/>
        <v>8187173.2240000004</v>
      </c>
      <c r="DG8" s="359" t="s">
        <v>431</v>
      </c>
      <c r="DH8" s="231" t="s">
        <v>127</v>
      </c>
      <c r="DI8" s="360">
        <v>0</v>
      </c>
      <c r="DJ8" s="360">
        <v>7857172000</v>
      </c>
      <c r="DK8" s="360">
        <v>7857172000</v>
      </c>
      <c r="DL8" s="361">
        <f t="shared" si="25"/>
        <v>0</v>
      </c>
      <c r="DM8" s="361">
        <f t="shared" si="8"/>
        <v>7857172</v>
      </c>
      <c r="DN8" s="361">
        <f t="shared" si="8"/>
        <v>7857172</v>
      </c>
      <c r="DQ8" s="204" t="s">
        <v>431</v>
      </c>
      <c r="DR8" s="204" t="s">
        <v>127</v>
      </c>
      <c r="DS8" s="260">
        <v>0</v>
      </c>
      <c r="DT8" s="260">
        <v>7857172000</v>
      </c>
      <c r="DU8" s="260">
        <v>7857172000</v>
      </c>
      <c r="DV8" s="260">
        <f t="shared" si="9"/>
        <v>0</v>
      </c>
      <c r="DW8" s="260">
        <f t="shared" si="26"/>
        <v>7857172</v>
      </c>
      <c r="DX8" s="260">
        <f>DU8/$DW$1*$DX$1</f>
        <v>7857172</v>
      </c>
      <c r="DZ8" s="73" t="s">
        <v>431</v>
      </c>
      <c r="EA8" s="73" t="s">
        <v>127</v>
      </c>
      <c r="EB8" s="60">
        <v>0</v>
      </c>
      <c r="EC8" s="60">
        <v>7857172000</v>
      </c>
      <c r="ED8" s="60">
        <v>7857172000</v>
      </c>
      <c r="EE8" s="217">
        <f t="shared" si="27"/>
        <v>0</v>
      </c>
      <c r="EF8" s="217">
        <f t="shared" si="28"/>
        <v>7857172</v>
      </c>
      <c r="EG8" s="217">
        <f t="shared" si="29"/>
        <v>7857172</v>
      </c>
      <c r="EN8" s="73" t="s">
        <v>431</v>
      </c>
      <c r="EO8" s="364" t="s">
        <v>127</v>
      </c>
      <c r="EP8" s="60">
        <v>0</v>
      </c>
      <c r="EQ8" s="60">
        <v>7857172000</v>
      </c>
      <c r="ER8" s="60">
        <v>7857172000</v>
      </c>
      <c r="ES8" s="217">
        <f t="shared" si="30"/>
        <v>0</v>
      </c>
      <c r="ET8" s="217">
        <f t="shared" si="31"/>
        <v>7857172</v>
      </c>
      <c r="EU8" s="217">
        <f t="shared" si="32"/>
        <v>7857172</v>
      </c>
    </row>
    <row r="9" spans="1:151" ht="15" x14ac:dyDescent="0.25">
      <c r="BF9" s="703"/>
      <c r="BG9" s="704"/>
      <c r="BH9" s="704"/>
      <c r="BI9" s="704"/>
      <c r="BJ9" s="704"/>
      <c r="BK9" s="718">
        <f t="shared" ref="BK9:BL9" si="33">SUM(BK3:BK8)</f>
        <v>63706641.270400003</v>
      </c>
      <c r="BL9" s="718">
        <f t="shared" si="33"/>
        <v>10619639.905999999</v>
      </c>
      <c r="BM9" s="717">
        <f>SUM(BM3:BM8)</f>
        <v>10619639.905999999</v>
      </c>
      <c r="BX9" s="266"/>
      <c r="BY9" s="266"/>
      <c r="BZ9" s="266"/>
      <c r="DL9" s="226">
        <f>SUM(DL3:DL8)</f>
        <v>57733076.200000003</v>
      </c>
      <c r="DM9" s="226">
        <f t="shared" ref="DM9:DN9" si="34">SUM(DM3:DM8)</f>
        <v>10191593</v>
      </c>
      <c r="DN9" s="226">
        <f t="shared" si="34"/>
        <v>10191593</v>
      </c>
      <c r="DZ9" s="19"/>
      <c r="EA9" s="302"/>
      <c r="EB9" s="19"/>
      <c r="EC9" s="19"/>
      <c r="ED9" s="19"/>
      <c r="EE9" s="217">
        <f>SUM(EE3:EE8)</f>
        <v>18124324.199999999</v>
      </c>
      <c r="EF9" s="217">
        <f t="shared" ref="EF9:EG9" si="35">SUM(EF3:EF8)</f>
        <v>10191593</v>
      </c>
      <c r="EG9" s="217">
        <f t="shared" si="35"/>
        <v>10191593</v>
      </c>
    </row>
    <row r="10" spans="1:151" x14ac:dyDescent="0.2">
      <c r="AX10" s="226"/>
      <c r="AY10" s="226"/>
      <c r="AZ10" s="226"/>
    </row>
    <row r="11" spans="1:151" x14ac:dyDescent="0.2">
      <c r="AX11" s="267"/>
      <c r="AY11" s="267"/>
    </row>
  </sheetData>
  <mergeCells count="23">
    <mergeCell ref="A1:E1"/>
    <mergeCell ref="Y1:AB1"/>
    <mergeCell ref="AF1:AK1"/>
    <mergeCell ref="BB1:BD1"/>
    <mergeCell ref="BF1:BK1"/>
    <mergeCell ref="AO1:AQ1"/>
    <mergeCell ref="AS1:AW1"/>
    <mergeCell ref="J1:N1"/>
    <mergeCell ref="P1:U1"/>
    <mergeCell ref="EN1:EQ1"/>
    <mergeCell ref="DZ1:ED1"/>
    <mergeCell ref="BO2:BQ2"/>
    <mergeCell ref="BS1:BW1"/>
    <mergeCell ref="CP1:CR1"/>
    <mergeCell ref="CP2:CR2"/>
    <mergeCell ref="CT1:CX1"/>
    <mergeCell ref="CC2:CE2"/>
    <mergeCell ref="CC1:CE1"/>
    <mergeCell ref="CG1:CL1"/>
    <mergeCell ref="BO1:BQ1"/>
    <mergeCell ref="DQ1:DR1"/>
    <mergeCell ref="DC1:DE1"/>
    <mergeCell ref="DG1:DL1"/>
  </mergeCells>
  <pageMargins left="0.7" right="0.7" top="0.75" bottom="0.75" header="0.3" footer="0.3"/>
  <pageSetup paperSize="9" orientation="portrait" horizontalDpi="0" verticalDpi="0" r:id="rId1"/>
  <ignoredErrors>
    <ignoredError sqref="DQ3:DQ8 BF3:BM8 BB3:BB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9F568-FD42-4F10-A3B1-7DE2FB9E5DB1}">
  <sheetPr>
    <tabColor rgb="FFFF99CC"/>
  </sheetPr>
  <dimension ref="A1:DN26"/>
  <sheetViews>
    <sheetView topLeftCell="CZ1" zoomScale="80" zoomScaleNormal="80" workbookViewId="0">
      <selection activeCell="DL8" sqref="DL8"/>
    </sheetView>
  </sheetViews>
  <sheetFormatPr baseColWidth="10" defaultColWidth="11.7109375" defaultRowHeight="12" x14ac:dyDescent="0.2"/>
  <cols>
    <col min="1" max="79" width="0" style="655" hidden="1" customWidth="1"/>
    <col min="80" max="80" width="44" style="655" hidden="1" customWidth="1"/>
    <col min="81" max="103" width="0" style="655" hidden="1" customWidth="1"/>
    <col min="104" max="111" width="11.7109375" style="655"/>
    <col min="112" max="112" width="42.42578125" style="692" customWidth="1"/>
    <col min="113" max="113" width="11.85546875" style="655" hidden="1" customWidth="1"/>
    <col min="114" max="115" width="11.7109375" style="655" hidden="1" customWidth="1"/>
    <col min="116" max="116" width="16.42578125" style="655" customWidth="1"/>
    <col min="117" max="117" width="12.7109375" style="655" customWidth="1"/>
    <col min="118" max="16384" width="11.7109375" style="655"/>
  </cols>
  <sheetData>
    <row r="1" spans="1:118" s="1038" customFormat="1" ht="12" customHeight="1" x14ac:dyDescent="0.2">
      <c r="A1" s="1300" t="s">
        <v>1019</v>
      </c>
      <c r="B1" s="1300"/>
      <c r="C1" s="1300"/>
      <c r="D1" s="1300"/>
      <c r="E1" s="1300"/>
      <c r="F1" s="1037">
        <v>1000</v>
      </c>
      <c r="G1" s="1037">
        <v>1</v>
      </c>
      <c r="I1" s="1301" t="s">
        <v>135</v>
      </c>
      <c r="J1" s="1301"/>
      <c r="K1" s="1301"/>
      <c r="L1" s="1301"/>
      <c r="M1" s="1301"/>
      <c r="O1" s="1301" t="s">
        <v>1048</v>
      </c>
      <c r="P1" s="1301"/>
      <c r="Q1" s="1301"/>
      <c r="R1" s="1301"/>
      <c r="S1" s="1301"/>
      <c r="T1" s="1301"/>
      <c r="U1" s="1039">
        <v>1000</v>
      </c>
      <c r="V1" s="1039">
        <v>1</v>
      </c>
      <c r="X1" s="1301" t="s">
        <v>1053</v>
      </c>
      <c r="Y1" s="1301"/>
      <c r="Z1" s="1301"/>
      <c r="AA1" s="1301"/>
      <c r="AB1" s="1301"/>
      <c r="AD1" s="1301" t="s">
        <v>1068</v>
      </c>
      <c r="AE1" s="1301"/>
      <c r="AF1" s="1301"/>
      <c r="AG1" s="1301"/>
      <c r="AH1" s="1301"/>
      <c r="AI1" s="1301"/>
      <c r="AJ1" s="1301"/>
      <c r="AK1" s="1301"/>
      <c r="AL1" s="1039">
        <v>1000</v>
      </c>
      <c r="AM1" s="1039">
        <v>1</v>
      </c>
      <c r="AO1" s="1298" t="s">
        <v>1069</v>
      </c>
      <c r="AP1" s="1298"/>
      <c r="AQ1" s="1298"/>
      <c r="AR1" s="1298"/>
      <c r="AS1" s="1298"/>
      <c r="AU1" s="1302" t="s">
        <v>1074</v>
      </c>
      <c r="AV1" s="1302"/>
      <c r="AW1" s="1302"/>
      <c r="AX1" s="1302"/>
      <c r="AY1" s="1302"/>
      <c r="AZ1" s="1040">
        <v>1000</v>
      </c>
      <c r="BA1" s="1040">
        <v>1</v>
      </c>
      <c r="BB1" s="1040"/>
      <c r="BD1" s="1298" t="s">
        <v>1075</v>
      </c>
      <c r="BE1" s="1298"/>
      <c r="BF1" s="1298"/>
      <c r="BG1" s="1298"/>
      <c r="BH1" s="1298"/>
      <c r="BJ1" s="1302" t="s">
        <v>1121</v>
      </c>
      <c r="BK1" s="1302"/>
      <c r="BL1" s="1302"/>
      <c r="BM1" s="1302"/>
      <c r="BN1" s="1302"/>
      <c r="BO1" s="1040"/>
      <c r="BP1" s="1040"/>
      <c r="BQ1" s="1040">
        <v>1000</v>
      </c>
      <c r="BR1" s="1040">
        <v>1</v>
      </c>
      <c r="BS1" s="1040"/>
      <c r="BU1" s="1298" t="s">
        <v>1108</v>
      </c>
      <c r="BV1" s="1298"/>
      <c r="BW1" s="1298"/>
      <c r="BX1" s="1298"/>
      <c r="BY1" s="1298"/>
      <c r="CA1" s="1298" t="s">
        <v>1104</v>
      </c>
      <c r="CB1" s="1298"/>
      <c r="CC1" s="1298"/>
      <c r="CD1" s="1298"/>
      <c r="CE1" s="1298"/>
      <c r="CF1" s="1298"/>
      <c r="CG1" s="1039">
        <v>1000</v>
      </c>
      <c r="CH1" s="1039">
        <v>1</v>
      </c>
      <c r="CK1" s="1298" t="s">
        <v>1137</v>
      </c>
      <c r="CL1" s="1298"/>
      <c r="CM1" s="1298"/>
      <c r="CN1" s="1298"/>
      <c r="CO1" s="1298"/>
      <c r="CQ1" s="1304" t="s">
        <v>1142</v>
      </c>
      <c r="CR1" s="1300"/>
      <c r="CS1" s="1300"/>
      <c r="CT1" s="1300"/>
      <c r="CU1" s="1300"/>
      <c r="CV1" s="1300"/>
      <c r="CW1" s="1037">
        <v>1000</v>
      </c>
      <c r="CX1" s="1037">
        <v>1</v>
      </c>
      <c r="DA1" s="1303" t="s">
        <v>1153</v>
      </c>
      <c r="DB1" s="1298"/>
      <c r="DC1" s="1298"/>
      <c r="DD1" s="1298"/>
      <c r="DE1" s="1298"/>
      <c r="DG1" s="1298" t="s">
        <v>1154</v>
      </c>
      <c r="DH1" s="1298"/>
      <c r="DI1" s="1298"/>
      <c r="DJ1" s="1298"/>
      <c r="DK1" s="1298"/>
      <c r="DL1" s="1298"/>
      <c r="DM1" s="1109">
        <v>1000</v>
      </c>
      <c r="DN1" s="1109">
        <v>1</v>
      </c>
    </row>
    <row r="2" spans="1:118" s="1039" customFormat="1" ht="36" x14ac:dyDescent="0.2">
      <c r="A2" s="1037" t="s">
        <v>407</v>
      </c>
      <c r="B2" s="1037" t="s">
        <v>432</v>
      </c>
      <c r="C2" s="1037" t="s">
        <v>444</v>
      </c>
      <c r="D2" s="1037" t="s">
        <v>463</v>
      </c>
      <c r="E2" s="1037" t="s">
        <v>410</v>
      </c>
      <c r="F2" s="1037" t="s">
        <v>914</v>
      </c>
      <c r="G2" s="1037"/>
      <c r="I2" s="1037" t="s">
        <v>407</v>
      </c>
      <c r="J2" s="1037" t="s">
        <v>432</v>
      </c>
      <c r="K2" s="1037" t="s">
        <v>408</v>
      </c>
      <c r="L2" s="1037" t="s">
        <v>502</v>
      </c>
      <c r="M2" s="1037" t="s">
        <v>410</v>
      </c>
      <c r="O2" s="1037" t="s">
        <v>407</v>
      </c>
      <c r="P2" s="1037" t="s">
        <v>432</v>
      </c>
      <c r="Q2" s="1037" t="s">
        <v>444</v>
      </c>
      <c r="R2" s="1037" t="s">
        <v>463</v>
      </c>
      <c r="S2" s="1037" t="s">
        <v>410</v>
      </c>
      <c r="T2" s="1037" t="s">
        <v>914</v>
      </c>
      <c r="U2" s="1037" t="s">
        <v>920</v>
      </c>
      <c r="V2" s="1037" t="s">
        <v>919</v>
      </c>
      <c r="X2" s="1037" t="s">
        <v>407</v>
      </c>
      <c r="Y2" s="1037" t="s">
        <v>432</v>
      </c>
      <c r="Z2" s="1037" t="s">
        <v>408</v>
      </c>
      <c r="AA2" s="1037" t="s">
        <v>502</v>
      </c>
      <c r="AB2" s="1037" t="s">
        <v>410</v>
      </c>
      <c r="AD2" s="1037" t="s">
        <v>407</v>
      </c>
      <c r="AE2" s="1037" t="s">
        <v>432</v>
      </c>
      <c r="AF2" s="1037" t="s">
        <v>408</v>
      </c>
      <c r="AG2" s="1037" t="s">
        <v>502</v>
      </c>
      <c r="AH2" s="1037" t="s">
        <v>444</v>
      </c>
      <c r="AI2" s="1037" t="s">
        <v>463</v>
      </c>
      <c r="AJ2" s="1037" t="s">
        <v>410</v>
      </c>
      <c r="AK2" s="1037" t="s">
        <v>914</v>
      </c>
      <c r="AL2" s="1037" t="s">
        <v>920</v>
      </c>
      <c r="AM2" s="1037" t="s">
        <v>919</v>
      </c>
      <c r="AO2" s="1037" t="s">
        <v>407</v>
      </c>
      <c r="AP2" s="1037" t="s">
        <v>432</v>
      </c>
      <c r="AQ2" s="1037" t="s">
        <v>408</v>
      </c>
      <c r="AR2" s="1037" t="s">
        <v>502</v>
      </c>
      <c r="AS2" s="1037" t="s">
        <v>410</v>
      </c>
      <c r="AU2" s="1037" t="s">
        <v>407</v>
      </c>
      <c r="AV2" s="1037" t="s">
        <v>432</v>
      </c>
      <c r="AW2" s="1037" t="s">
        <v>444</v>
      </c>
      <c r="AX2" s="1037" t="s">
        <v>463</v>
      </c>
      <c r="AY2" s="1037" t="s">
        <v>410</v>
      </c>
      <c r="AZ2" s="1037" t="s">
        <v>914</v>
      </c>
      <c r="BA2" s="1037" t="s">
        <v>920</v>
      </c>
      <c r="BB2" s="1037" t="s">
        <v>919</v>
      </c>
      <c r="BD2" s="1037" t="s">
        <v>407</v>
      </c>
      <c r="BE2" s="1037" t="s">
        <v>432</v>
      </c>
      <c r="BF2" s="1037" t="s">
        <v>408</v>
      </c>
      <c r="BG2" s="1037" t="s">
        <v>502</v>
      </c>
      <c r="BH2" s="1037" t="s">
        <v>410</v>
      </c>
      <c r="BJ2" s="1037" t="s">
        <v>407</v>
      </c>
      <c r="BK2" s="1037" t="s">
        <v>432</v>
      </c>
      <c r="BL2" s="1037" t="s">
        <v>444</v>
      </c>
      <c r="BM2" s="1037" t="s">
        <v>463</v>
      </c>
      <c r="BN2" s="1037" t="s">
        <v>444</v>
      </c>
      <c r="BO2" s="1037" t="s">
        <v>463</v>
      </c>
      <c r="BP2" s="1037" t="s">
        <v>410</v>
      </c>
      <c r="BQ2" s="1037" t="s">
        <v>914</v>
      </c>
      <c r="BR2" s="1037" t="s">
        <v>920</v>
      </c>
      <c r="BS2" s="1037" t="s">
        <v>919</v>
      </c>
      <c r="BU2" s="1037" t="s">
        <v>407</v>
      </c>
      <c r="BV2" s="1037" t="s">
        <v>432</v>
      </c>
      <c r="BW2" s="1037" t="s">
        <v>408</v>
      </c>
      <c r="BX2" s="1037" t="s">
        <v>502</v>
      </c>
      <c r="BY2" s="1037" t="s">
        <v>410</v>
      </c>
      <c r="CA2" s="1037" t="s">
        <v>407</v>
      </c>
      <c r="CB2" s="1037" t="s">
        <v>432</v>
      </c>
      <c r="CC2" s="1037" t="s">
        <v>444</v>
      </c>
      <c r="CD2" s="1037" t="s">
        <v>463</v>
      </c>
      <c r="CE2" s="1037" t="s">
        <v>410</v>
      </c>
      <c r="CF2" s="1037" t="s">
        <v>914</v>
      </c>
      <c r="CG2" s="1037" t="s">
        <v>920</v>
      </c>
      <c r="CH2" s="1037" t="s">
        <v>919</v>
      </c>
      <c r="CK2" s="1037" t="s">
        <v>407</v>
      </c>
      <c r="CL2" s="1037" t="s">
        <v>432</v>
      </c>
      <c r="CM2" s="1037" t="s">
        <v>408</v>
      </c>
      <c r="CN2" s="1037" t="s">
        <v>502</v>
      </c>
      <c r="CO2" s="1037" t="s">
        <v>410</v>
      </c>
      <c r="CQ2" s="1037" t="s">
        <v>407</v>
      </c>
      <c r="CR2" s="1037" t="s">
        <v>432</v>
      </c>
      <c r="CS2" s="1037" t="s">
        <v>444</v>
      </c>
      <c r="CT2" s="1037" t="s">
        <v>463</v>
      </c>
      <c r="CU2" s="1037" t="s">
        <v>410</v>
      </c>
      <c r="CV2" s="1037" t="s">
        <v>914</v>
      </c>
      <c r="CW2" s="1037" t="s">
        <v>920</v>
      </c>
      <c r="CX2" s="1037" t="s">
        <v>919</v>
      </c>
      <c r="DA2" s="1037" t="s">
        <v>407</v>
      </c>
      <c r="DB2" s="1037" t="s">
        <v>432</v>
      </c>
      <c r="DC2" s="1037" t="s">
        <v>408</v>
      </c>
      <c r="DD2" s="1037" t="s">
        <v>502</v>
      </c>
      <c r="DE2" s="1037" t="s">
        <v>410</v>
      </c>
      <c r="DG2" s="1037" t="s">
        <v>407</v>
      </c>
      <c r="DH2" s="1108" t="s">
        <v>432</v>
      </c>
      <c r="DI2" s="1037" t="s">
        <v>444</v>
      </c>
      <c r="DJ2" s="1037" t="s">
        <v>463</v>
      </c>
      <c r="DK2" s="1037" t="s">
        <v>410</v>
      </c>
      <c r="DL2" s="1037" t="s">
        <v>914</v>
      </c>
      <c r="DM2" s="1037" t="s">
        <v>920</v>
      </c>
      <c r="DN2" s="1037" t="s">
        <v>919</v>
      </c>
    </row>
    <row r="3" spans="1:118" ht="15" customHeight="1" x14ac:dyDescent="0.2">
      <c r="A3" s="668" t="s">
        <v>462</v>
      </c>
      <c r="B3" s="668" t="s">
        <v>241</v>
      </c>
      <c r="C3" s="687">
        <v>82544640000</v>
      </c>
      <c r="D3" s="687">
        <v>0</v>
      </c>
      <c r="E3" s="687">
        <v>0</v>
      </c>
      <c r="F3" s="687">
        <f>+C3/$F$1*$G$1</f>
        <v>82544640</v>
      </c>
      <c r="I3" s="688" t="s">
        <v>462</v>
      </c>
      <c r="J3" s="688" t="s">
        <v>241</v>
      </c>
      <c r="K3" s="688" t="s">
        <v>426</v>
      </c>
      <c r="L3" s="688" t="s">
        <v>426</v>
      </c>
      <c r="M3" s="690">
        <v>0</v>
      </c>
      <c r="O3" s="688" t="s">
        <v>462</v>
      </c>
      <c r="P3" s="689" t="s">
        <v>241</v>
      </c>
      <c r="Q3" s="690">
        <v>41272320000</v>
      </c>
      <c r="R3" s="690">
        <v>0</v>
      </c>
      <c r="S3" s="690">
        <v>0</v>
      </c>
      <c r="T3" s="1041">
        <f>+Q3/$U$1*$V$1</f>
        <v>41272320</v>
      </c>
      <c r="U3" s="1041">
        <f t="shared" ref="U3:V3" si="0">+R3/$U$1*$V$1</f>
        <v>0</v>
      </c>
      <c r="V3" s="1041">
        <f t="shared" si="0"/>
        <v>0</v>
      </c>
      <c r="X3" s="688" t="s">
        <v>1065</v>
      </c>
      <c r="Y3" s="689" t="s">
        <v>1066</v>
      </c>
      <c r="Z3" s="688" t="s">
        <v>426</v>
      </c>
      <c r="AA3" s="688" t="s">
        <v>426</v>
      </c>
      <c r="AB3" s="690">
        <v>0</v>
      </c>
      <c r="AD3" s="1042" t="s">
        <v>1065</v>
      </c>
      <c r="AE3" s="689" t="s">
        <v>1066</v>
      </c>
      <c r="AF3" s="1042" t="s">
        <v>426</v>
      </c>
      <c r="AG3" s="1042" t="s">
        <v>426</v>
      </c>
      <c r="AH3" s="1043">
        <v>235000000</v>
      </c>
      <c r="AI3" s="1043">
        <v>0</v>
      </c>
      <c r="AJ3" s="1043">
        <v>0</v>
      </c>
      <c r="AK3" s="665">
        <f>+AH3/$AL$1*$AM$1</f>
        <v>235000</v>
      </c>
      <c r="AL3" s="1043">
        <f t="shared" ref="AL3:AM3" si="1">+AI3/$AL$1*$AM$1</f>
        <v>0</v>
      </c>
      <c r="AM3" s="1043">
        <f t="shared" si="1"/>
        <v>0</v>
      </c>
      <c r="AO3" s="1299" t="s">
        <v>1073</v>
      </c>
      <c r="AP3" s="1299"/>
      <c r="AQ3" s="1299"/>
      <c r="AR3" s="1299"/>
      <c r="AS3" s="1299"/>
      <c r="AU3" s="1042" t="s">
        <v>1065</v>
      </c>
      <c r="AV3" s="688" t="s">
        <v>1066</v>
      </c>
      <c r="AW3" s="1043">
        <v>235000000</v>
      </c>
      <c r="AX3" s="1043">
        <v>0</v>
      </c>
      <c r="AY3" s="1043">
        <v>0</v>
      </c>
      <c r="AZ3" s="1043">
        <f>+AW3/$AZ$1*$BA$1</f>
        <v>235000</v>
      </c>
      <c r="BA3" s="1043">
        <f t="shared" ref="BA3:BB3" si="2">+AX3/$AZ$1*$BA$1</f>
        <v>0</v>
      </c>
      <c r="BB3" s="1043">
        <f t="shared" si="2"/>
        <v>0</v>
      </c>
      <c r="BD3" s="1299" t="s">
        <v>1073</v>
      </c>
      <c r="BE3" s="1299"/>
      <c r="BF3" s="1299"/>
      <c r="BG3" s="1299"/>
      <c r="BH3" s="1299"/>
      <c r="BJ3" s="668" t="s">
        <v>1079</v>
      </c>
      <c r="BK3" s="663" t="s">
        <v>1080</v>
      </c>
      <c r="BL3" s="663" t="s">
        <v>426</v>
      </c>
      <c r="BM3" s="663" t="s">
        <v>426</v>
      </c>
      <c r="BN3" s="665">
        <v>205000000</v>
      </c>
      <c r="BO3" s="665">
        <v>0</v>
      </c>
      <c r="BP3" s="665">
        <v>0</v>
      </c>
      <c r="BQ3" s="669">
        <f>BN3/$BQ$1*$BR$1</f>
        <v>205000</v>
      </c>
      <c r="BR3" s="669">
        <f t="shared" ref="BR3:BS3" si="3">BO3/$BQ$1*$BR$1</f>
        <v>0</v>
      </c>
      <c r="BS3" s="669">
        <f t="shared" si="3"/>
        <v>0</v>
      </c>
      <c r="BU3" s="1299" t="s">
        <v>1073</v>
      </c>
      <c r="BV3" s="1299"/>
      <c r="BW3" s="1299"/>
      <c r="BX3" s="1299"/>
      <c r="BY3" s="1299"/>
      <c r="CA3" s="1044" t="s">
        <v>1122</v>
      </c>
      <c r="CB3" s="1046" t="s">
        <v>1123</v>
      </c>
      <c r="CC3" s="1045">
        <v>10000000</v>
      </c>
      <c r="CD3" s="1045">
        <v>0</v>
      </c>
      <c r="CE3" s="1045">
        <v>0</v>
      </c>
      <c r="CF3" s="1045">
        <f>+CC3/$CG$1*$CH$1</f>
        <v>10000</v>
      </c>
      <c r="CG3" s="1045">
        <f t="shared" ref="CG3:CH3" si="4">+CD3/$CG$1*$CH$1</f>
        <v>0</v>
      </c>
      <c r="CH3" s="1045">
        <f t="shared" si="4"/>
        <v>0</v>
      </c>
      <c r="CK3" s="1299" t="s">
        <v>1073</v>
      </c>
      <c r="CL3" s="1299"/>
      <c r="CM3" s="1299"/>
      <c r="CN3" s="1299"/>
      <c r="CO3" s="1299"/>
      <c r="CQ3" s="655" t="s">
        <v>1122</v>
      </c>
      <c r="CR3" s="655" t="s">
        <v>1123</v>
      </c>
      <c r="CS3" s="691">
        <v>10000000</v>
      </c>
      <c r="CT3" s="691">
        <v>0</v>
      </c>
      <c r="CU3" s="691">
        <v>0</v>
      </c>
      <c r="CV3" s="691">
        <f>+CS3/$CW$1*$CX$1</f>
        <v>10000</v>
      </c>
      <c r="CW3" s="691">
        <f t="shared" ref="CW3:CX3" si="5">+CT3/$CW$1*$CX$1</f>
        <v>0</v>
      </c>
      <c r="CX3" s="691">
        <f t="shared" si="5"/>
        <v>0</v>
      </c>
      <c r="DA3" s="1299" t="s">
        <v>1073</v>
      </c>
      <c r="DB3" s="1299"/>
      <c r="DC3" s="1299"/>
      <c r="DD3" s="1299"/>
      <c r="DE3" s="1299"/>
      <c r="DG3" s="688" t="s">
        <v>1122</v>
      </c>
      <c r="DH3" s="689" t="s">
        <v>1123</v>
      </c>
      <c r="DI3" s="690">
        <v>10000000</v>
      </c>
      <c r="DJ3" s="690">
        <v>0</v>
      </c>
      <c r="DK3" s="690">
        <v>0</v>
      </c>
      <c r="DL3" s="690">
        <f>+DI3/$DM$1*$DN$1</f>
        <v>10000</v>
      </c>
      <c r="DM3" s="690">
        <f t="shared" ref="DM3:DN3" si="6">+DJ3/$DM$1*$DN$1</f>
        <v>0</v>
      </c>
      <c r="DN3" s="690">
        <f t="shared" si="6"/>
        <v>0</v>
      </c>
    </row>
    <row r="4" spans="1:118" ht="15" customHeight="1" x14ac:dyDescent="0.2">
      <c r="A4" s="668" t="s">
        <v>633</v>
      </c>
      <c r="B4" s="668" t="s">
        <v>634</v>
      </c>
      <c r="C4" s="687">
        <v>14820325000</v>
      </c>
      <c r="D4" s="687">
        <v>0</v>
      </c>
      <c r="E4" s="687">
        <v>0</v>
      </c>
      <c r="F4" s="687">
        <f t="shared" ref="F4:F6" si="7">+C4/$F$1*$G$1</f>
        <v>14820325</v>
      </c>
      <c r="O4" s="688" t="s">
        <v>633</v>
      </c>
      <c r="P4" s="689" t="s">
        <v>634</v>
      </c>
      <c r="Q4" s="690">
        <v>14820325000</v>
      </c>
      <c r="R4" s="690">
        <v>0</v>
      </c>
      <c r="S4" s="690">
        <v>0</v>
      </c>
      <c r="T4" s="1041">
        <f t="shared" ref="T4:T6" si="8">+Q4/$U$1*$V$1</f>
        <v>14820325</v>
      </c>
      <c r="U4" s="1041">
        <f t="shared" ref="U4:U6" si="9">+R4/$U$1*$V$1</f>
        <v>0</v>
      </c>
      <c r="V4" s="1041">
        <f t="shared" ref="V4:V6" si="10">+S4/$U$1*$V$1</f>
        <v>0</v>
      </c>
      <c r="X4" s="688" t="s">
        <v>1067</v>
      </c>
      <c r="Y4" s="689" t="s">
        <v>88</v>
      </c>
      <c r="Z4" s="688" t="s">
        <v>426</v>
      </c>
      <c r="AA4" s="688" t="s">
        <v>426</v>
      </c>
      <c r="AB4" s="690">
        <v>0</v>
      </c>
      <c r="AD4" s="1042" t="s">
        <v>1067</v>
      </c>
      <c r="AE4" s="689" t="s">
        <v>88</v>
      </c>
      <c r="AF4" s="1042" t="s">
        <v>426</v>
      </c>
      <c r="AG4" s="1042" t="s">
        <v>426</v>
      </c>
      <c r="AH4" s="1043">
        <v>6053370000</v>
      </c>
      <c r="AI4" s="1043">
        <v>0</v>
      </c>
      <c r="AJ4" s="1043">
        <v>0</v>
      </c>
      <c r="AK4" s="665">
        <f t="shared" ref="AK4:AK8" si="11">+AH4/$AL$1*$AM$1</f>
        <v>6053370</v>
      </c>
      <c r="AL4" s="1043">
        <f t="shared" ref="AL4:AL8" si="12">+AI4/$AL$1*$AM$1</f>
        <v>0</v>
      </c>
      <c r="AM4" s="1043">
        <f t="shared" ref="AM4:AM8" si="13">+AJ4/$AL$1*$AM$1</f>
        <v>0</v>
      </c>
      <c r="AU4" s="1042" t="s">
        <v>1067</v>
      </c>
      <c r="AV4" s="688" t="s">
        <v>88</v>
      </c>
      <c r="AW4" s="1043">
        <v>6053370000</v>
      </c>
      <c r="AX4" s="1043">
        <v>0</v>
      </c>
      <c r="AY4" s="1043">
        <v>0</v>
      </c>
      <c r="AZ4" s="1043">
        <f t="shared" ref="AZ4:AZ8" si="14">+AW4/$AZ$1*$BA$1</f>
        <v>6053370</v>
      </c>
      <c r="BA4" s="1043">
        <f t="shared" ref="BA4:BA8" si="15">+AX4/$AZ$1*$BA$1</f>
        <v>0</v>
      </c>
      <c r="BB4" s="1043">
        <f t="shared" ref="BB4:BB8" si="16">+AY4/$AZ$1*$BA$1</f>
        <v>0</v>
      </c>
      <c r="BJ4" s="668" t="s">
        <v>1081</v>
      </c>
      <c r="BK4" s="663" t="s">
        <v>1082</v>
      </c>
      <c r="BL4" s="663" t="s">
        <v>426</v>
      </c>
      <c r="BM4" s="663" t="s">
        <v>426</v>
      </c>
      <c r="BN4" s="665">
        <v>2720606000</v>
      </c>
      <c r="BO4" s="665">
        <v>0</v>
      </c>
      <c r="BP4" s="665">
        <v>0</v>
      </c>
      <c r="BQ4" s="669">
        <f t="shared" ref="BQ4:BQ13" si="17">BN4/$BQ$1*$BR$1</f>
        <v>2720606</v>
      </c>
      <c r="BR4" s="669">
        <f t="shared" ref="BR4:BR13" si="18">BO4/$BQ$1*$BR$1</f>
        <v>0</v>
      </c>
      <c r="BS4" s="669">
        <f t="shared" ref="BS4:BS13" si="19">BP4/$BQ$1*$BR$1</f>
        <v>0</v>
      </c>
      <c r="CA4" s="1044" t="s">
        <v>459</v>
      </c>
      <c r="CB4" s="1046" t="s">
        <v>600</v>
      </c>
      <c r="CC4" s="1045">
        <v>77750000</v>
      </c>
      <c r="CD4" s="1045">
        <v>0</v>
      </c>
      <c r="CE4" s="1045">
        <v>0</v>
      </c>
      <c r="CF4" s="1045">
        <f t="shared" ref="CF4:CF23" si="20">+CC4/$CG$1*$CH$1</f>
        <v>77750</v>
      </c>
      <c r="CG4" s="1045">
        <f t="shared" ref="CG4:CG23" si="21">+CD4/$CG$1*$CH$1</f>
        <v>0</v>
      </c>
      <c r="CH4" s="1045">
        <f t="shared" ref="CH4:CH23" si="22">+CE4/$CG$1*$CH$1</f>
        <v>0</v>
      </c>
      <c r="CQ4" s="655" t="s">
        <v>459</v>
      </c>
      <c r="CR4" s="655" t="s">
        <v>600</v>
      </c>
      <c r="CS4" s="691">
        <v>77750000</v>
      </c>
      <c r="CT4" s="691">
        <v>0</v>
      </c>
      <c r="CU4" s="691">
        <v>0</v>
      </c>
      <c r="CV4" s="691">
        <f t="shared" ref="CV4:CV26" si="23">+CS4/$CW$1*$CX$1</f>
        <v>77750</v>
      </c>
      <c r="CW4" s="691">
        <f t="shared" ref="CW4:CW26" si="24">+CT4/$CW$1*$CX$1</f>
        <v>0</v>
      </c>
      <c r="CX4" s="691">
        <f t="shared" ref="CX4:CX26" si="25">+CU4/$CW$1*$CX$1</f>
        <v>0</v>
      </c>
      <c r="DG4" s="688" t="s">
        <v>459</v>
      </c>
      <c r="DH4" s="689" t="s">
        <v>600</v>
      </c>
      <c r="DI4" s="690">
        <v>77750000</v>
      </c>
      <c r="DJ4" s="690">
        <v>0</v>
      </c>
      <c r="DK4" s="690">
        <v>0</v>
      </c>
      <c r="DL4" s="690">
        <f t="shared" ref="DL4:DL26" si="26">+DI4/$DM$1*$DN$1</f>
        <v>77750</v>
      </c>
      <c r="DM4" s="690">
        <f t="shared" ref="DM4:DM26" si="27">+DJ4/$DM$1*$DN$1</f>
        <v>0</v>
      </c>
      <c r="DN4" s="690">
        <f t="shared" ref="DN4:DN26" si="28">+DK4/$DM$1*$DN$1</f>
        <v>0</v>
      </c>
    </row>
    <row r="5" spans="1:118" ht="15" customHeight="1" x14ac:dyDescent="0.2">
      <c r="A5" s="668" t="s">
        <v>431</v>
      </c>
      <c r="B5" s="668" t="s">
        <v>127</v>
      </c>
      <c r="C5" s="687">
        <v>100</v>
      </c>
      <c r="D5" s="687">
        <v>0</v>
      </c>
      <c r="E5" s="687">
        <v>0</v>
      </c>
      <c r="F5" s="687">
        <f t="shared" si="7"/>
        <v>0.1</v>
      </c>
      <c r="O5" s="688" t="s">
        <v>431</v>
      </c>
      <c r="P5" s="689" t="s">
        <v>127</v>
      </c>
      <c r="Q5" s="690">
        <v>100</v>
      </c>
      <c r="R5" s="690">
        <v>0</v>
      </c>
      <c r="S5" s="690">
        <v>0</v>
      </c>
      <c r="T5" s="1041">
        <f t="shared" si="8"/>
        <v>0.1</v>
      </c>
      <c r="U5" s="1041">
        <f t="shared" si="9"/>
        <v>0</v>
      </c>
      <c r="V5" s="1041">
        <f t="shared" si="10"/>
        <v>0</v>
      </c>
      <c r="X5" s="688" t="s">
        <v>633</v>
      </c>
      <c r="Y5" s="689" t="s">
        <v>634</v>
      </c>
      <c r="Z5" s="688" t="s">
        <v>426</v>
      </c>
      <c r="AA5" s="688" t="s">
        <v>426</v>
      </c>
      <c r="AB5" s="690">
        <v>0</v>
      </c>
      <c r="AD5" s="1042" t="s">
        <v>462</v>
      </c>
      <c r="AE5" s="689" t="s">
        <v>241</v>
      </c>
      <c r="AF5" s="1042" t="s">
        <v>426</v>
      </c>
      <c r="AG5" s="1042" t="s">
        <v>426</v>
      </c>
      <c r="AH5" s="1043">
        <v>41272320000</v>
      </c>
      <c r="AI5" s="1043">
        <v>0</v>
      </c>
      <c r="AJ5" s="1043">
        <v>0</v>
      </c>
      <c r="AK5" s="665">
        <f t="shared" si="11"/>
        <v>41272320</v>
      </c>
      <c r="AL5" s="1043">
        <f t="shared" si="12"/>
        <v>0</v>
      </c>
      <c r="AM5" s="1043">
        <f t="shared" si="13"/>
        <v>0</v>
      </c>
      <c r="AU5" s="1042" t="s">
        <v>462</v>
      </c>
      <c r="AV5" s="688" t="s">
        <v>241</v>
      </c>
      <c r="AW5" s="1043">
        <v>41272320000</v>
      </c>
      <c r="AX5" s="1043">
        <v>0</v>
      </c>
      <c r="AY5" s="1043">
        <v>0</v>
      </c>
      <c r="AZ5" s="1043">
        <f t="shared" si="14"/>
        <v>41272320</v>
      </c>
      <c r="BA5" s="1043">
        <f t="shared" si="15"/>
        <v>0</v>
      </c>
      <c r="BB5" s="1043">
        <f t="shared" si="16"/>
        <v>0</v>
      </c>
      <c r="BJ5" s="668" t="s">
        <v>1083</v>
      </c>
      <c r="BK5" s="663" t="s">
        <v>494</v>
      </c>
      <c r="BL5" s="663" t="s">
        <v>426</v>
      </c>
      <c r="BM5" s="663" t="s">
        <v>426</v>
      </c>
      <c r="BN5" s="665">
        <v>147392000</v>
      </c>
      <c r="BO5" s="665">
        <v>0</v>
      </c>
      <c r="BP5" s="665">
        <v>0</v>
      </c>
      <c r="BQ5" s="669">
        <f t="shared" si="17"/>
        <v>147392</v>
      </c>
      <c r="BR5" s="669">
        <f t="shared" si="18"/>
        <v>0</v>
      </c>
      <c r="BS5" s="669">
        <f t="shared" si="19"/>
        <v>0</v>
      </c>
      <c r="CA5" s="1044" t="s">
        <v>1124</v>
      </c>
      <c r="CB5" s="1046" t="s">
        <v>1125</v>
      </c>
      <c r="CC5" s="1045">
        <v>35840000</v>
      </c>
      <c r="CD5" s="1045">
        <v>0</v>
      </c>
      <c r="CE5" s="1045">
        <v>0</v>
      </c>
      <c r="CF5" s="1045">
        <f t="shared" si="20"/>
        <v>35840</v>
      </c>
      <c r="CG5" s="1045">
        <f t="shared" si="21"/>
        <v>0</v>
      </c>
      <c r="CH5" s="1045">
        <f t="shared" si="22"/>
        <v>0</v>
      </c>
      <c r="CQ5" s="655" t="s">
        <v>1124</v>
      </c>
      <c r="CR5" s="655" t="s">
        <v>1125</v>
      </c>
      <c r="CS5" s="691">
        <v>35840000</v>
      </c>
      <c r="CT5" s="691">
        <v>0</v>
      </c>
      <c r="CU5" s="691">
        <v>0</v>
      </c>
      <c r="CV5" s="691">
        <f t="shared" si="23"/>
        <v>35840</v>
      </c>
      <c r="CW5" s="691">
        <f t="shared" si="24"/>
        <v>0</v>
      </c>
      <c r="CX5" s="691">
        <f t="shared" si="25"/>
        <v>0</v>
      </c>
      <c r="DG5" s="688" t="s">
        <v>1124</v>
      </c>
      <c r="DH5" s="689" t="s">
        <v>1125</v>
      </c>
      <c r="DI5" s="690">
        <v>35840000</v>
      </c>
      <c r="DJ5" s="690">
        <v>0</v>
      </c>
      <c r="DK5" s="690">
        <v>0</v>
      </c>
      <c r="DL5" s="690">
        <f t="shared" si="26"/>
        <v>35840</v>
      </c>
      <c r="DM5" s="690">
        <f t="shared" si="27"/>
        <v>0</v>
      </c>
      <c r="DN5" s="690">
        <f t="shared" si="28"/>
        <v>0</v>
      </c>
    </row>
    <row r="6" spans="1:118" ht="15" customHeight="1" x14ac:dyDescent="0.2">
      <c r="A6" s="668" t="s">
        <v>1031</v>
      </c>
      <c r="B6" s="668" t="s">
        <v>124</v>
      </c>
      <c r="C6" s="687">
        <v>200</v>
      </c>
      <c r="D6" s="687">
        <v>0</v>
      </c>
      <c r="E6" s="687">
        <v>0</v>
      </c>
      <c r="F6" s="687">
        <f t="shared" si="7"/>
        <v>0.2</v>
      </c>
      <c r="O6" s="688" t="s">
        <v>1031</v>
      </c>
      <c r="P6" s="689" t="s">
        <v>124</v>
      </c>
      <c r="Q6" s="690">
        <v>200</v>
      </c>
      <c r="R6" s="690">
        <v>0</v>
      </c>
      <c r="S6" s="690">
        <v>0</v>
      </c>
      <c r="T6" s="1041">
        <f t="shared" si="8"/>
        <v>0.2</v>
      </c>
      <c r="U6" s="1041">
        <f t="shared" si="9"/>
        <v>0</v>
      </c>
      <c r="V6" s="1041">
        <f t="shared" si="10"/>
        <v>0</v>
      </c>
      <c r="AD6" s="1042" t="s">
        <v>633</v>
      </c>
      <c r="AE6" s="689" t="s">
        <v>634</v>
      </c>
      <c r="AF6" s="1042" t="s">
        <v>426</v>
      </c>
      <c r="AG6" s="1042" t="s">
        <v>426</v>
      </c>
      <c r="AH6" s="1043">
        <v>5759385000</v>
      </c>
      <c r="AI6" s="1043">
        <v>0</v>
      </c>
      <c r="AJ6" s="1043">
        <v>0</v>
      </c>
      <c r="AK6" s="665">
        <f t="shared" si="11"/>
        <v>5759385</v>
      </c>
      <c r="AL6" s="1043">
        <f t="shared" si="12"/>
        <v>0</v>
      </c>
      <c r="AM6" s="1043">
        <f t="shared" si="13"/>
        <v>0</v>
      </c>
      <c r="AU6" s="1042" t="s">
        <v>633</v>
      </c>
      <c r="AV6" s="688" t="s">
        <v>634</v>
      </c>
      <c r="AW6" s="1043">
        <v>5759385000</v>
      </c>
      <c r="AX6" s="1043">
        <v>0</v>
      </c>
      <c r="AY6" s="1043">
        <v>0</v>
      </c>
      <c r="AZ6" s="1043">
        <f t="shared" si="14"/>
        <v>5759385</v>
      </c>
      <c r="BA6" s="1043">
        <f t="shared" si="15"/>
        <v>0</v>
      </c>
      <c r="BB6" s="1043">
        <f t="shared" si="16"/>
        <v>0</v>
      </c>
      <c r="BJ6" s="668" t="s">
        <v>1084</v>
      </c>
      <c r="BK6" s="663" t="s">
        <v>1085</v>
      </c>
      <c r="BL6" s="663" t="s">
        <v>426</v>
      </c>
      <c r="BM6" s="663" t="s">
        <v>426</v>
      </c>
      <c r="BN6" s="665">
        <v>646829000</v>
      </c>
      <c r="BO6" s="665">
        <v>0</v>
      </c>
      <c r="BP6" s="665">
        <v>0</v>
      </c>
      <c r="BQ6" s="669">
        <f t="shared" si="17"/>
        <v>646829</v>
      </c>
      <c r="BR6" s="669">
        <f t="shared" si="18"/>
        <v>0</v>
      </c>
      <c r="BS6" s="669">
        <f t="shared" si="19"/>
        <v>0</v>
      </c>
      <c r="CA6" s="1044" t="s">
        <v>1079</v>
      </c>
      <c r="CB6" s="1046" t="s">
        <v>1080</v>
      </c>
      <c r="CC6" s="1045">
        <v>205000000</v>
      </c>
      <c r="CD6" s="1045">
        <v>0</v>
      </c>
      <c r="CE6" s="1045">
        <v>0</v>
      </c>
      <c r="CF6" s="1045">
        <f t="shared" si="20"/>
        <v>205000</v>
      </c>
      <c r="CG6" s="1045">
        <f t="shared" si="21"/>
        <v>0</v>
      </c>
      <c r="CH6" s="1045">
        <f t="shared" si="22"/>
        <v>0</v>
      </c>
      <c r="CQ6" s="655" t="s">
        <v>1079</v>
      </c>
      <c r="CR6" s="655" t="s">
        <v>1080</v>
      </c>
      <c r="CS6" s="691">
        <v>205000000</v>
      </c>
      <c r="CT6" s="691">
        <v>0</v>
      </c>
      <c r="CU6" s="691">
        <v>0</v>
      </c>
      <c r="CV6" s="691">
        <f t="shared" si="23"/>
        <v>205000</v>
      </c>
      <c r="CW6" s="691">
        <f t="shared" si="24"/>
        <v>0</v>
      </c>
      <c r="CX6" s="691">
        <f t="shared" si="25"/>
        <v>0</v>
      </c>
      <c r="DG6" s="688" t="s">
        <v>1079</v>
      </c>
      <c r="DH6" s="689" t="s">
        <v>1080</v>
      </c>
      <c r="DI6" s="690">
        <v>205000000</v>
      </c>
      <c r="DJ6" s="690">
        <v>0</v>
      </c>
      <c r="DK6" s="690">
        <v>0</v>
      </c>
      <c r="DL6" s="690">
        <f t="shared" si="26"/>
        <v>205000</v>
      </c>
      <c r="DM6" s="690">
        <f t="shared" si="27"/>
        <v>0</v>
      </c>
      <c r="DN6" s="690">
        <f t="shared" si="28"/>
        <v>0</v>
      </c>
    </row>
    <row r="7" spans="1:118" ht="15" customHeight="1" x14ac:dyDescent="0.2">
      <c r="AD7" s="1042" t="s">
        <v>431</v>
      </c>
      <c r="AE7" s="689" t="s">
        <v>127</v>
      </c>
      <c r="AF7" s="1042" t="s">
        <v>426</v>
      </c>
      <c r="AG7" s="1042" t="s">
        <v>426</v>
      </c>
      <c r="AH7" s="1043">
        <v>100</v>
      </c>
      <c r="AI7" s="1043">
        <v>0</v>
      </c>
      <c r="AJ7" s="1043">
        <v>0</v>
      </c>
      <c r="AK7" s="665">
        <f t="shared" si="11"/>
        <v>0.1</v>
      </c>
      <c r="AL7" s="1043">
        <f t="shared" si="12"/>
        <v>0</v>
      </c>
      <c r="AM7" s="1043">
        <f t="shared" si="13"/>
        <v>0</v>
      </c>
      <c r="AU7" s="1042" t="s">
        <v>431</v>
      </c>
      <c r="AV7" s="688" t="s">
        <v>127</v>
      </c>
      <c r="AW7" s="1043">
        <v>100</v>
      </c>
      <c r="AX7" s="1043">
        <v>0</v>
      </c>
      <c r="AY7" s="1043">
        <v>0</v>
      </c>
      <c r="AZ7" s="1043">
        <f t="shared" si="14"/>
        <v>0.1</v>
      </c>
      <c r="BA7" s="1043">
        <f t="shared" si="15"/>
        <v>0</v>
      </c>
      <c r="BB7" s="1043">
        <f t="shared" si="16"/>
        <v>0</v>
      </c>
      <c r="BJ7" s="668" t="s">
        <v>1065</v>
      </c>
      <c r="BK7" s="663" t="s">
        <v>1066</v>
      </c>
      <c r="BL7" s="663" t="s">
        <v>426</v>
      </c>
      <c r="BM7" s="663" t="s">
        <v>426</v>
      </c>
      <c r="BN7" s="665">
        <v>235000000</v>
      </c>
      <c r="BO7" s="665">
        <v>0</v>
      </c>
      <c r="BP7" s="665">
        <v>0</v>
      </c>
      <c r="BQ7" s="669">
        <f t="shared" si="17"/>
        <v>235000</v>
      </c>
      <c r="BR7" s="669">
        <f t="shared" si="18"/>
        <v>0</v>
      </c>
      <c r="BS7" s="669">
        <f t="shared" si="19"/>
        <v>0</v>
      </c>
      <c r="CA7" s="1044" t="s">
        <v>1079</v>
      </c>
      <c r="CB7" s="1046" t="s">
        <v>1080</v>
      </c>
      <c r="CC7" s="1045">
        <v>47000000</v>
      </c>
      <c r="CD7" s="1045">
        <v>0</v>
      </c>
      <c r="CE7" s="1045">
        <v>0</v>
      </c>
      <c r="CF7" s="1045">
        <f t="shared" si="20"/>
        <v>47000</v>
      </c>
      <c r="CG7" s="1045">
        <f t="shared" si="21"/>
        <v>0</v>
      </c>
      <c r="CH7" s="1045">
        <f t="shared" si="22"/>
        <v>0</v>
      </c>
      <c r="CQ7" s="655" t="s">
        <v>1079</v>
      </c>
      <c r="CR7" s="655" t="s">
        <v>1080</v>
      </c>
      <c r="CS7" s="691">
        <v>47000000</v>
      </c>
      <c r="CT7" s="691">
        <v>0</v>
      </c>
      <c r="CU7" s="691">
        <v>0</v>
      </c>
      <c r="CV7" s="691">
        <f t="shared" si="23"/>
        <v>47000</v>
      </c>
      <c r="CW7" s="691">
        <f t="shared" si="24"/>
        <v>0</v>
      </c>
      <c r="CX7" s="691">
        <f t="shared" si="25"/>
        <v>0</v>
      </c>
      <c r="DG7" s="688" t="s">
        <v>1079</v>
      </c>
      <c r="DH7" s="689" t="s">
        <v>1080</v>
      </c>
      <c r="DI7" s="690">
        <v>47000000</v>
      </c>
      <c r="DJ7" s="690">
        <v>0</v>
      </c>
      <c r="DK7" s="690">
        <v>0</v>
      </c>
      <c r="DL7" s="690">
        <f t="shared" si="26"/>
        <v>47000</v>
      </c>
      <c r="DM7" s="690">
        <f t="shared" si="27"/>
        <v>0</v>
      </c>
      <c r="DN7" s="690">
        <f t="shared" si="28"/>
        <v>0</v>
      </c>
    </row>
    <row r="8" spans="1:118" ht="15" customHeight="1" x14ac:dyDescent="0.2">
      <c r="AD8" s="1042" t="s">
        <v>1031</v>
      </c>
      <c r="AE8" s="689" t="s">
        <v>124</v>
      </c>
      <c r="AF8" s="1042" t="s">
        <v>426</v>
      </c>
      <c r="AG8" s="1042" t="s">
        <v>426</v>
      </c>
      <c r="AH8" s="1043">
        <v>200</v>
      </c>
      <c r="AI8" s="1043">
        <v>0</v>
      </c>
      <c r="AJ8" s="1043">
        <v>0</v>
      </c>
      <c r="AK8" s="665">
        <f t="shared" si="11"/>
        <v>0.2</v>
      </c>
      <c r="AL8" s="1043">
        <f t="shared" si="12"/>
        <v>0</v>
      </c>
      <c r="AM8" s="1043">
        <f t="shared" si="13"/>
        <v>0</v>
      </c>
      <c r="AU8" s="1042" t="s">
        <v>1031</v>
      </c>
      <c r="AV8" s="688" t="s">
        <v>124</v>
      </c>
      <c r="AW8" s="1043">
        <v>200</v>
      </c>
      <c r="AX8" s="1043">
        <v>0</v>
      </c>
      <c r="AY8" s="1043">
        <v>0</v>
      </c>
      <c r="AZ8" s="1043">
        <f t="shared" si="14"/>
        <v>0.2</v>
      </c>
      <c r="BA8" s="1043">
        <f t="shared" si="15"/>
        <v>0</v>
      </c>
      <c r="BB8" s="1043">
        <f t="shared" si="16"/>
        <v>0</v>
      </c>
      <c r="BJ8" s="668" t="s">
        <v>1067</v>
      </c>
      <c r="BK8" s="663" t="s">
        <v>88</v>
      </c>
      <c r="BL8" s="663" t="s">
        <v>426</v>
      </c>
      <c r="BM8" s="663" t="s">
        <v>426</v>
      </c>
      <c r="BN8" s="665">
        <v>6053370000</v>
      </c>
      <c r="BO8" s="665">
        <v>0</v>
      </c>
      <c r="BP8" s="665">
        <v>0</v>
      </c>
      <c r="BQ8" s="669">
        <f t="shared" si="17"/>
        <v>6053370</v>
      </c>
      <c r="BR8" s="669">
        <f t="shared" si="18"/>
        <v>0</v>
      </c>
      <c r="BS8" s="669">
        <f t="shared" si="19"/>
        <v>0</v>
      </c>
      <c r="CA8" s="1044" t="s">
        <v>1126</v>
      </c>
      <c r="CB8" s="1046" t="s">
        <v>1127</v>
      </c>
      <c r="CC8" s="1045">
        <v>50000000</v>
      </c>
      <c r="CD8" s="1045">
        <v>0</v>
      </c>
      <c r="CE8" s="1045">
        <v>0</v>
      </c>
      <c r="CF8" s="1045">
        <f t="shared" si="20"/>
        <v>50000</v>
      </c>
      <c r="CG8" s="1045">
        <f t="shared" si="21"/>
        <v>0</v>
      </c>
      <c r="CH8" s="1045">
        <f t="shared" si="22"/>
        <v>0</v>
      </c>
      <c r="CQ8" s="655" t="s">
        <v>1126</v>
      </c>
      <c r="CR8" s="655" t="s">
        <v>1127</v>
      </c>
      <c r="CS8" s="691">
        <v>50000000</v>
      </c>
      <c r="CT8" s="691">
        <v>0</v>
      </c>
      <c r="CU8" s="691">
        <v>0</v>
      </c>
      <c r="CV8" s="691">
        <f t="shared" si="23"/>
        <v>50000</v>
      </c>
      <c r="CW8" s="691">
        <f t="shared" si="24"/>
        <v>0</v>
      </c>
      <c r="CX8" s="691">
        <f t="shared" si="25"/>
        <v>0</v>
      </c>
      <c r="DG8" s="688" t="s">
        <v>1126</v>
      </c>
      <c r="DH8" s="689" t="s">
        <v>1127</v>
      </c>
      <c r="DI8" s="690">
        <v>50000000</v>
      </c>
      <c r="DJ8" s="690">
        <v>0</v>
      </c>
      <c r="DK8" s="690">
        <v>0</v>
      </c>
      <c r="DL8" s="690">
        <f t="shared" si="26"/>
        <v>50000</v>
      </c>
      <c r="DM8" s="690">
        <f t="shared" si="27"/>
        <v>0</v>
      </c>
      <c r="DN8" s="690">
        <f t="shared" si="28"/>
        <v>0</v>
      </c>
    </row>
    <row r="9" spans="1:118" ht="15" customHeight="1" x14ac:dyDescent="0.2">
      <c r="AL9" s="1043"/>
      <c r="AM9" s="1043"/>
      <c r="BJ9" s="668" t="s">
        <v>1086</v>
      </c>
      <c r="BK9" s="663" t="s">
        <v>1087</v>
      </c>
      <c r="BL9" s="663" t="s">
        <v>426</v>
      </c>
      <c r="BM9" s="663" t="s">
        <v>426</v>
      </c>
      <c r="BN9" s="665">
        <v>136215000</v>
      </c>
      <c r="BO9" s="665">
        <v>0</v>
      </c>
      <c r="BP9" s="665">
        <v>0</v>
      </c>
      <c r="BQ9" s="669">
        <f t="shared" si="17"/>
        <v>136215</v>
      </c>
      <c r="BR9" s="669">
        <f t="shared" si="18"/>
        <v>0</v>
      </c>
      <c r="BS9" s="669">
        <f t="shared" si="19"/>
        <v>0</v>
      </c>
      <c r="CA9" s="1044" t="s">
        <v>1128</v>
      </c>
      <c r="CB9" s="1046" t="s">
        <v>1129</v>
      </c>
      <c r="CC9" s="1045">
        <v>25000000</v>
      </c>
      <c r="CD9" s="1045">
        <v>0</v>
      </c>
      <c r="CE9" s="1045">
        <v>0</v>
      </c>
      <c r="CF9" s="1045">
        <f t="shared" si="20"/>
        <v>25000</v>
      </c>
      <c r="CG9" s="1045">
        <f t="shared" si="21"/>
        <v>0</v>
      </c>
      <c r="CH9" s="1045">
        <f t="shared" si="22"/>
        <v>0</v>
      </c>
      <c r="CQ9" s="655" t="s">
        <v>1128</v>
      </c>
      <c r="CR9" s="655" t="s">
        <v>1129</v>
      </c>
      <c r="CS9" s="691">
        <v>25000000</v>
      </c>
      <c r="CT9" s="691">
        <v>0</v>
      </c>
      <c r="CU9" s="691">
        <v>0</v>
      </c>
      <c r="CV9" s="691">
        <f t="shared" si="23"/>
        <v>25000</v>
      </c>
      <c r="CW9" s="691">
        <f t="shared" si="24"/>
        <v>0</v>
      </c>
      <c r="CX9" s="691">
        <f t="shared" si="25"/>
        <v>0</v>
      </c>
      <c r="DG9" s="688" t="s">
        <v>1128</v>
      </c>
      <c r="DH9" s="689" t="s">
        <v>1129</v>
      </c>
      <c r="DI9" s="690">
        <v>25000000</v>
      </c>
      <c r="DJ9" s="690">
        <v>0</v>
      </c>
      <c r="DK9" s="690">
        <v>0</v>
      </c>
      <c r="DL9" s="690">
        <f t="shared" si="26"/>
        <v>25000</v>
      </c>
      <c r="DM9" s="690">
        <f t="shared" si="27"/>
        <v>0</v>
      </c>
      <c r="DN9" s="690">
        <f t="shared" si="28"/>
        <v>0</v>
      </c>
    </row>
    <row r="10" spans="1:118" ht="15" customHeight="1" x14ac:dyDescent="0.2">
      <c r="BJ10" s="668" t="s">
        <v>462</v>
      </c>
      <c r="BK10" s="663" t="s">
        <v>241</v>
      </c>
      <c r="BL10" s="663" t="s">
        <v>426</v>
      </c>
      <c r="BM10" s="663" t="s">
        <v>426</v>
      </c>
      <c r="BN10" s="665">
        <v>41272320000</v>
      </c>
      <c r="BO10" s="665">
        <v>0</v>
      </c>
      <c r="BP10" s="665">
        <v>0</v>
      </c>
      <c r="BQ10" s="669">
        <f t="shared" si="17"/>
        <v>41272320</v>
      </c>
      <c r="BR10" s="669">
        <f t="shared" si="18"/>
        <v>0</v>
      </c>
      <c r="BS10" s="669">
        <f t="shared" si="19"/>
        <v>0</v>
      </c>
      <c r="CA10" s="1044" t="s">
        <v>461</v>
      </c>
      <c r="CB10" s="1046" t="s">
        <v>1130</v>
      </c>
      <c r="CC10" s="1045">
        <v>1450000</v>
      </c>
      <c r="CD10" s="1045">
        <v>0</v>
      </c>
      <c r="CE10" s="1045">
        <v>0</v>
      </c>
      <c r="CF10" s="1045">
        <f t="shared" si="20"/>
        <v>1450</v>
      </c>
      <c r="CG10" s="1045">
        <f t="shared" si="21"/>
        <v>0</v>
      </c>
      <c r="CH10" s="1045">
        <f t="shared" si="22"/>
        <v>0</v>
      </c>
      <c r="CQ10" s="655" t="s">
        <v>461</v>
      </c>
      <c r="CR10" s="655" t="s">
        <v>1130</v>
      </c>
      <c r="CS10" s="691">
        <v>1450000</v>
      </c>
      <c r="CT10" s="691">
        <v>0</v>
      </c>
      <c r="CU10" s="691">
        <v>0</v>
      </c>
      <c r="CV10" s="691">
        <f t="shared" si="23"/>
        <v>1450</v>
      </c>
      <c r="CW10" s="691">
        <f t="shared" si="24"/>
        <v>0</v>
      </c>
      <c r="CX10" s="691">
        <f t="shared" si="25"/>
        <v>0</v>
      </c>
      <c r="DG10" s="688" t="s">
        <v>461</v>
      </c>
      <c r="DH10" s="689" t="s">
        <v>1130</v>
      </c>
      <c r="DI10" s="690">
        <v>1450000</v>
      </c>
      <c r="DJ10" s="690">
        <v>0</v>
      </c>
      <c r="DK10" s="690">
        <v>0</v>
      </c>
      <c r="DL10" s="690">
        <f t="shared" si="26"/>
        <v>1450</v>
      </c>
      <c r="DM10" s="690">
        <f t="shared" si="27"/>
        <v>0</v>
      </c>
      <c r="DN10" s="690">
        <f t="shared" si="28"/>
        <v>0</v>
      </c>
    </row>
    <row r="11" spans="1:118" ht="15" customHeight="1" x14ac:dyDescent="0.2">
      <c r="BJ11" s="668" t="s">
        <v>633</v>
      </c>
      <c r="BK11" s="663" t="s">
        <v>634</v>
      </c>
      <c r="BL11" s="663" t="s">
        <v>426</v>
      </c>
      <c r="BM11" s="663" t="s">
        <v>426</v>
      </c>
      <c r="BN11" s="665">
        <v>6903343000</v>
      </c>
      <c r="BO11" s="665">
        <v>0</v>
      </c>
      <c r="BP11" s="665">
        <v>0</v>
      </c>
      <c r="BQ11" s="669">
        <f t="shared" si="17"/>
        <v>6903343</v>
      </c>
      <c r="BR11" s="669">
        <f t="shared" si="18"/>
        <v>0</v>
      </c>
      <c r="BS11" s="669">
        <f t="shared" si="19"/>
        <v>0</v>
      </c>
      <c r="CA11" s="1044" t="s">
        <v>1131</v>
      </c>
      <c r="CB11" s="1046" t="s">
        <v>1132</v>
      </c>
      <c r="CC11" s="1045">
        <v>60000000</v>
      </c>
      <c r="CD11" s="1045">
        <v>0</v>
      </c>
      <c r="CE11" s="1045">
        <v>0</v>
      </c>
      <c r="CF11" s="1045">
        <f t="shared" si="20"/>
        <v>60000</v>
      </c>
      <c r="CG11" s="1045">
        <f t="shared" si="21"/>
        <v>0</v>
      </c>
      <c r="CH11" s="1045">
        <f t="shared" si="22"/>
        <v>0</v>
      </c>
      <c r="CQ11" s="655" t="s">
        <v>1131</v>
      </c>
      <c r="CR11" s="655" t="s">
        <v>1132</v>
      </c>
      <c r="CS11" s="691">
        <v>60000000</v>
      </c>
      <c r="CT11" s="691">
        <v>0</v>
      </c>
      <c r="CU11" s="691">
        <v>0</v>
      </c>
      <c r="CV11" s="691">
        <f t="shared" si="23"/>
        <v>60000</v>
      </c>
      <c r="CW11" s="691">
        <f t="shared" si="24"/>
        <v>0</v>
      </c>
      <c r="CX11" s="691">
        <f t="shared" si="25"/>
        <v>0</v>
      </c>
      <c r="DG11" s="688" t="s">
        <v>1131</v>
      </c>
      <c r="DH11" s="689" t="s">
        <v>1132</v>
      </c>
      <c r="DI11" s="690">
        <v>60000000</v>
      </c>
      <c r="DJ11" s="690">
        <v>0</v>
      </c>
      <c r="DK11" s="690">
        <v>0</v>
      </c>
      <c r="DL11" s="690">
        <f t="shared" si="26"/>
        <v>60000</v>
      </c>
      <c r="DM11" s="690">
        <f t="shared" si="27"/>
        <v>0</v>
      </c>
      <c r="DN11" s="690">
        <f t="shared" si="28"/>
        <v>0</v>
      </c>
    </row>
    <row r="12" spans="1:118" ht="15" customHeight="1" x14ac:dyDescent="0.2">
      <c r="BJ12" s="668" t="s">
        <v>431</v>
      </c>
      <c r="BK12" s="663" t="s">
        <v>127</v>
      </c>
      <c r="BL12" s="663" t="s">
        <v>426</v>
      </c>
      <c r="BM12" s="663" t="s">
        <v>426</v>
      </c>
      <c r="BN12" s="665">
        <v>100</v>
      </c>
      <c r="BO12" s="665">
        <v>0</v>
      </c>
      <c r="BP12" s="665">
        <v>0</v>
      </c>
      <c r="BQ12" s="669">
        <f t="shared" si="17"/>
        <v>0.1</v>
      </c>
      <c r="BR12" s="669">
        <f t="shared" si="18"/>
        <v>0</v>
      </c>
      <c r="BS12" s="669">
        <f t="shared" si="19"/>
        <v>0</v>
      </c>
      <c r="CA12" s="1044" t="s">
        <v>1133</v>
      </c>
      <c r="CB12" s="1046" t="s">
        <v>1134</v>
      </c>
      <c r="CC12" s="1045">
        <v>12500000</v>
      </c>
      <c r="CD12" s="1045">
        <v>0</v>
      </c>
      <c r="CE12" s="1045">
        <v>0</v>
      </c>
      <c r="CF12" s="1045">
        <f t="shared" si="20"/>
        <v>12500</v>
      </c>
      <c r="CG12" s="1045">
        <f t="shared" si="21"/>
        <v>0</v>
      </c>
      <c r="CH12" s="1045">
        <f t="shared" si="22"/>
        <v>0</v>
      </c>
      <c r="CQ12" s="655" t="s">
        <v>1133</v>
      </c>
      <c r="CR12" s="655" t="s">
        <v>1134</v>
      </c>
      <c r="CS12" s="691">
        <v>12500000</v>
      </c>
      <c r="CT12" s="691">
        <v>0</v>
      </c>
      <c r="CU12" s="691">
        <v>0</v>
      </c>
      <c r="CV12" s="691">
        <f t="shared" si="23"/>
        <v>12500</v>
      </c>
      <c r="CW12" s="691">
        <f t="shared" si="24"/>
        <v>0</v>
      </c>
      <c r="CX12" s="691">
        <f t="shared" si="25"/>
        <v>0</v>
      </c>
      <c r="DG12" s="688" t="s">
        <v>1133</v>
      </c>
      <c r="DH12" s="689" t="s">
        <v>1134</v>
      </c>
      <c r="DI12" s="690">
        <v>12500000</v>
      </c>
      <c r="DJ12" s="690">
        <v>0</v>
      </c>
      <c r="DK12" s="690">
        <v>0</v>
      </c>
      <c r="DL12" s="690">
        <f t="shared" si="26"/>
        <v>12500</v>
      </c>
      <c r="DM12" s="690">
        <f t="shared" si="27"/>
        <v>0</v>
      </c>
      <c r="DN12" s="690">
        <f t="shared" si="28"/>
        <v>0</v>
      </c>
    </row>
    <row r="13" spans="1:118" ht="15" customHeight="1" x14ac:dyDescent="0.2">
      <c r="BJ13" s="668" t="s">
        <v>1031</v>
      </c>
      <c r="BK13" s="663" t="s">
        <v>124</v>
      </c>
      <c r="BL13" s="663" t="s">
        <v>426</v>
      </c>
      <c r="BM13" s="663" t="s">
        <v>426</v>
      </c>
      <c r="BN13" s="665">
        <v>200</v>
      </c>
      <c r="BO13" s="665">
        <v>0</v>
      </c>
      <c r="BP13" s="665">
        <v>0</v>
      </c>
      <c r="BQ13" s="669">
        <f t="shared" si="17"/>
        <v>0.2</v>
      </c>
      <c r="BR13" s="669">
        <f t="shared" si="18"/>
        <v>0</v>
      </c>
      <c r="BS13" s="669">
        <f t="shared" si="19"/>
        <v>0</v>
      </c>
      <c r="CA13" s="1044" t="s">
        <v>1135</v>
      </c>
      <c r="CB13" s="1046" t="s">
        <v>592</v>
      </c>
      <c r="CC13" s="1045">
        <v>38400000</v>
      </c>
      <c r="CD13" s="1045">
        <v>0</v>
      </c>
      <c r="CE13" s="1045">
        <v>0</v>
      </c>
      <c r="CF13" s="1045">
        <f t="shared" si="20"/>
        <v>38400</v>
      </c>
      <c r="CG13" s="1045">
        <f t="shared" si="21"/>
        <v>0</v>
      </c>
      <c r="CH13" s="1045">
        <f t="shared" si="22"/>
        <v>0</v>
      </c>
      <c r="CQ13" s="655" t="s">
        <v>1135</v>
      </c>
      <c r="CR13" s="655" t="s">
        <v>592</v>
      </c>
      <c r="CS13" s="691">
        <v>38400000</v>
      </c>
      <c r="CT13" s="691">
        <v>0</v>
      </c>
      <c r="CU13" s="691">
        <v>0</v>
      </c>
      <c r="CV13" s="691">
        <f t="shared" si="23"/>
        <v>38400</v>
      </c>
      <c r="CW13" s="691">
        <f t="shared" si="24"/>
        <v>0</v>
      </c>
      <c r="CX13" s="691">
        <f t="shared" si="25"/>
        <v>0</v>
      </c>
      <c r="DG13" s="688" t="s">
        <v>1135</v>
      </c>
      <c r="DH13" s="689" t="s">
        <v>592</v>
      </c>
      <c r="DI13" s="690">
        <v>38400000</v>
      </c>
      <c r="DJ13" s="690">
        <v>0</v>
      </c>
      <c r="DK13" s="690">
        <v>0</v>
      </c>
      <c r="DL13" s="690">
        <f t="shared" si="26"/>
        <v>38400</v>
      </c>
      <c r="DM13" s="690">
        <f t="shared" si="27"/>
        <v>0</v>
      </c>
      <c r="DN13" s="690">
        <f t="shared" si="28"/>
        <v>0</v>
      </c>
    </row>
    <row r="14" spans="1:118" ht="15" customHeight="1" x14ac:dyDescent="0.2">
      <c r="BQ14" s="669">
        <f t="shared" ref="BQ14:BR14" si="29">SUM(BQ3:BQ13)</f>
        <v>58320075.300000004</v>
      </c>
      <c r="BR14" s="669">
        <f t="shared" si="29"/>
        <v>0</v>
      </c>
      <c r="BS14" s="669">
        <f>SUM(BS3:BS13)</f>
        <v>0</v>
      </c>
      <c r="CA14" s="1044" t="s">
        <v>1081</v>
      </c>
      <c r="CB14" s="1046" t="s">
        <v>1082</v>
      </c>
      <c r="CC14" s="1045">
        <v>2720606000</v>
      </c>
      <c r="CD14" s="1045">
        <v>0</v>
      </c>
      <c r="CE14" s="1045">
        <v>0</v>
      </c>
      <c r="CF14" s="1045">
        <f t="shared" si="20"/>
        <v>2720606</v>
      </c>
      <c r="CG14" s="1045">
        <f t="shared" si="21"/>
        <v>0</v>
      </c>
      <c r="CH14" s="1045">
        <f t="shared" si="22"/>
        <v>0</v>
      </c>
      <c r="CQ14" s="655" t="s">
        <v>1081</v>
      </c>
      <c r="CR14" s="655" t="s">
        <v>1082</v>
      </c>
      <c r="CS14" s="691">
        <v>2720606000</v>
      </c>
      <c r="CT14" s="691">
        <v>0</v>
      </c>
      <c r="CU14" s="691">
        <v>0</v>
      </c>
      <c r="CV14" s="691">
        <f t="shared" si="23"/>
        <v>2720606</v>
      </c>
      <c r="CW14" s="691">
        <f t="shared" si="24"/>
        <v>0</v>
      </c>
      <c r="CX14" s="691">
        <f t="shared" si="25"/>
        <v>0</v>
      </c>
      <c r="DG14" s="688" t="s">
        <v>1081</v>
      </c>
      <c r="DH14" s="689" t="s">
        <v>1082</v>
      </c>
      <c r="DI14" s="690">
        <v>2720606000</v>
      </c>
      <c r="DJ14" s="690">
        <v>0</v>
      </c>
      <c r="DK14" s="690">
        <v>0</v>
      </c>
      <c r="DL14" s="690">
        <f t="shared" si="26"/>
        <v>2720606</v>
      </c>
      <c r="DM14" s="690">
        <f t="shared" si="27"/>
        <v>0</v>
      </c>
      <c r="DN14" s="690">
        <f t="shared" si="28"/>
        <v>0</v>
      </c>
    </row>
    <row r="15" spans="1:118" ht="15" customHeight="1" x14ac:dyDescent="0.2">
      <c r="CA15" s="1044" t="s">
        <v>1083</v>
      </c>
      <c r="CB15" s="1046" t="s">
        <v>494</v>
      </c>
      <c r="CC15" s="1045">
        <v>147392000</v>
      </c>
      <c r="CD15" s="1045">
        <v>0</v>
      </c>
      <c r="CE15" s="1045">
        <v>0</v>
      </c>
      <c r="CF15" s="1045">
        <f t="shared" si="20"/>
        <v>147392</v>
      </c>
      <c r="CG15" s="1045">
        <f t="shared" si="21"/>
        <v>0</v>
      </c>
      <c r="CH15" s="1045">
        <f t="shared" si="22"/>
        <v>0</v>
      </c>
      <c r="CQ15" s="655" t="s">
        <v>1138</v>
      </c>
      <c r="CR15" s="655" t="s">
        <v>1139</v>
      </c>
      <c r="CS15" s="691">
        <v>1238170000</v>
      </c>
      <c r="CT15" s="691">
        <v>0</v>
      </c>
      <c r="CU15" s="691">
        <v>0</v>
      </c>
      <c r="CV15" s="691">
        <f t="shared" si="23"/>
        <v>1238170</v>
      </c>
      <c r="CW15" s="691">
        <f t="shared" si="24"/>
        <v>0</v>
      </c>
      <c r="CX15" s="691">
        <f t="shared" si="25"/>
        <v>0</v>
      </c>
      <c r="DG15" s="688" t="s">
        <v>1138</v>
      </c>
      <c r="DH15" s="689" t="s">
        <v>1139</v>
      </c>
      <c r="DI15" s="690">
        <v>1238170000</v>
      </c>
      <c r="DJ15" s="690">
        <v>0</v>
      </c>
      <c r="DK15" s="690">
        <v>0</v>
      </c>
      <c r="DL15" s="690">
        <f t="shared" si="26"/>
        <v>1238170</v>
      </c>
      <c r="DM15" s="690">
        <f t="shared" si="27"/>
        <v>0</v>
      </c>
      <c r="DN15" s="690">
        <f t="shared" si="28"/>
        <v>0</v>
      </c>
    </row>
    <row r="16" spans="1:118" ht="15" customHeight="1" x14ac:dyDescent="0.2">
      <c r="CA16" s="1044" t="s">
        <v>1084</v>
      </c>
      <c r="CB16" s="1046" t="s">
        <v>1085</v>
      </c>
      <c r="CC16" s="1045">
        <v>646829000</v>
      </c>
      <c r="CD16" s="1045">
        <v>0</v>
      </c>
      <c r="CE16" s="1045">
        <v>0</v>
      </c>
      <c r="CF16" s="1045">
        <f t="shared" si="20"/>
        <v>646829</v>
      </c>
      <c r="CG16" s="1045">
        <f t="shared" si="21"/>
        <v>0</v>
      </c>
      <c r="CH16" s="1045">
        <f t="shared" si="22"/>
        <v>0</v>
      </c>
      <c r="CQ16" s="655" t="s">
        <v>1140</v>
      </c>
      <c r="CR16" s="655" t="s">
        <v>486</v>
      </c>
      <c r="CS16" s="691">
        <v>4127232000</v>
      </c>
      <c r="CT16" s="691">
        <v>0</v>
      </c>
      <c r="CU16" s="691">
        <v>0</v>
      </c>
      <c r="CV16" s="691">
        <f t="shared" si="23"/>
        <v>4127232</v>
      </c>
      <c r="CW16" s="691">
        <f t="shared" si="24"/>
        <v>0</v>
      </c>
      <c r="CX16" s="691">
        <f t="shared" si="25"/>
        <v>0</v>
      </c>
      <c r="DG16" s="688" t="s">
        <v>1140</v>
      </c>
      <c r="DH16" s="689" t="s">
        <v>486</v>
      </c>
      <c r="DI16" s="690">
        <v>4127232000</v>
      </c>
      <c r="DJ16" s="690">
        <v>0</v>
      </c>
      <c r="DK16" s="690">
        <v>0</v>
      </c>
      <c r="DL16" s="690">
        <f t="shared" si="26"/>
        <v>4127232</v>
      </c>
      <c r="DM16" s="690">
        <f t="shared" si="27"/>
        <v>0</v>
      </c>
      <c r="DN16" s="690">
        <f t="shared" si="28"/>
        <v>0</v>
      </c>
    </row>
    <row r="17" spans="79:118" ht="15" customHeight="1" x14ac:dyDescent="0.2">
      <c r="CA17" s="1044" t="s">
        <v>1065</v>
      </c>
      <c r="CB17" s="1046" t="s">
        <v>1066</v>
      </c>
      <c r="CC17" s="1045">
        <v>235000000</v>
      </c>
      <c r="CD17" s="1045">
        <v>0</v>
      </c>
      <c r="CE17" s="1045">
        <v>0</v>
      </c>
      <c r="CF17" s="1045">
        <f t="shared" si="20"/>
        <v>235000</v>
      </c>
      <c r="CG17" s="1045">
        <f t="shared" si="21"/>
        <v>0</v>
      </c>
      <c r="CH17" s="1045">
        <f t="shared" si="22"/>
        <v>0</v>
      </c>
      <c r="CQ17" s="655" t="s">
        <v>1083</v>
      </c>
      <c r="CR17" s="655" t="s">
        <v>494</v>
      </c>
      <c r="CS17" s="691">
        <v>147392000</v>
      </c>
      <c r="CT17" s="691">
        <v>0</v>
      </c>
      <c r="CU17" s="691">
        <v>0</v>
      </c>
      <c r="CV17" s="691">
        <f t="shared" si="23"/>
        <v>147392</v>
      </c>
      <c r="CW17" s="691">
        <f t="shared" si="24"/>
        <v>0</v>
      </c>
      <c r="CX17" s="691">
        <f t="shared" si="25"/>
        <v>0</v>
      </c>
      <c r="DG17" s="688" t="s">
        <v>1083</v>
      </c>
      <c r="DH17" s="689" t="s">
        <v>494</v>
      </c>
      <c r="DI17" s="690">
        <v>147392000</v>
      </c>
      <c r="DJ17" s="690">
        <v>0</v>
      </c>
      <c r="DK17" s="690">
        <v>0</v>
      </c>
      <c r="DL17" s="690">
        <f t="shared" si="26"/>
        <v>147392</v>
      </c>
      <c r="DM17" s="690">
        <f t="shared" si="27"/>
        <v>0</v>
      </c>
      <c r="DN17" s="690">
        <f t="shared" si="28"/>
        <v>0</v>
      </c>
    </row>
    <row r="18" spans="79:118" ht="15" customHeight="1" x14ac:dyDescent="0.2">
      <c r="CA18" s="1044" t="s">
        <v>1067</v>
      </c>
      <c r="CB18" s="1046" t="s">
        <v>88</v>
      </c>
      <c r="CC18" s="1045">
        <v>6053370000</v>
      </c>
      <c r="CD18" s="1045">
        <v>0</v>
      </c>
      <c r="CE18" s="1045">
        <v>0</v>
      </c>
      <c r="CF18" s="1045">
        <f t="shared" si="20"/>
        <v>6053370</v>
      </c>
      <c r="CG18" s="1045">
        <f t="shared" si="21"/>
        <v>0</v>
      </c>
      <c r="CH18" s="1045">
        <f t="shared" si="22"/>
        <v>0</v>
      </c>
      <c r="CQ18" s="655" t="s">
        <v>1084</v>
      </c>
      <c r="CR18" s="655" t="s">
        <v>1085</v>
      </c>
      <c r="CS18" s="691">
        <v>646829000</v>
      </c>
      <c r="CT18" s="691">
        <v>0</v>
      </c>
      <c r="CU18" s="691">
        <v>0</v>
      </c>
      <c r="CV18" s="691">
        <f t="shared" si="23"/>
        <v>646829</v>
      </c>
      <c r="CW18" s="691">
        <f t="shared" si="24"/>
        <v>0</v>
      </c>
      <c r="CX18" s="691">
        <f t="shared" si="25"/>
        <v>0</v>
      </c>
      <c r="DG18" s="688" t="s">
        <v>1084</v>
      </c>
      <c r="DH18" s="689" t="s">
        <v>1085</v>
      </c>
      <c r="DI18" s="690">
        <v>646829000</v>
      </c>
      <c r="DJ18" s="690">
        <v>0</v>
      </c>
      <c r="DK18" s="690">
        <v>0</v>
      </c>
      <c r="DL18" s="690">
        <f t="shared" si="26"/>
        <v>646829</v>
      </c>
      <c r="DM18" s="690">
        <f t="shared" si="27"/>
        <v>0</v>
      </c>
      <c r="DN18" s="690">
        <f t="shared" si="28"/>
        <v>0</v>
      </c>
    </row>
    <row r="19" spans="79:118" ht="15" customHeight="1" x14ac:dyDescent="0.2">
      <c r="CA19" s="1044" t="s">
        <v>1086</v>
      </c>
      <c r="CB19" s="1046" t="s">
        <v>1087</v>
      </c>
      <c r="CC19" s="1045">
        <v>136215000</v>
      </c>
      <c r="CD19" s="1045">
        <v>0</v>
      </c>
      <c r="CE19" s="1045">
        <v>0</v>
      </c>
      <c r="CF19" s="1045">
        <f t="shared" si="20"/>
        <v>136215</v>
      </c>
      <c r="CG19" s="1045">
        <f t="shared" si="21"/>
        <v>0</v>
      </c>
      <c r="CH19" s="1045">
        <f t="shared" si="22"/>
        <v>0</v>
      </c>
      <c r="CQ19" s="655" t="s">
        <v>1065</v>
      </c>
      <c r="CR19" s="655" t="s">
        <v>1066</v>
      </c>
      <c r="CS19" s="691">
        <v>3330424000</v>
      </c>
      <c r="CT19" s="691">
        <v>0</v>
      </c>
      <c r="CU19" s="691">
        <v>0</v>
      </c>
      <c r="CV19" s="691">
        <f t="shared" si="23"/>
        <v>3330424</v>
      </c>
      <c r="CW19" s="691">
        <f t="shared" si="24"/>
        <v>0</v>
      </c>
      <c r="CX19" s="691">
        <f t="shared" si="25"/>
        <v>0</v>
      </c>
      <c r="DG19" s="688" t="s">
        <v>1065</v>
      </c>
      <c r="DH19" s="689" t="s">
        <v>1066</v>
      </c>
      <c r="DI19" s="690">
        <v>3330424000</v>
      </c>
      <c r="DJ19" s="690">
        <v>0</v>
      </c>
      <c r="DK19" s="690">
        <v>0</v>
      </c>
      <c r="DL19" s="690">
        <f t="shared" si="26"/>
        <v>3330424</v>
      </c>
      <c r="DM19" s="690">
        <f t="shared" si="27"/>
        <v>0</v>
      </c>
      <c r="DN19" s="690">
        <f t="shared" si="28"/>
        <v>0</v>
      </c>
    </row>
    <row r="20" spans="79:118" ht="15" customHeight="1" x14ac:dyDescent="0.2">
      <c r="CA20" s="1044" t="s">
        <v>462</v>
      </c>
      <c r="CB20" s="1046" t="s">
        <v>241</v>
      </c>
      <c r="CC20" s="1045">
        <v>41272320000</v>
      </c>
      <c r="CD20" s="1045">
        <v>0</v>
      </c>
      <c r="CE20" s="1045">
        <v>0</v>
      </c>
      <c r="CF20" s="1045">
        <f t="shared" si="20"/>
        <v>41272320</v>
      </c>
      <c r="CG20" s="1045">
        <f t="shared" si="21"/>
        <v>0</v>
      </c>
      <c r="CH20" s="1045">
        <f t="shared" si="22"/>
        <v>0</v>
      </c>
      <c r="CQ20" s="655" t="s">
        <v>1067</v>
      </c>
      <c r="CR20" s="655" t="s">
        <v>88</v>
      </c>
      <c r="CS20" s="691">
        <v>8323348000</v>
      </c>
      <c r="CT20" s="691">
        <v>0</v>
      </c>
      <c r="CU20" s="691">
        <v>0</v>
      </c>
      <c r="CV20" s="691">
        <f t="shared" si="23"/>
        <v>8323348</v>
      </c>
      <c r="CW20" s="691">
        <f t="shared" si="24"/>
        <v>0</v>
      </c>
      <c r="CX20" s="691">
        <f t="shared" si="25"/>
        <v>0</v>
      </c>
      <c r="DG20" s="688" t="s">
        <v>1067</v>
      </c>
      <c r="DH20" s="689" t="s">
        <v>88</v>
      </c>
      <c r="DI20" s="690">
        <v>8323348000</v>
      </c>
      <c r="DJ20" s="690">
        <v>0</v>
      </c>
      <c r="DK20" s="690">
        <v>0</v>
      </c>
      <c r="DL20" s="690">
        <f t="shared" si="26"/>
        <v>8323348</v>
      </c>
      <c r="DM20" s="690">
        <f t="shared" si="27"/>
        <v>0</v>
      </c>
      <c r="DN20" s="690">
        <f t="shared" si="28"/>
        <v>0</v>
      </c>
    </row>
    <row r="21" spans="79:118" ht="15" customHeight="1" x14ac:dyDescent="0.2">
      <c r="CA21" s="1044" t="s">
        <v>633</v>
      </c>
      <c r="CB21" s="1046" t="s">
        <v>634</v>
      </c>
      <c r="CC21" s="1045">
        <v>6223403000</v>
      </c>
      <c r="CD21" s="1045">
        <v>0</v>
      </c>
      <c r="CE21" s="1045">
        <v>0</v>
      </c>
      <c r="CF21" s="1045">
        <f t="shared" si="20"/>
        <v>6223403</v>
      </c>
      <c r="CG21" s="1045">
        <f t="shared" si="21"/>
        <v>0</v>
      </c>
      <c r="CH21" s="1045">
        <f t="shared" si="22"/>
        <v>0</v>
      </c>
      <c r="CQ21" s="655" t="s">
        <v>1086</v>
      </c>
      <c r="CR21" s="655" t="s">
        <v>1087</v>
      </c>
      <c r="CS21" s="691">
        <v>136215000</v>
      </c>
      <c r="CT21" s="691">
        <v>0</v>
      </c>
      <c r="CU21" s="691">
        <v>0</v>
      </c>
      <c r="CV21" s="691">
        <f t="shared" si="23"/>
        <v>136215</v>
      </c>
      <c r="CW21" s="691">
        <f t="shared" si="24"/>
        <v>0</v>
      </c>
      <c r="CX21" s="691">
        <f t="shared" si="25"/>
        <v>0</v>
      </c>
      <c r="DG21" s="688" t="s">
        <v>1086</v>
      </c>
      <c r="DH21" s="689" t="s">
        <v>1087</v>
      </c>
      <c r="DI21" s="690">
        <v>136215000</v>
      </c>
      <c r="DJ21" s="690">
        <v>0</v>
      </c>
      <c r="DK21" s="690">
        <v>0</v>
      </c>
      <c r="DL21" s="690">
        <f t="shared" si="26"/>
        <v>136215</v>
      </c>
      <c r="DM21" s="690">
        <f t="shared" si="27"/>
        <v>0</v>
      </c>
      <c r="DN21" s="690">
        <f t="shared" si="28"/>
        <v>0</v>
      </c>
    </row>
    <row r="22" spans="79:118" ht="15" customHeight="1" x14ac:dyDescent="0.2">
      <c r="CA22" s="1044" t="s">
        <v>431</v>
      </c>
      <c r="CB22" s="1046" t="s">
        <v>127</v>
      </c>
      <c r="CC22" s="1045">
        <v>100</v>
      </c>
      <c r="CD22" s="1045">
        <v>0</v>
      </c>
      <c r="CE22" s="1045">
        <v>0</v>
      </c>
      <c r="CF22" s="1045">
        <f t="shared" si="20"/>
        <v>0.1</v>
      </c>
      <c r="CG22" s="1045">
        <f t="shared" si="21"/>
        <v>0</v>
      </c>
      <c r="CH22" s="1045">
        <f t="shared" si="22"/>
        <v>0</v>
      </c>
      <c r="CQ22" s="655" t="s">
        <v>1141</v>
      </c>
      <c r="CR22" s="655" t="s">
        <v>481</v>
      </c>
      <c r="CS22" s="691">
        <v>825446000</v>
      </c>
      <c r="CT22" s="691">
        <v>0</v>
      </c>
      <c r="CU22" s="691">
        <v>0</v>
      </c>
      <c r="CV22" s="691">
        <f t="shared" si="23"/>
        <v>825446</v>
      </c>
      <c r="CW22" s="691">
        <f t="shared" si="24"/>
        <v>0</v>
      </c>
      <c r="CX22" s="691">
        <f t="shared" si="25"/>
        <v>0</v>
      </c>
      <c r="DG22" s="688" t="s">
        <v>1141</v>
      </c>
      <c r="DH22" s="689" t="s">
        <v>481</v>
      </c>
      <c r="DI22" s="690">
        <v>825446000</v>
      </c>
      <c r="DJ22" s="690">
        <v>0</v>
      </c>
      <c r="DK22" s="690">
        <v>0</v>
      </c>
      <c r="DL22" s="690">
        <f t="shared" si="26"/>
        <v>825446</v>
      </c>
      <c r="DM22" s="690">
        <f t="shared" si="27"/>
        <v>0</v>
      </c>
      <c r="DN22" s="690">
        <f t="shared" si="28"/>
        <v>0</v>
      </c>
    </row>
    <row r="23" spans="79:118" ht="15" customHeight="1" x14ac:dyDescent="0.2">
      <c r="CA23" s="1044" t="s">
        <v>1031</v>
      </c>
      <c r="CB23" s="1046" t="s">
        <v>124</v>
      </c>
      <c r="CC23" s="1045">
        <v>200</v>
      </c>
      <c r="CD23" s="1045">
        <v>0</v>
      </c>
      <c r="CE23" s="1045">
        <v>0</v>
      </c>
      <c r="CF23" s="1045">
        <f t="shared" si="20"/>
        <v>0.2</v>
      </c>
      <c r="CG23" s="1045">
        <f t="shared" si="21"/>
        <v>0</v>
      </c>
      <c r="CH23" s="1045">
        <f t="shared" si="22"/>
        <v>0</v>
      </c>
      <c r="CQ23" s="655" t="s">
        <v>462</v>
      </c>
      <c r="CR23" s="655" t="s">
        <v>241</v>
      </c>
      <c r="CS23" s="691">
        <v>29716070000</v>
      </c>
      <c r="CT23" s="691">
        <v>0</v>
      </c>
      <c r="CU23" s="691">
        <v>0</v>
      </c>
      <c r="CV23" s="691">
        <f t="shared" si="23"/>
        <v>29716070</v>
      </c>
      <c r="CW23" s="691">
        <f t="shared" si="24"/>
        <v>0</v>
      </c>
      <c r="CX23" s="691">
        <f t="shared" si="25"/>
        <v>0</v>
      </c>
      <c r="DG23" s="688" t="s">
        <v>462</v>
      </c>
      <c r="DH23" s="689" t="s">
        <v>241</v>
      </c>
      <c r="DI23" s="690">
        <v>29716070000</v>
      </c>
      <c r="DJ23" s="690">
        <v>0</v>
      </c>
      <c r="DK23" s="690">
        <v>0</v>
      </c>
      <c r="DL23" s="690">
        <f t="shared" si="26"/>
        <v>29716070</v>
      </c>
      <c r="DM23" s="690">
        <f t="shared" si="27"/>
        <v>0</v>
      </c>
      <c r="DN23" s="690">
        <f t="shared" si="28"/>
        <v>0</v>
      </c>
    </row>
    <row r="24" spans="79:118" ht="15" customHeight="1" x14ac:dyDescent="0.2">
      <c r="CQ24" s="655" t="s">
        <v>633</v>
      </c>
      <c r="CR24" s="655" t="s">
        <v>634</v>
      </c>
      <c r="CS24" s="691">
        <v>5646060000</v>
      </c>
      <c r="CT24" s="691">
        <v>0</v>
      </c>
      <c r="CU24" s="691">
        <v>0</v>
      </c>
      <c r="CV24" s="691">
        <f t="shared" si="23"/>
        <v>5646060</v>
      </c>
      <c r="CW24" s="691">
        <f t="shared" si="24"/>
        <v>0</v>
      </c>
      <c r="CX24" s="691">
        <f t="shared" si="25"/>
        <v>0</v>
      </c>
      <c r="DG24" s="688" t="s">
        <v>633</v>
      </c>
      <c r="DH24" s="689" t="s">
        <v>634</v>
      </c>
      <c r="DI24" s="690">
        <v>5646060000</v>
      </c>
      <c r="DJ24" s="690">
        <v>0</v>
      </c>
      <c r="DK24" s="690">
        <v>0</v>
      </c>
      <c r="DL24" s="690">
        <f t="shared" si="26"/>
        <v>5646060</v>
      </c>
      <c r="DM24" s="690">
        <f t="shared" si="27"/>
        <v>0</v>
      </c>
      <c r="DN24" s="690">
        <f t="shared" si="28"/>
        <v>0</v>
      </c>
    </row>
    <row r="25" spans="79:118" x14ac:dyDescent="0.2">
      <c r="CQ25" s="655" t="s">
        <v>431</v>
      </c>
      <c r="CR25" s="655" t="s">
        <v>127</v>
      </c>
      <c r="CS25" s="691">
        <v>100</v>
      </c>
      <c r="CT25" s="691">
        <v>0</v>
      </c>
      <c r="CU25" s="691">
        <v>0</v>
      </c>
      <c r="CV25" s="691">
        <f t="shared" si="23"/>
        <v>0.1</v>
      </c>
      <c r="CW25" s="691">
        <f t="shared" si="24"/>
        <v>0</v>
      </c>
      <c r="CX25" s="691">
        <f t="shared" si="25"/>
        <v>0</v>
      </c>
      <c r="DG25" s="688" t="s">
        <v>431</v>
      </c>
      <c r="DH25" s="689" t="s">
        <v>127</v>
      </c>
      <c r="DI25" s="690">
        <v>100</v>
      </c>
      <c r="DJ25" s="690">
        <v>0</v>
      </c>
      <c r="DK25" s="690">
        <v>0</v>
      </c>
      <c r="DL25" s="690">
        <f t="shared" si="26"/>
        <v>0.1</v>
      </c>
      <c r="DM25" s="690">
        <f t="shared" si="27"/>
        <v>0</v>
      </c>
      <c r="DN25" s="690">
        <f t="shared" si="28"/>
        <v>0</v>
      </c>
    </row>
    <row r="26" spans="79:118" x14ac:dyDescent="0.2">
      <c r="CQ26" s="655" t="s">
        <v>1031</v>
      </c>
      <c r="CR26" s="655" t="s">
        <v>124</v>
      </c>
      <c r="CS26" s="691">
        <v>200</v>
      </c>
      <c r="CT26" s="691">
        <v>0</v>
      </c>
      <c r="CU26" s="691">
        <v>0</v>
      </c>
      <c r="CV26" s="691">
        <f t="shared" si="23"/>
        <v>0.2</v>
      </c>
      <c r="CW26" s="691">
        <f t="shared" si="24"/>
        <v>0</v>
      </c>
      <c r="CX26" s="691">
        <f t="shared" si="25"/>
        <v>0</v>
      </c>
      <c r="DG26" s="688" t="s">
        <v>1031</v>
      </c>
      <c r="DH26" s="689" t="s">
        <v>124</v>
      </c>
      <c r="DI26" s="690">
        <v>200</v>
      </c>
      <c r="DJ26" s="690">
        <v>0</v>
      </c>
      <c r="DK26" s="690">
        <v>0</v>
      </c>
      <c r="DL26" s="690">
        <f t="shared" si="26"/>
        <v>0.2</v>
      </c>
      <c r="DM26" s="690">
        <f t="shared" si="27"/>
        <v>0</v>
      </c>
      <c r="DN26" s="690">
        <f t="shared" si="28"/>
        <v>0</v>
      </c>
    </row>
  </sheetData>
  <mergeCells count="20">
    <mergeCell ref="DA3:DE3"/>
    <mergeCell ref="DG1:DL1"/>
    <mergeCell ref="DA1:DE1"/>
    <mergeCell ref="CK1:CO1"/>
    <mergeCell ref="CK3:CO3"/>
    <mergeCell ref="CQ1:CV1"/>
    <mergeCell ref="BU1:BY1"/>
    <mergeCell ref="BU3:BY3"/>
    <mergeCell ref="CA1:CF1"/>
    <mergeCell ref="A1:E1"/>
    <mergeCell ref="I1:M1"/>
    <mergeCell ref="O1:T1"/>
    <mergeCell ref="X1:AB1"/>
    <mergeCell ref="AD1:AK1"/>
    <mergeCell ref="BD1:BH1"/>
    <mergeCell ref="BD3:BH3"/>
    <mergeCell ref="BJ1:BN1"/>
    <mergeCell ref="AO1:AS1"/>
    <mergeCell ref="AO3:AS3"/>
    <mergeCell ref="AU1:AY1"/>
  </mergeCells>
  <pageMargins left="0.7" right="0.7" top="0.75" bottom="0.75" header="0.3" footer="0.3"/>
  <ignoredErrors>
    <ignoredError sqref="BJ3:BJ1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92D050"/>
  </sheetPr>
  <dimension ref="A1:AX349"/>
  <sheetViews>
    <sheetView tabSelected="1" zoomScale="90" zoomScaleNormal="90" workbookViewId="0">
      <selection activeCell="I322" sqref="I322"/>
    </sheetView>
  </sheetViews>
  <sheetFormatPr baseColWidth="10" defaultColWidth="11.42578125" defaultRowHeight="12.75" customHeight="1" outlineLevelRow="3" x14ac:dyDescent="0.2"/>
  <cols>
    <col min="1" max="1" width="2.85546875" style="21" customWidth="1"/>
    <col min="2" max="2" width="6.28515625" style="41" customWidth="1"/>
    <col min="3" max="3" width="6.140625" style="42" hidden="1" customWidth="1"/>
    <col min="4" max="4" width="6.140625" style="43" hidden="1" customWidth="1"/>
    <col min="5" max="6" width="6.140625" style="44" hidden="1" customWidth="1"/>
    <col min="7" max="7" width="40.5703125" style="21" customWidth="1"/>
    <col min="8" max="8" width="19.7109375" style="21" customWidth="1"/>
    <col min="9" max="10" width="19.7109375" style="20" customWidth="1"/>
    <col min="11" max="11" width="19.7109375" style="162" customWidth="1"/>
    <col min="12" max="12" width="19.7109375" style="52" hidden="1" customWidth="1"/>
    <col min="13" max="13" width="19.7109375" style="162" hidden="1" customWidth="1"/>
    <col min="14" max="14" width="19.7109375" style="52" hidden="1" customWidth="1"/>
    <col min="15" max="15" width="19.7109375" style="162" hidden="1" customWidth="1"/>
    <col min="16" max="17" width="20.7109375" style="20" customWidth="1"/>
    <col min="18" max="18" width="20.7109375" style="368" customWidth="1"/>
    <col min="19" max="19" width="19.7109375" style="20" hidden="1" customWidth="1"/>
    <col min="20" max="20" width="26" style="51" customWidth="1"/>
    <col min="21" max="22" width="14.42578125" style="51" customWidth="1"/>
    <col min="23" max="23" width="11.7109375" style="21" customWidth="1"/>
    <col min="24" max="24" width="3.85546875" style="21" customWidth="1"/>
    <col min="25" max="25" width="5.42578125" style="21" customWidth="1"/>
    <col min="26" max="49" width="11.42578125" style="21" customWidth="1"/>
    <col min="50" max="16384" width="11.42578125" style="21"/>
  </cols>
  <sheetData>
    <row r="1" spans="2:26" ht="12.75" customHeight="1" x14ac:dyDescent="0.2">
      <c r="L1" s="143"/>
    </row>
    <row r="2" spans="2:26" s="50" customFormat="1" ht="21" customHeight="1" x14ac:dyDescent="0.3">
      <c r="B2" s="1217" t="s">
        <v>1148</v>
      </c>
      <c r="C2" s="1217"/>
      <c r="D2" s="1217"/>
      <c r="E2" s="1217"/>
      <c r="F2" s="1217"/>
      <c r="G2" s="1217"/>
      <c r="H2" s="1217"/>
      <c r="I2" s="1217"/>
      <c r="J2" s="1217"/>
      <c r="K2" s="1217"/>
      <c r="L2" s="1217"/>
      <c r="M2" s="1217"/>
      <c r="N2" s="1217"/>
      <c r="O2" s="1217"/>
      <c r="P2" s="1217"/>
      <c r="Q2" s="1217"/>
      <c r="R2" s="1217"/>
      <c r="S2" s="61"/>
      <c r="T2" s="112"/>
      <c r="U2" s="112"/>
      <c r="V2" s="112"/>
    </row>
    <row r="3" spans="2:26" s="50" customFormat="1" ht="15" hidden="1" customHeight="1" thickBot="1" x14ac:dyDescent="0.35">
      <c r="B3" s="1219"/>
      <c r="C3" s="1219"/>
      <c r="D3" s="1219"/>
      <c r="E3" s="1219"/>
      <c r="F3" s="1219"/>
      <c r="G3" s="1219"/>
      <c r="H3" s="1219"/>
      <c r="I3" s="1219"/>
      <c r="J3" s="1219"/>
      <c r="K3" s="1219"/>
      <c r="L3" s="1219"/>
      <c r="M3" s="1219"/>
      <c r="N3" s="1219"/>
      <c r="O3" s="1219"/>
      <c r="P3" s="1219"/>
      <c r="Q3" s="1219"/>
      <c r="R3" s="1219"/>
      <c r="S3" s="61"/>
      <c r="T3" s="112"/>
      <c r="U3" s="112"/>
      <c r="V3" s="112"/>
    </row>
    <row r="4" spans="2:26" s="50" customFormat="1" ht="21" customHeight="1" x14ac:dyDescent="0.3">
      <c r="B4" s="1217" t="s">
        <v>606</v>
      </c>
      <c r="C4" s="1217"/>
      <c r="D4" s="1217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61"/>
      <c r="T4" s="112"/>
      <c r="U4" s="112"/>
      <c r="V4" s="112"/>
    </row>
    <row r="5" spans="2:26" ht="21.75" customHeight="1" x14ac:dyDescent="0.2">
      <c r="B5" s="1226" t="s">
        <v>274</v>
      </c>
      <c r="C5" s="1226"/>
      <c r="D5" s="1226"/>
      <c r="E5" s="1226"/>
      <c r="F5" s="1226"/>
      <c r="G5" s="1226"/>
      <c r="H5" s="1225" t="s">
        <v>1000</v>
      </c>
      <c r="I5" s="1225"/>
      <c r="J5" s="1225"/>
      <c r="K5" s="1225"/>
      <c r="L5" s="1225"/>
      <c r="M5" s="1225"/>
      <c r="N5" s="1225"/>
      <c r="O5" s="1225"/>
      <c r="P5" s="1218" t="s">
        <v>870</v>
      </c>
      <c r="Q5" s="1218"/>
      <c r="R5" s="1218"/>
    </row>
    <row r="6" spans="2:26" ht="16.5" hidden="1" customHeight="1" x14ac:dyDescent="0.2">
      <c r="B6" s="1226"/>
      <c r="C6" s="1226"/>
      <c r="D6" s="1226"/>
      <c r="E6" s="1226"/>
      <c r="F6" s="1226"/>
      <c r="G6" s="1226"/>
      <c r="H6" s="839" t="s">
        <v>129</v>
      </c>
      <c r="I6" s="839" t="s">
        <v>130</v>
      </c>
      <c r="J6" s="839" t="s">
        <v>131</v>
      </c>
      <c r="K6" s="841" t="s">
        <v>132</v>
      </c>
      <c r="L6" s="842" t="s">
        <v>702</v>
      </c>
      <c r="M6" s="843" t="s">
        <v>930</v>
      </c>
      <c r="N6" s="842" t="s">
        <v>703</v>
      </c>
      <c r="O6" s="841" t="s">
        <v>931</v>
      </c>
      <c r="P6" s="840" t="s">
        <v>129</v>
      </c>
      <c r="Q6" s="840" t="s">
        <v>130</v>
      </c>
      <c r="R6" s="844" t="s">
        <v>133</v>
      </c>
    </row>
    <row r="7" spans="2:26" ht="56.25" customHeight="1" x14ac:dyDescent="0.2">
      <c r="B7" s="1226"/>
      <c r="C7" s="1226"/>
      <c r="D7" s="1226"/>
      <c r="E7" s="1226"/>
      <c r="F7" s="1226"/>
      <c r="G7" s="1226"/>
      <c r="H7" s="845" t="s">
        <v>993</v>
      </c>
      <c r="I7" s="845" t="s">
        <v>994</v>
      </c>
      <c r="J7" s="845" t="s">
        <v>1143</v>
      </c>
      <c r="K7" s="846" t="s">
        <v>1144</v>
      </c>
      <c r="L7" s="845" t="s">
        <v>715</v>
      </c>
      <c r="M7" s="846" t="s">
        <v>714</v>
      </c>
      <c r="N7" s="845" t="s">
        <v>712</v>
      </c>
      <c r="O7" s="846" t="s">
        <v>713</v>
      </c>
      <c r="P7" s="847" t="s">
        <v>1145</v>
      </c>
      <c r="Q7" s="847" t="s">
        <v>1146</v>
      </c>
      <c r="R7" s="848" t="s">
        <v>1147</v>
      </c>
    </row>
    <row r="8" spans="2:26" ht="69" hidden="1" customHeight="1" x14ac:dyDescent="0.2">
      <c r="B8" s="481" t="s">
        <v>736</v>
      </c>
      <c r="C8" s="482" t="s">
        <v>92</v>
      </c>
      <c r="D8" s="483" t="s">
        <v>93</v>
      </c>
      <c r="E8" s="483" t="s">
        <v>94</v>
      </c>
      <c r="F8" s="483" t="s">
        <v>282</v>
      </c>
      <c r="G8" s="481" t="s">
        <v>737</v>
      </c>
      <c r="H8" s="845" t="s">
        <v>993</v>
      </c>
      <c r="I8" s="845" t="s">
        <v>994</v>
      </c>
      <c r="J8" s="845" t="s">
        <v>995</v>
      </c>
      <c r="K8" s="846" t="s">
        <v>996</v>
      </c>
      <c r="L8" s="845" t="s">
        <v>715</v>
      </c>
      <c r="M8" s="846" t="s">
        <v>714</v>
      </c>
      <c r="N8" s="845" t="s">
        <v>712</v>
      </c>
      <c r="O8" s="846" t="s">
        <v>713</v>
      </c>
      <c r="P8" s="847" t="s">
        <v>997</v>
      </c>
      <c r="Q8" s="847" t="s">
        <v>998</v>
      </c>
      <c r="R8" s="848" t="s">
        <v>999</v>
      </c>
      <c r="T8" s="849"/>
      <c r="U8" s="849"/>
      <c r="V8" s="849"/>
    </row>
    <row r="9" spans="2:26" ht="17.25" customHeight="1" x14ac:dyDescent="0.2">
      <c r="B9" s="850" t="s">
        <v>91</v>
      </c>
      <c r="C9" s="851" t="s">
        <v>92</v>
      </c>
      <c r="D9" s="852" t="s">
        <v>93</v>
      </c>
      <c r="E9" s="852" t="s">
        <v>94</v>
      </c>
      <c r="F9" s="852" t="s">
        <v>282</v>
      </c>
      <c r="G9" s="850" t="s">
        <v>144</v>
      </c>
      <c r="H9" s="853">
        <f>+H10+H80+H149+H156+H220+H229+H235+H236+H241+H307+H312</f>
        <v>431345319.19599998</v>
      </c>
      <c r="I9" s="853">
        <f>+I10+I80+I149+I156+I220+I229+I235+I236+I241+I307+I312+1</f>
        <v>442482808.19599998</v>
      </c>
      <c r="J9" s="853">
        <f ca="1">+J10+J80+J149+J156+J220+J229+J235+J236+J241+J307+J312</f>
        <v>248440674.91900003</v>
      </c>
      <c r="K9" s="854">
        <f ca="1">IFERROR(J9/I9,"0.00%")</f>
        <v>0.56146966688240685</v>
      </c>
      <c r="L9" s="855">
        <f>+L10+L80+L149+L156+L220+L229+L235+L236+L241+L307+L312</f>
        <v>257524654.926</v>
      </c>
      <c r="M9" s="856">
        <f>IFERROR(L9/I9,"0.00%")</f>
        <v>0.58199923286494815</v>
      </c>
      <c r="N9" s="857">
        <f>+N10+N80+N149+N156+N220+N229+N235+N236+N241+N307+N312+1</f>
        <v>184958153.27000004</v>
      </c>
      <c r="O9" s="854">
        <f>+N9/I9</f>
        <v>0.41800076713505196</v>
      </c>
      <c r="P9" s="853">
        <f>+P10+P80+P149+P156+P220++P229+P236+P241+P307+P312</f>
        <v>459129349.91300005</v>
      </c>
      <c r="Q9" s="853">
        <f ca="1">+Q10+Q80+Q156+Q220+Q229+Q235+Q241+Q236+Q307+Q312+Q149+Q227</f>
        <v>262797869.63618201</v>
      </c>
      <c r="R9" s="854">
        <f ca="1">IFERROR(Q9/P9,"0.00%")</f>
        <v>0.5723830761112948</v>
      </c>
      <c r="S9" s="62"/>
      <c r="T9" s="139"/>
    </row>
    <row r="10" spans="2:26" ht="15.75" customHeight="1" x14ac:dyDescent="0.2">
      <c r="B10" s="382" t="s">
        <v>151</v>
      </c>
      <c r="C10" s="24"/>
      <c r="D10" s="25"/>
      <c r="E10" s="26"/>
      <c r="F10" s="26"/>
      <c r="G10" s="383" t="s">
        <v>16</v>
      </c>
      <c r="H10" s="27">
        <f>+H11+H42+H73</f>
        <v>20227650.999999996</v>
      </c>
      <c r="I10" s="27">
        <f>+I11+I42+I73</f>
        <v>19832145</v>
      </c>
      <c r="J10" s="27">
        <f ca="1">+J11+J42+J73</f>
        <v>12890773.611</v>
      </c>
      <c r="K10" s="240">
        <f ca="1">IFERROR(J10/I10,"0.00%")</f>
        <v>0.64999391699687548</v>
      </c>
      <c r="L10" s="144">
        <f>+L11+L42+L73</f>
        <v>12890773.611</v>
      </c>
      <c r="M10" s="240">
        <f>+IFERROR(L10/I10,0)</f>
        <v>0.64999391699687548</v>
      </c>
      <c r="N10" s="305">
        <f>+N11+N42+N73</f>
        <v>6941371.3890000004</v>
      </c>
      <c r="O10" s="240">
        <f>+IFERROR(N10/I10,0)</f>
        <v>0.35000608300312447</v>
      </c>
      <c r="P10" s="27">
        <f>+P11+P42+P73</f>
        <v>19811566.84</v>
      </c>
      <c r="Q10" s="27">
        <f ca="1">+Q11+Q42+Q73</f>
        <v>12843980.526674001</v>
      </c>
      <c r="R10" s="240">
        <f ca="1">IFERROR(Q10/P10,"0.00%")</f>
        <v>0.64830715462351596</v>
      </c>
      <c r="T10" s="858"/>
      <c r="U10" s="858"/>
      <c r="V10" s="859"/>
      <c r="W10" s="109"/>
      <c r="X10" s="109"/>
      <c r="Y10" s="109"/>
      <c r="Z10" s="113"/>
    </row>
    <row r="11" spans="2:26" ht="15.75" hidden="1" customHeight="1" outlineLevel="1" x14ac:dyDescent="0.2">
      <c r="B11" s="382"/>
      <c r="C11" s="24" t="s">
        <v>153</v>
      </c>
      <c r="D11" s="25"/>
      <c r="E11" s="26"/>
      <c r="F11" s="26"/>
      <c r="G11" s="383" t="s">
        <v>17</v>
      </c>
      <c r="H11" s="27">
        <f>+H12+H26+H29+H33+H38</f>
        <v>803888.11199999996</v>
      </c>
      <c r="I11" s="27">
        <f>+I12+I26+I29+I33+I38</f>
        <v>803531.11800000002</v>
      </c>
      <c r="J11" s="27">
        <f ca="1">+J12+J26+J29+J33+J38</f>
        <v>424021.40299999999</v>
      </c>
      <c r="K11" s="240">
        <f t="shared" ref="K11:K74" ca="1" si="0">IFERROR(J11/I11,"0.00%")</f>
        <v>0.52769755084954906</v>
      </c>
      <c r="L11" s="144">
        <f>+L12+L26+L29+L33+L38</f>
        <v>424021.40299999999</v>
      </c>
      <c r="M11" s="240">
        <f t="shared" ref="M11:M74" si="1">+IFERROR(L11/I11,0)</f>
        <v>0.52769755084954906</v>
      </c>
      <c r="N11" s="305">
        <f>+N12+N26+N29+N33+N38</f>
        <v>379509.71499999991</v>
      </c>
      <c r="O11" s="240">
        <f t="shared" ref="O11:O74" si="2">+IFERROR(N11/I11,0)</f>
        <v>0.47230244915045083</v>
      </c>
      <c r="P11" s="27">
        <f>+P12+P26+P29+P33+P38</f>
        <v>1024988.3205040001</v>
      </c>
      <c r="Q11" s="27">
        <f ca="1">+Q12+Q26+Q29+Q33+Q38</f>
        <v>553856.06891200005</v>
      </c>
      <c r="R11" s="240">
        <f t="shared" ref="R11:R72" ca="1" si="3">IFERROR(Q11/P11,"0.00%")</f>
        <v>0.54035354143319592</v>
      </c>
      <c r="T11" s="858"/>
      <c r="U11" s="858"/>
      <c r="V11" s="859"/>
      <c r="W11" s="109"/>
      <c r="X11" s="109"/>
      <c r="Y11" s="109"/>
      <c r="Z11" s="113"/>
    </row>
    <row r="12" spans="2:26" ht="15" hidden="1" customHeight="1" outlineLevel="2" x14ac:dyDescent="0.2">
      <c r="B12" s="382"/>
      <c r="C12" s="24"/>
      <c r="D12" s="25" t="s">
        <v>152</v>
      </c>
      <c r="E12" s="26"/>
      <c r="F12" s="26"/>
      <c r="G12" s="383" t="s">
        <v>18</v>
      </c>
      <c r="H12" s="27">
        <f>SUM(H13:H25)</f>
        <v>628990.02500000002</v>
      </c>
      <c r="I12" s="27">
        <f>SUM(I13:I25)</f>
        <v>628990.02500000002</v>
      </c>
      <c r="J12" s="27">
        <f ca="1">SUM(J13:J25)</f>
        <v>332867.77999999997</v>
      </c>
      <c r="K12" s="240">
        <f t="shared" ca="1" si="0"/>
        <v>0.52920995050756159</v>
      </c>
      <c r="L12" s="27">
        <f t="shared" ref="L12:N12" si="4">SUM(L13:L25)</f>
        <v>332867.77999999997</v>
      </c>
      <c r="M12" s="240">
        <f t="shared" si="1"/>
        <v>0.52920995050756159</v>
      </c>
      <c r="N12" s="27">
        <f t="shared" si="4"/>
        <v>296122.24499999994</v>
      </c>
      <c r="O12" s="240">
        <f t="shared" si="2"/>
        <v>0.47079004949243819</v>
      </c>
      <c r="P12" s="27">
        <f>SUM(P13:P25)</f>
        <v>718969.58000000007</v>
      </c>
      <c r="Q12" s="27">
        <f>SUM(Q13:Q25)</f>
        <v>439596.76971600001</v>
      </c>
      <c r="R12" s="240">
        <f t="shared" si="3"/>
        <v>0.61142610472615544</v>
      </c>
      <c r="T12" s="858"/>
      <c r="U12" s="858"/>
      <c r="V12" s="859"/>
      <c r="W12" s="109"/>
      <c r="X12" s="109"/>
      <c r="Y12" s="109"/>
      <c r="Z12" s="113"/>
    </row>
    <row r="13" spans="2:26" ht="15" hidden="1" customHeight="1" outlineLevel="3" x14ac:dyDescent="0.2">
      <c r="B13" s="382"/>
      <c r="C13" s="24"/>
      <c r="D13" s="25"/>
      <c r="E13" s="26">
        <v>1</v>
      </c>
      <c r="F13" s="26" t="str">
        <f>+CONCATENATE($B$10,"",$C$11,"",$D$12,"00",E13)</f>
        <v>21.01.001.001</v>
      </c>
      <c r="G13" s="384" t="s">
        <v>123</v>
      </c>
      <c r="H13" s="27">
        <f>+VLOOKUP(F13,matriz01,3,FALSE)</f>
        <v>116011.474</v>
      </c>
      <c r="I13" s="27">
        <f>+VLOOKUP($F$13,matriz01,4,FALSE)</f>
        <v>116011.474</v>
      </c>
      <c r="J13" s="27">
        <f>+VLOOKUP(F13,matriz01,5,FALSE)</f>
        <v>61310.163</v>
      </c>
      <c r="K13" s="240">
        <f t="shared" si="0"/>
        <v>0.52848361361221907</v>
      </c>
      <c r="L13" s="144">
        <f>INDEX(coincidenciaP01,MATCH(F13,indicep01,0),7)</f>
        <v>61310.163</v>
      </c>
      <c r="M13" s="240">
        <f t="shared" si="1"/>
        <v>0.52848361361221907</v>
      </c>
      <c r="N13" s="305">
        <f>INDEX(coincidenciaP01,MATCH(F13,indicep01,0),9)</f>
        <v>54701.311000000002</v>
      </c>
      <c r="O13" s="240">
        <f t="shared" si="2"/>
        <v>0.47151638638778093</v>
      </c>
      <c r="P13" s="27">
        <f>+'Prog 01'!Q13</f>
        <v>160613.88</v>
      </c>
      <c r="Q13" s="27">
        <f>+'Prog 01'!R13</f>
        <v>84047.907560000007</v>
      </c>
      <c r="R13" s="240">
        <f t="shared" si="3"/>
        <v>0.52329168288568839</v>
      </c>
      <c r="T13" s="858"/>
      <c r="U13" s="858"/>
      <c r="V13" s="859"/>
      <c r="W13" s="109"/>
      <c r="X13" s="109"/>
      <c r="Y13" s="109"/>
      <c r="Z13" s="113"/>
    </row>
    <row r="14" spans="2:26" ht="15" hidden="1" customHeight="1" outlineLevel="3" x14ac:dyDescent="0.2">
      <c r="B14" s="382"/>
      <c r="C14" s="24"/>
      <c r="D14" s="25"/>
      <c r="E14" s="26">
        <v>2</v>
      </c>
      <c r="F14" s="26" t="str">
        <f>+CONCATENATE($B$10,"",$C$11,"",$D$12,"00",E14)</f>
        <v>21.01.001.002</v>
      </c>
      <c r="G14" s="384" t="s">
        <v>19</v>
      </c>
      <c r="H14" s="27">
        <f t="shared" ref="H14:H23" si="5">+VLOOKUP(F14,matriz01,3,FALSE)</f>
        <v>16073.669</v>
      </c>
      <c r="I14" s="27">
        <f t="shared" ref="I14:I21" si="6">+VLOOKUP(F14,matriz01,4,FALSE)</f>
        <v>16073.669</v>
      </c>
      <c r="J14" s="27">
        <f t="shared" ref="J14:J23" ca="1" si="7">+VLOOKUP(F14,matriz01,5,FALSE)</f>
        <v>7060.2450000000008</v>
      </c>
      <c r="K14" s="240">
        <f t="shared" ca="1" si="0"/>
        <v>0.43924290092075435</v>
      </c>
      <c r="L14" s="144">
        <f t="shared" ref="L14:L24" si="8">INDEX(coincidenciaP01,MATCH(F14,indicep01,0),7)</f>
        <v>7060.2449999999999</v>
      </c>
      <c r="M14" s="240">
        <f t="shared" si="1"/>
        <v>0.4392429009207543</v>
      </c>
      <c r="N14" s="305">
        <f>INDEX(coincidenciaP01,MATCH(F14,indicep01,0),9)</f>
        <v>9013.4239999999991</v>
      </c>
      <c r="O14" s="240">
        <f t="shared" si="2"/>
        <v>0.56075709907924565</v>
      </c>
      <c r="P14" s="27">
        <f>+'Prog 01'!Q14</f>
        <v>17297.2</v>
      </c>
      <c r="Q14" s="27">
        <f>+'Prog 01'!R14</f>
        <v>11510.425908000001</v>
      </c>
      <c r="R14" s="240">
        <f t="shared" si="3"/>
        <v>0.66545024096385541</v>
      </c>
      <c r="T14" s="858"/>
      <c r="U14" s="858"/>
      <c r="V14" s="859"/>
      <c r="W14" s="109"/>
      <c r="X14" s="109"/>
      <c r="Y14" s="109"/>
      <c r="Z14" s="113"/>
    </row>
    <row r="15" spans="2:26" ht="15" hidden="1" customHeight="1" outlineLevel="3" x14ac:dyDescent="0.2">
      <c r="B15" s="382"/>
      <c r="C15" s="24"/>
      <c r="D15" s="25"/>
      <c r="E15" s="26">
        <v>3</v>
      </c>
      <c r="F15" s="26" t="str">
        <f>+CONCATENATE($B$10,"",$C$11,"",$D$12,"00",E15)</f>
        <v>21.01.001.003</v>
      </c>
      <c r="G15" s="384" t="s">
        <v>20</v>
      </c>
      <c r="H15" s="27">
        <f t="shared" si="5"/>
        <v>85149.134999999995</v>
      </c>
      <c r="I15" s="27">
        <f t="shared" si="6"/>
        <v>85149.134999999995</v>
      </c>
      <c r="J15" s="27">
        <f t="shared" ca="1" si="7"/>
        <v>45211.346999999994</v>
      </c>
      <c r="K15" s="240">
        <f t="shared" ca="1" si="0"/>
        <v>0.53096660347753377</v>
      </c>
      <c r="L15" s="144">
        <f>INDEX(coincidenciaP01,MATCH(F15,indicep01,0),7)</f>
        <v>45211.347000000002</v>
      </c>
      <c r="M15" s="240">
        <f t="shared" si="1"/>
        <v>0.53096660347753388</v>
      </c>
      <c r="N15" s="305">
        <f t="shared" ref="N15:N23" si="9">INDEX(coincidenciaP01,MATCH(F15,indicep01,0),9)</f>
        <v>39937.787999999993</v>
      </c>
      <c r="O15" s="240">
        <f t="shared" si="2"/>
        <v>0.46903339652246612</v>
      </c>
      <c r="P15" s="27">
        <f>+'Prog 01'!Q15</f>
        <v>91977.34</v>
      </c>
      <c r="Q15" s="27">
        <f>+'Prog 01'!R15</f>
        <v>61184.132034000002</v>
      </c>
      <c r="R15" s="240">
        <f t="shared" si="3"/>
        <v>0.66520875722215933</v>
      </c>
      <c r="T15" s="858"/>
      <c r="U15" s="858"/>
      <c r="V15" s="859"/>
      <c r="W15" s="109"/>
      <c r="X15" s="109"/>
      <c r="Y15" s="109"/>
      <c r="Z15" s="113"/>
    </row>
    <row r="16" spans="2:26" ht="15" hidden="1" customHeight="1" outlineLevel="3" x14ac:dyDescent="0.2">
      <c r="B16" s="382"/>
      <c r="C16" s="24"/>
      <c r="D16" s="25"/>
      <c r="E16" s="26">
        <v>4</v>
      </c>
      <c r="F16" s="26" t="str">
        <f>+CONCATENATE($B$10,"",$C$11,"",$D$12,"00",E16)</f>
        <v>21.01.001.004</v>
      </c>
      <c r="G16" s="384" t="s">
        <v>21</v>
      </c>
      <c r="H16" s="27">
        <f>+VLOOKUP(F16,matriz01,3,FALSE)</f>
        <v>163.035</v>
      </c>
      <c r="I16" s="27">
        <f>+VLOOKUP(F16,matriz01,4,FALSE)</f>
        <v>163.035</v>
      </c>
      <c r="J16" s="27">
        <f ca="1">+VLOOKUP(F16,matriz01,5,FALSE)</f>
        <v>0</v>
      </c>
      <c r="K16" s="240">
        <f t="shared" ca="1" si="0"/>
        <v>0</v>
      </c>
      <c r="L16" s="144">
        <f>INDEX(coincidenciaP01,MATCH(F16,indicep01,0),7)</f>
        <v>0</v>
      </c>
      <c r="M16" s="240">
        <f t="shared" si="1"/>
        <v>0</v>
      </c>
      <c r="N16" s="305">
        <f>INDEX(coincidenciaP01,MATCH(F16,indicep01,0),9)</f>
        <v>163.035</v>
      </c>
      <c r="O16" s="240">
        <f t="shared" si="2"/>
        <v>1</v>
      </c>
      <c r="P16" s="27">
        <v>0</v>
      </c>
      <c r="Q16" s="27">
        <v>0</v>
      </c>
      <c r="R16" s="240" t="str">
        <f t="shared" si="3"/>
        <v>0.00%</v>
      </c>
      <c r="T16" s="858"/>
      <c r="U16" s="858"/>
      <c r="V16" s="859"/>
      <c r="W16" s="109"/>
      <c r="X16" s="109"/>
      <c r="Y16" s="109"/>
      <c r="Z16" s="113"/>
    </row>
    <row r="17" spans="2:26" ht="15" hidden="1" customHeight="1" outlineLevel="3" x14ac:dyDescent="0.2">
      <c r="B17" s="382"/>
      <c r="C17" s="24"/>
      <c r="D17" s="25"/>
      <c r="E17" s="26">
        <v>7</v>
      </c>
      <c r="F17" s="26" t="str">
        <f>+CONCATENATE($B$10,"",$C$11,"",$D$12,"00",E17)</f>
        <v>21.01.001.007</v>
      </c>
      <c r="G17" s="384" t="s">
        <v>128</v>
      </c>
      <c r="H17" s="27">
        <f>+VLOOKUP(F17,matriz01,3,FALSE)</f>
        <v>9786.4390000000003</v>
      </c>
      <c r="I17" s="27">
        <f>+VLOOKUP(F17,matriz01,4,FALSE)</f>
        <v>9786.4390000000003</v>
      </c>
      <c r="J17" s="27">
        <f ca="1">+VLOOKUP(F17,matriz01,5,FALSE)</f>
        <v>6820.3719999999985</v>
      </c>
      <c r="K17" s="240">
        <f t="shared" ca="1" si="0"/>
        <v>0.69692070833936615</v>
      </c>
      <c r="L17" s="144">
        <f t="shared" si="8"/>
        <v>6820.3720000000003</v>
      </c>
      <c r="M17" s="240">
        <f t="shared" si="1"/>
        <v>0.69692070833936637</v>
      </c>
      <c r="N17" s="305">
        <f t="shared" si="9"/>
        <v>2966.067</v>
      </c>
      <c r="O17" s="240">
        <f t="shared" si="2"/>
        <v>0.30307929166063363</v>
      </c>
      <c r="P17" s="27">
        <f>+'Prog 01'!Q17</f>
        <v>10034.460000000001</v>
      </c>
      <c r="Q17" s="27">
        <f>+'Prog 01'!R17</f>
        <v>6771.4755539999996</v>
      </c>
      <c r="R17" s="240">
        <f t="shared" si="3"/>
        <v>0.67482211838006223</v>
      </c>
      <c r="T17" s="858"/>
      <c r="U17" s="858"/>
      <c r="V17" s="859"/>
      <c r="W17" s="109"/>
      <c r="X17" s="109"/>
      <c r="Y17" s="109"/>
      <c r="Z17" s="113"/>
    </row>
    <row r="18" spans="2:26" ht="15" hidden="1" customHeight="1" outlineLevel="3" x14ac:dyDescent="0.2">
      <c r="B18" s="382"/>
      <c r="C18" s="24"/>
      <c r="D18" s="25"/>
      <c r="E18" s="26">
        <v>12</v>
      </c>
      <c r="F18" s="26" t="str">
        <f t="shared" ref="F18:F25" si="10">+CONCATENATE($B$10,"",$C$11,"",$D$12,"0",E18)</f>
        <v>21.01.001.012</v>
      </c>
      <c r="G18" s="384" t="s">
        <v>22</v>
      </c>
      <c r="H18" s="27">
        <f t="shared" si="5"/>
        <v>2224.8789999999999</v>
      </c>
      <c r="I18" s="27">
        <f t="shared" si="6"/>
        <v>2224.8789999999999</v>
      </c>
      <c r="J18" s="27">
        <f t="shared" ca="1" si="7"/>
        <v>1487.88</v>
      </c>
      <c r="K18" s="240">
        <f t="shared" ca="1" si="0"/>
        <v>0.66874648014566196</v>
      </c>
      <c r="L18" s="144">
        <f t="shared" si="8"/>
        <v>1487.88</v>
      </c>
      <c r="M18" s="240">
        <f t="shared" si="1"/>
        <v>0.66874648014566196</v>
      </c>
      <c r="N18" s="305">
        <f t="shared" si="9"/>
        <v>736.9989999999998</v>
      </c>
      <c r="O18" s="240">
        <f t="shared" si="2"/>
        <v>0.33125351985433804</v>
      </c>
      <c r="P18" s="27">
        <f>+'Prog 01'!Q18</f>
        <v>2292.4</v>
      </c>
      <c r="Q18" s="27">
        <f>+'Prog 01'!R18</f>
        <v>1543.4968860000001</v>
      </c>
      <c r="R18" s="240">
        <f t="shared" si="3"/>
        <v>0.67331045454545457</v>
      </c>
      <c r="T18" s="858"/>
      <c r="U18" s="858"/>
      <c r="V18" s="859"/>
      <c r="W18" s="109"/>
      <c r="X18" s="109"/>
      <c r="Y18" s="109"/>
      <c r="Z18" s="113"/>
    </row>
    <row r="19" spans="2:26" ht="15" hidden="1" customHeight="1" outlineLevel="3" x14ac:dyDescent="0.2">
      <c r="B19" s="382"/>
      <c r="C19" s="24"/>
      <c r="D19" s="25"/>
      <c r="E19" s="26">
        <v>13</v>
      </c>
      <c r="F19" s="26" t="str">
        <f t="shared" si="10"/>
        <v>21.01.001.013</v>
      </c>
      <c r="G19" s="384" t="s">
        <v>23</v>
      </c>
      <c r="H19" s="27">
        <f>+VLOOKUP(F19,matriz01,3,FALSE)</f>
        <v>53254.192000000003</v>
      </c>
      <c r="I19" s="27">
        <f t="shared" si="6"/>
        <v>53254.192000000003</v>
      </c>
      <c r="J19" s="27">
        <f t="shared" ca="1" si="7"/>
        <v>34395.133999999998</v>
      </c>
      <c r="K19" s="240">
        <f t="shared" ca="1" si="0"/>
        <v>0.64586716478582562</v>
      </c>
      <c r="L19" s="144">
        <f t="shared" si="8"/>
        <v>34395.133999999998</v>
      </c>
      <c r="M19" s="240">
        <f t="shared" si="1"/>
        <v>0.64586716478582562</v>
      </c>
      <c r="N19" s="305">
        <f>INDEX(coincidenciaP01,MATCH(F19,indicep01,0),9)</f>
        <v>18859.058000000005</v>
      </c>
      <c r="O19" s="240">
        <f t="shared" si="2"/>
        <v>0.35413283521417438</v>
      </c>
      <c r="P19" s="27">
        <f>+'Prog 01'!Q19</f>
        <v>54163.16</v>
      </c>
      <c r="Q19" s="27">
        <f>+'Prog 01'!R19</f>
        <v>35778.085950000001</v>
      </c>
      <c r="R19" s="240">
        <f t="shared" si="3"/>
        <v>0.66056127356675642</v>
      </c>
      <c r="T19" s="858"/>
      <c r="U19" s="858"/>
      <c r="V19" s="859"/>
      <c r="W19" s="109"/>
      <c r="X19" s="109"/>
      <c r="Y19" s="109"/>
      <c r="Z19" s="113"/>
    </row>
    <row r="20" spans="2:26" ht="15" hidden="1" customHeight="1" outlineLevel="3" x14ac:dyDescent="0.2">
      <c r="B20" s="382"/>
      <c r="C20" s="24"/>
      <c r="D20" s="25"/>
      <c r="E20" s="26">
        <v>14</v>
      </c>
      <c r="F20" s="26" t="str">
        <f t="shared" si="10"/>
        <v>21.01.001.014</v>
      </c>
      <c r="G20" s="384" t="s">
        <v>24</v>
      </c>
      <c r="H20" s="27">
        <f t="shared" si="5"/>
        <v>78237.198999999993</v>
      </c>
      <c r="I20" s="27">
        <f t="shared" si="6"/>
        <v>78237.198999999993</v>
      </c>
      <c r="J20" s="27">
        <f t="shared" ca="1" si="7"/>
        <v>40992.653000000006</v>
      </c>
      <c r="K20" s="240">
        <f t="shared" ca="1" si="0"/>
        <v>0.52395348407092146</v>
      </c>
      <c r="L20" s="144">
        <f t="shared" si="8"/>
        <v>40992.652999999998</v>
      </c>
      <c r="M20" s="240">
        <f t="shared" si="1"/>
        <v>0.52395348407092135</v>
      </c>
      <c r="N20" s="305">
        <f t="shared" si="9"/>
        <v>37244.545999999995</v>
      </c>
      <c r="O20" s="240">
        <f t="shared" si="2"/>
        <v>0.47604651592907865</v>
      </c>
      <c r="P20" s="27">
        <f>+'Prog 01'!Q20</f>
        <v>83016.14</v>
      </c>
      <c r="Q20" s="27">
        <f>+'Prog 01'!R20</f>
        <v>56061.65482399999</v>
      </c>
      <c r="R20" s="240">
        <f t="shared" si="3"/>
        <v>0.67531030500815858</v>
      </c>
      <c r="T20" s="858"/>
      <c r="U20" s="858"/>
      <c r="V20" s="859"/>
      <c r="W20" s="109"/>
      <c r="X20" s="109"/>
      <c r="Y20" s="109"/>
      <c r="Z20" s="113"/>
    </row>
    <row r="21" spans="2:26" ht="15" hidden="1" customHeight="1" outlineLevel="3" x14ac:dyDescent="0.2">
      <c r="B21" s="382"/>
      <c r="C21" s="24"/>
      <c r="D21" s="25"/>
      <c r="E21" s="26">
        <v>15</v>
      </c>
      <c r="F21" s="26" t="str">
        <f t="shared" si="10"/>
        <v>21.01.001.015</v>
      </c>
      <c r="G21" s="384" t="s">
        <v>25</v>
      </c>
      <c r="H21" s="27">
        <f t="shared" si="5"/>
        <v>193572.617</v>
      </c>
      <c r="I21" s="27">
        <f t="shared" si="6"/>
        <v>193572.617</v>
      </c>
      <c r="J21" s="27">
        <f t="shared" ca="1" si="7"/>
        <v>102412.982</v>
      </c>
      <c r="K21" s="240">
        <f t="shared" ca="1" si="0"/>
        <v>0.52906750751838005</v>
      </c>
      <c r="L21" s="144">
        <f t="shared" si="8"/>
        <v>102412.982</v>
      </c>
      <c r="M21" s="240">
        <f t="shared" si="1"/>
        <v>0.52906750751838005</v>
      </c>
      <c r="N21" s="305">
        <f t="shared" si="9"/>
        <v>91159.634999999995</v>
      </c>
      <c r="O21" s="240">
        <f t="shared" si="2"/>
        <v>0.47093249248161995</v>
      </c>
      <c r="P21" s="27">
        <f>+'Prog 01'!Q21</f>
        <v>204065.28</v>
      </c>
      <c r="Q21" s="27">
        <f>+'Prog 01'!R21</f>
        <v>139414.55255200001</v>
      </c>
      <c r="R21" s="240">
        <f t="shared" si="3"/>
        <v>0.68318604983660136</v>
      </c>
      <c r="T21" s="858"/>
      <c r="U21" s="858"/>
      <c r="V21" s="859"/>
      <c r="W21" s="109"/>
      <c r="X21" s="109"/>
      <c r="Y21" s="109"/>
      <c r="Z21" s="113"/>
    </row>
    <row r="22" spans="2:26" ht="15" hidden="1" customHeight="1" outlineLevel="3" x14ac:dyDescent="0.2">
      <c r="B22" s="382"/>
      <c r="C22" s="24"/>
      <c r="D22" s="25"/>
      <c r="E22" s="26">
        <v>22</v>
      </c>
      <c r="F22" s="26" t="str">
        <f t="shared" si="10"/>
        <v>21.01.001.022</v>
      </c>
      <c r="G22" s="384" t="s">
        <v>26</v>
      </c>
      <c r="H22" s="27">
        <f t="shared" si="5"/>
        <v>62483.360999999997</v>
      </c>
      <c r="I22" s="27">
        <f>+VLOOKUP(F22,matriz01,4,FALSE)</f>
        <v>62483.360999999997</v>
      </c>
      <c r="J22" s="27">
        <f t="shared" ca="1" si="7"/>
        <v>24907.861000000001</v>
      </c>
      <c r="K22" s="240">
        <f t="shared" ca="1" si="0"/>
        <v>0.39863190137931281</v>
      </c>
      <c r="L22" s="144">
        <f t="shared" si="8"/>
        <v>24907.861000000001</v>
      </c>
      <c r="M22" s="240">
        <f t="shared" si="1"/>
        <v>0.39863190137931281</v>
      </c>
      <c r="N22" s="305">
        <f t="shared" si="9"/>
        <v>37575.5</v>
      </c>
      <c r="O22" s="240">
        <f t="shared" si="2"/>
        <v>0.60136809862068719</v>
      </c>
      <c r="P22" s="27">
        <f>+'Prog 01'!Q22</f>
        <v>65781.460000000006</v>
      </c>
      <c r="Q22" s="27">
        <f>+'Prog 01'!R22</f>
        <v>34957.761030000001</v>
      </c>
      <c r="R22" s="240">
        <f t="shared" si="3"/>
        <v>0.53142269919214313</v>
      </c>
      <c r="T22" s="858"/>
      <c r="U22" s="858"/>
      <c r="V22" s="859"/>
      <c r="W22" s="109"/>
      <c r="X22" s="109"/>
      <c r="Y22" s="109"/>
      <c r="Z22" s="113"/>
    </row>
    <row r="23" spans="2:26" ht="15" hidden="1" customHeight="1" outlineLevel="3" x14ac:dyDescent="0.2">
      <c r="B23" s="382"/>
      <c r="C23" s="24"/>
      <c r="D23" s="25"/>
      <c r="E23" s="26">
        <v>39</v>
      </c>
      <c r="F23" s="26" t="str">
        <f t="shared" si="10"/>
        <v>21.01.001.039</v>
      </c>
      <c r="G23" s="384" t="s">
        <v>27</v>
      </c>
      <c r="H23" s="27">
        <f t="shared" si="5"/>
        <v>12034.025</v>
      </c>
      <c r="I23" s="27">
        <f>+VLOOKUP(F23,matriz01,4,FALSE)</f>
        <v>12034.025</v>
      </c>
      <c r="J23" s="27">
        <f t="shared" ca="1" si="7"/>
        <v>8269.143</v>
      </c>
      <c r="K23" s="240">
        <f t="shared" ca="1" si="0"/>
        <v>0.68714690222099428</v>
      </c>
      <c r="L23" s="144">
        <f t="shared" si="8"/>
        <v>8269.143</v>
      </c>
      <c r="M23" s="240">
        <f t="shared" si="1"/>
        <v>0.68714690222099428</v>
      </c>
      <c r="N23" s="305">
        <f t="shared" si="9"/>
        <v>3764.8819999999996</v>
      </c>
      <c r="O23" s="240">
        <f t="shared" si="2"/>
        <v>0.31285309777900577</v>
      </c>
      <c r="P23" s="27">
        <f>+'Prog 01'!Q23</f>
        <v>11649.560000000001</v>
      </c>
      <c r="Q23" s="27">
        <f>+'Prog 01'!R23</f>
        <v>8327.2774180000015</v>
      </c>
      <c r="R23" s="240">
        <f t="shared" si="3"/>
        <v>0.71481475849731668</v>
      </c>
      <c r="T23" s="858"/>
      <c r="U23" s="858"/>
      <c r="V23" s="859"/>
      <c r="W23" s="109"/>
      <c r="X23" s="109"/>
      <c r="Y23" s="109"/>
      <c r="Z23" s="113"/>
    </row>
    <row r="24" spans="2:26" ht="15" hidden="1" customHeight="1" outlineLevel="3" x14ac:dyDescent="0.2">
      <c r="B24" s="382"/>
      <c r="C24" s="24"/>
      <c r="D24" s="25"/>
      <c r="E24" s="26">
        <v>998</v>
      </c>
      <c r="F24" s="26" t="str">
        <f t="shared" si="10"/>
        <v>21.01.001.0998</v>
      </c>
      <c r="G24" s="384" t="s">
        <v>825</v>
      </c>
      <c r="H24" s="27">
        <f>+'Prog 01'!I24</f>
        <v>0</v>
      </c>
      <c r="I24" s="27">
        <f>+VLOOKUP(F24,matriz01,4,FALSE)</f>
        <v>0</v>
      </c>
      <c r="J24" s="27">
        <f ca="1">+'Prog 01'!K24</f>
        <v>0</v>
      </c>
      <c r="K24" s="240" t="str">
        <f t="shared" ca="1" si="0"/>
        <v>0.00%</v>
      </c>
      <c r="L24" s="144">
        <f t="shared" si="8"/>
        <v>0</v>
      </c>
      <c r="M24" s="240">
        <f t="shared" si="1"/>
        <v>0</v>
      </c>
      <c r="N24" s="27">
        <f>+'Prog 01'!O24</f>
        <v>0</v>
      </c>
      <c r="O24" s="240">
        <f t="shared" si="2"/>
        <v>0</v>
      </c>
      <c r="P24" s="27">
        <f>+'Prog 01'!Q24</f>
        <v>18078.7</v>
      </c>
      <c r="Q24" s="27">
        <f>+'Prog 01'!R24</f>
        <v>0</v>
      </c>
      <c r="R24" s="240">
        <f t="shared" si="3"/>
        <v>0</v>
      </c>
      <c r="T24" s="858"/>
      <c r="U24" s="858"/>
      <c r="V24" s="859"/>
      <c r="W24" s="109"/>
      <c r="X24" s="109"/>
      <c r="Y24" s="109"/>
      <c r="Z24" s="113"/>
    </row>
    <row r="25" spans="2:26" ht="15" hidden="1" customHeight="1" outlineLevel="3" x14ac:dyDescent="0.2">
      <c r="B25" s="382"/>
      <c r="C25" s="24"/>
      <c r="D25" s="25"/>
      <c r="E25" s="26">
        <v>999</v>
      </c>
      <c r="F25" s="26" t="str">
        <f t="shared" si="10"/>
        <v>21.01.001.0999</v>
      </c>
      <c r="G25" s="384" t="s">
        <v>769</v>
      </c>
      <c r="H25" s="27">
        <v>0</v>
      </c>
      <c r="I25" s="27">
        <f>+VLOOKUP(F25,matriz01,4,FALSE)</f>
        <v>0</v>
      </c>
      <c r="J25" s="27">
        <f ca="1">+VLOOKUP(F25,matriz01,5,FALSE)</f>
        <v>0</v>
      </c>
      <c r="K25" s="240" t="str">
        <f t="shared" ca="1" si="0"/>
        <v>0.00%</v>
      </c>
      <c r="L25" s="144">
        <f>+'Prog 01'!M25</f>
        <v>0</v>
      </c>
      <c r="M25" s="240">
        <f t="shared" si="1"/>
        <v>0</v>
      </c>
      <c r="N25" s="317">
        <f>+'Prog 01'!O25</f>
        <v>0</v>
      </c>
      <c r="O25" s="240">
        <f t="shared" si="2"/>
        <v>0</v>
      </c>
      <c r="P25" s="27">
        <f>+'Prog 01'!Q25</f>
        <v>0</v>
      </c>
      <c r="Q25" s="27">
        <f>+'Prog 01'!R25</f>
        <v>0</v>
      </c>
      <c r="R25" s="240" t="str">
        <f t="shared" si="3"/>
        <v>0.00%</v>
      </c>
      <c r="T25" s="858"/>
      <c r="U25" s="858"/>
      <c r="V25" s="859"/>
      <c r="W25" s="109"/>
      <c r="X25" s="109"/>
      <c r="Y25" s="109"/>
      <c r="Z25" s="113"/>
    </row>
    <row r="26" spans="2:26" s="46" customFormat="1" ht="15" hidden="1" customHeight="1" outlineLevel="2" x14ac:dyDescent="0.2">
      <c r="B26" s="382"/>
      <c r="C26" s="24"/>
      <c r="D26" s="25" t="s">
        <v>154</v>
      </c>
      <c r="E26" s="26"/>
      <c r="F26" s="26"/>
      <c r="G26" s="383" t="s">
        <v>28</v>
      </c>
      <c r="H26" s="27">
        <f>SUM(H27:H28)</f>
        <v>19540.34</v>
      </c>
      <c r="I26" s="27">
        <f>SUM(I27:I28)</f>
        <v>19540.34</v>
      </c>
      <c r="J26" s="27">
        <f ca="1">SUM(J27:J28)</f>
        <v>10337.265000000001</v>
      </c>
      <c r="K26" s="240">
        <f t="shared" ca="1" si="0"/>
        <v>0.52902175704209864</v>
      </c>
      <c r="L26" s="144">
        <f>SUM(L27:L28)</f>
        <v>10337.265000000001</v>
      </c>
      <c r="M26" s="240">
        <f t="shared" si="1"/>
        <v>0.52902175704209864</v>
      </c>
      <c r="N26" s="305">
        <f>SUM(N27:N28)</f>
        <v>9203.0749999999971</v>
      </c>
      <c r="O26" s="240">
        <f t="shared" si="2"/>
        <v>0.47097824295790131</v>
      </c>
      <c r="P26" s="27">
        <f>SUM(P27:P28)</f>
        <v>22653.079999999998</v>
      </c>
      <c r="Q26" s="27">
        <f>SUM(Q27:Q28)</f>
        <v>13821.204704</v>
      </c>
      <c r="R26" s="240">
        <f t="shared" si="3"/>
        <v>0.61012474701011965</v>
      </c>
      <c r="S26" s="20"/>
      <c r="T26" s="858"/>
      <c r="U26" s="858"/>
      <c r="V26" s="859"/>
      <c r="W26" s="109"/>
      <c r="X26" s="109"/>
      <c r="Y26" s="109"/>
      <c r="Z26" s="113"/>
    </row>
    <row r="27" spans="2:26" s="46" customFormat="1" ht="15" hidden="1" customHeight="1" outlineLevel="3" x14ac:dyDescent="0.2">
      <c r="B27" s="382"/>
      <c r="C27" s="24"/>
      <c r="D27" s="25"/>
      <c r="E27" s="26">
        <v>1</v>
      </c>
      <c r="F27" s="26" t="str">
        <f>+CONCATENATE($B$10,"",$C$11,"",$D$26,"00",E27)</f>
        <v>21.01.002.001</v>
      </c>
      <c r="G27" s="384" t="s">
        <v>29</v>
      </c>
      <c r="H27" s="27">
        <f>+VLOOKUP(F27,matriz01,3,FALSE)</f>
        <v>1667.615</v>
      </c>
      <c r="I27" s="27">
        <f>+VLOOKUP(F27,matriz01,4,FALSE)</f>
        <v>1667.615</v>
      </c>
      <c r="J27" s="27">
        <f ca="1">+VLOOKUP(F27,matriz01,5,FALSE)</f>
        <v>855.78899999999999</v>
      </c>
      <c r="K27" s="240">
        <f t="shared" ca="1" si="0"/>
        <v>0.51318139978352317</v>
      </c>
      <c r="L27" s="144">
        <f>INDEX(coincidenciaP01,MATCH(F27,indicep01,0),7)</f>
        <v>855.78899999999999</v>
      </c>
      <c r="M27" s="240">
        <f t="shared" si="1"/>
        <v>0.51318139978352317</v>
      </c>
      <c r="N27" s="305">
        <f>INDEX(coincidenciaP01,MATCH(F27,indicep01,0),9)</f>
        <v>811.82600000000002</v>
      </c>
      <c r="O27" s="240">
        <f t="shared" si="2"/>
        <v>0.48681860021647683</v>
      </c>
      <c r="P27" s="27">
        <f>+'Prog 01'!Q27</f>
        <v>1635.94</v>
      </c>
      <c r="Q27" s="27">
        <f>+'Prog 01'!R27</f>
        <v>1193.6933180000001</v>
      </c>
      <c r="R27" s="240">
        <f t="shared" si="3"/>
        <v>0.72966815286624209</v>
      </c>
      <c r="S27" s="20"/>
      <c r="T27" s="858"/>
      <c r="U27" s="858"/>
      <c r="V27" s="859"/>
      <c r="W27" s="109"/>
      <c r="X27" s="109"/>
      <c r="Y27" s="109"/>
      <c r="Z27" s="113"/>
    </row>
    <row r="28" spans="2:26" s="46" customFormat="1" ht="15" hidden="1" customHeight="1" outlineLevel="3" x14ac:dyDescent="0.2">
      <c r="B28" s="382"/>
      <c r="C28" s="24"/>
      <c r="D28" s="25"/>
      <c r="E28" s="26">
        <v>2</v>
      </c>
      <c r="F28" s="26" t="str">
        <f>+CONCATENATE($B$10,"",$C$11,"",$D$26,"00",E28)</f>
        <v>21.01.002.002</v>
      </c>
      <c r="G28" s="384" t="s">
        <v>30</v>
      </c>
      <c r="H28" s="27">
        <f>+VLOOKUP(F28,matriz01,3,FALSE)</f>
        <v>17872.724999999999</v>
      </c>
      <c r="I28" s="27">
        <f>+VLOOKUP(F28,matriz01,4,FALSE)</f>
        <v>17872.724999999999</v>
      </c>
      <c r="J28" s="27">
        <f ca="1">+VLOOKUP(F28,matriz01,5,FALSE)</f>
        <v>9481.4760000000006</v>
      </c>
      <c r="K28" s="240">
        <f t="shared" ca="1" si="0"/>
        <v>0.53049974192519611</v>
      </c>
      <c r="L28" s="144">
        <f>INDEX(coincidenciaP01,MATCH(F28,indicep01,0),7)</f>
        <v>9481.4760000000006</v>
      </c>
      <c r="M28" s="240">
        <f t="shared" si="1"/>
        <v>0.53049974192519611</v>
      </c>
      <c r="N28" s="305">
        <f>INDEX(coincidenciaP01,MATCH(F28,indicep01,0),9)</f>
        <v>8391.248999999998</v>
      </c>
      <c r="O28" s="240">
        <f t="shared" si="2"/>
        <v>0.46950025807480383</v>
      </c>
      <c r="P28" s="27">
        <f>+'Prog 01'!Q28</f>
        <v>21017.14</v>
      </c>
      <c r="Q28" s="27">
        <f>+'Prog 01'!R28</f>
        <v>12627.511386</v>
      </c>
      <c r="R28" s="240">
        <f t="shared" si="3"/>
        <v>0.60081968269707486</v>
      </c>
      <c r="S28" s="20"/>
      <c r="T28" s="858"/>
      <c r="U28" s="858"/>
      <c r="V28" s="859"/>
      <c r="W28" s="109"/>
      <c r="X28" s="109"/>
      <c r="Y28" s="109"/>
      <c r="Z28" s="113"/>
    </row>
    <row r="29" spans="2:26" s="46" customFormat="1" ht="15" hidden="1" customHeight="1" outlineLevel="2" x14ac:dyDescent="0.2">
      <c r="B29" s="382"/>
      <c r="C29" s="24"/>
      <c r="D29" s="25" t="s">
        <v>155</v>
      </c>
      <c r="E29" s="26"/>
      <c r="F29" s="26"/>
      <c r="G29" s="383" t="s">
        <v>31</v>
      </c>
      <c r="H29" s="27">
        <f>SUM(H30:H31)</f>
        <v>56619.78</v>
      </c>
      <c r="I29" s="27">
        <f>SUM(I30:I32)</f>
        <v>56619.78</v>
      </c>
      <c r="J29" s="27">
        <f ca="1">SUM(J30:J32)</f>
        <v>23421.978999999999</v>
      </c>
      <c r="K29" s="240">
        <f t="shared" ca="1" si="0"/>
        <v>0.41367131769144988</v>
      </c>
      <c r="L29" s="27">
        <f>SUM(L30:L32)</f>
        <v>23421.978999999999</v>
      </c>
      <c r="M29" s="240">
        <f t="shared" si="1"/>
        <v>0.41367131769144988</v>
      </c>
      <c r="N29" s="27">
        <f>SUM(N30:N32)</f>
        <v>33197.800999999999</v>
      </c>
      <c r="O29" s="240">
        <f t="shared" si="2"/>
        <v>0.58632868230855018</v>
      </c>
      <c r="P29" s="27">
        <f>SUM(P30:P32)</f>
        <v>61217.5</v>
      </c>
      <c r="Q29" s="27">
        <f ca="1">SUM(Q30:Q32)</f>
        <v>32004.984152000005</v>
      </c>
      <c r="R29" s="240">
        <f t="shared" ca="1" si="3"/>
        <v>0.52280776170212773</v>
      </c>
      <c r="S29" s="20"/>
      <c r="T29" s="858"/>
      <c r="U29" s="858"/>
      <c r="V29" s="859"/>
      <c r="W29" s="109"/>
      <c r="X29" s="109"/>
      <c r="Y29" s="109"/>
      <c r="Z29" s="113"/>
    </row>
    <row r="30" spans="2:26" s="46" customFormat="1" ht="15" hidden="1" customHeight="1" outlineLevel="3" x14ac:dyDescent="0.2">
      <c r="B30" s="382"/>
      <c r="C30" s="24"/>
      <c r="D30" s="25"/>
      <c r="E30" s="26">
        <v>1</v>
      </c>
      <c r="F30" s="26" t="str">
        <f>+CONCATENATE($B$10,"",$C$11,"",$D$29,"00",E30)</f>
        <v>21.01.003.001</v>
      </c>
      <c r="G30" s="384" t="s">
        <v>32</v>
      </c>
      <c r="H30" s="27">
        <f>+VLOOKUP(F30,matriz01,3,FALSE)</f>
        <v>30187.928</v>
      </c>
      <c r="I30" s="27">
        <f>+VLOOKUP(F30,matriz01,4,FALSE)</f>
        <v>30187.928</v>
      </c>
      <c r="J30" s="27">
        <f ca="1">+VLOOKUP(F30,matriz01,5,FALSE)</f>
        <v>11886.954999999998</v>
      </c>
      <c r="K30" s="240">
        <f t="shared" ca="1" si="0"/>
        <v>0.39376518322158438</v>
      </c>
      <c r="L30" s="144">
        <f>INDEX(coincidenciaP01,MATCH(F30,indicep01,0),7)</f>
        <v>11886.955</v>
      </c>
      <c r="M30" s="240">
        <f t="shared" si="1"/>
        <v>0.39376518322158449</v>
      </c>
      <c r="N30" s="305">
        <f>INDEX(coincidenciaP01,MATCH(F30,indicep01,0),9)</f>
        <v>18300.972999999998</v>
      </c>
      <c r="O30" s="240">
        <f t="shared" si="2"/>
        <v>0.60623481677841551</v>
      </c>
      <c r="P30" s="27">
        <f>+'Prog 01'!Q30</f>
        <v>31885.200000000001</v>
      </c>
      <c r="Q30" s="27">
        <f>+'Prog 01'!R30</f>
        <v>16943.672324000003</v>
      </c>
      <c r="R30" s="240">
        <f t="shared" si="3"/>
        <v>0.53139614379084976</v>
      </c>
      <c r="S30" s="20"/>
      <c r="T30" s="858"/>
      <c r="U30" s="858"/>
      <c r="V30" s="859"/>
      <c r="W30" s="109"/>
      <c r="X30" s="109"/>
      <c r="Y30" s="109"/>
      <c r="Z30" s="113"/>
    </row>
    <row r="31" spans="2:26" s="46" customFormat="1" ht="15" hidden="1" customHeight="1" outlineLevel="3" x14ac:dyDescent="0.2">
      <c r="B31" s="382"/>
      <c r="C31" s="24"/>
      <c r="D31" s="25"/>
      <c r="E31" s="26">
        <v>2</v>
      </c>
      <c r="F31" s="26" t="str">
        <f>+CONCATENATE($B$10,"",$C$11,"",$D$29,"00",E31)</f>
        <v>21.01.003.002</v>
      </c>
      <c r="G31" s="384" t="s">
        <v>33</v>
      </c>
      <c r="H31" s="27">
        <f>+VLOOKUP(F31,matriz01,3,FALSE)</f>
        <v>26431.851999999999</v>
      </c>
      <c r="I31" s="27">
        <f>+VLOOKUP(F31,matriz01,4,FALSE)</f>
        <v>26431.851999999999</v>
      </c>
      <c r="J31" s="27">
        <f ca="1">+VLOOKUP(F31,matriz01,5,FALSE)</f>
        <v>11535.024000000001</v>
      </c>
      <c r="K31" s="240">
        <f t="shared" ca="1" si="0"/>
        <v>0.43640619658433322</v>
      </c>
      <c r="L31" s="144">
        <f>INDEX(coincidenciaP01,MATCH(F31,indicep01,0),7)</f>
        <v>11535.023999999999</v>
      </c>
      <c r="M31" s="240">
        <f t="shared" si="1"/>
        <v>0.43640619658433316</v>
      </c>
      <c r="N31" s="305">
        <f>INDEX(coincidenciaP01,MATCH(F31,indicep01,0),9)</f>
        <v>14896.828</v>
      </c>
      <c r="O31" s="240">
        <f t="shared" si="2"/>
        <v>0.56359380341566678</v>
      </c>
      <c r="P31" s="27">
        <f>+'Prog 01'!Q31</f>
        <v>29332.3</v>
      </c>
      <c r="Q31" s="27">
        <f>+'Prog 01'!R31</f>
        <v>15061.311828000002</v>
      </c>
      <c r="R31" s="240">
        <f t="shared" si="3"/>
        <v>0.51347190053285974</v>
      </c>
      <c r="S31" s="20"/>
      <c r="T31" s="858"/>
      <c r="U31" s="858"/>
      <c r="V31" s="859"/>
      <c r="W31" s="109"/>
      <c r="X31" s="109"/>
      <c r="Y31" s="109"/>
      <c r="Z31" s="113"/>
    </row>
    <row r="32" spans="2:26" s="46" customFormat="1" ht="15" hidden="1" customHeight="1" outlineLevel="3" x14ac:dyDescent="0.2">
      <c r="B32" s="382"/>
      <c r="C32" s="24"/>
      <c r="D32" s="25"/>
      <c r="E32" s="26">
        <v>3</v>
      </c>
      <c r="F32" s="26" t="str">
        <f>+CONCATENATE($B$10,"",$C$11,"",$D$29,"00",E32)</f>
        <v>21.01.003.003</v>
      </c>
      <c r="G32" s="384" t="s">
        <v>770</v>
      </c>
      <c r="H32" s="27">
        <v>0</v>
      </c>
      <c r="I32" s="27">
        <f>+VLOOKUP(F32,matriz01,4,FALSE)</f>
        <v>0</v>
      </c>
      <c r="J32" s="27">
        <f ca="1">+VLOOKUP(F32,matriz01,5,FALSE)</f>
        <v>0</v>
      </c>
      <c r="K32" s="240" t="str">
        <f t="shared" ca="1" si="0"/>
        <v>0.00%</v>
      </c>
      <c r="L32" s="144">
        <v>0</v>
      </c>
      <c r="M32" s="240">
        <f t="shared" si="1"/>
        <v>0</v>
      </c>
      <c r="N32" s="317">
        <f>+'Prog 01'!O32</f>
        <v>0</v>
      </c>
      <c r="O32" s="240">
        <f t="shared" si="2"/>
        <v>0</v>
      </c>
      <c r="P32" s="27">
        <f>+'Prog 01'!Q32</f>
        <v>0</v>
      </c>
      <c r="Q32" s="27">
        <f ca="1">+'Prog 01'!R32</f>
        <v>0</v>
      </c>
      <c r="R32" s="240" t="str">
        <f t="shared" ca="1" si="3"/>
        <v>0.00%</v>
      </c>
      <c r="S32" s="20"/>
      <c r="T32" s="858"/>
      <c r="U32" s="858"/>
      <c r="V32" s="859"/>
      <c r="W32" s="109"/>
      <c r="X32" s="109"/>
      <c r="Y32" s="109"/>
      <c r="Z32" s="113"/>
    </row>
    <row r="33" spans="2:26" s="46" customFormat="1" ht="15" hidden="1" customHeight="1" outlineLevel="2" x14ac:dyDescent="0.2">
      <c r="B33" s="382"/>
      <c r="C33" s="24"/>
      <c r="D33" s="25" t="s">
        <v>156</v>
      </c>
      <c r="E33" s="26"/>
      <c r="F33" s="26"/>
      <c r="G33" s="383" t="s">
        <v>34</v>
      </c>
      <c r="H33" s="27">
        <f>SUM(H34:H37)</f>
        <v>97527.415999999997</v>
      </c>
      <c r="I33" s="27">
        <f>SUM(I34:I37)</f>
        <v>97150.421999999991</v>
      </c>
      <c r="J33" s="27">
        <f ca="1">SUM(J34:J37)</f>
        <v>56831.046999999999</v>
      </c>
      <c r="K33" s="240">
        <f t="shared" ca="1" si="0"/>
        <v>0.58497992937179422</v>
      </c>
      <c r="L33" s="27">
        <f>SUM(L34:L37)</f>
        <v>56831.046999999999</v>
      </c>
      <c r="M33" s="240">
        <f t="shared" si="1"/>
        <v>0.58497992937179422</v>
      </c>
      <c r="N33" s="305">
        <f>SUM(N34:N37)</f>
        <v>40319.375</v>
      </c>
      <c r="O33" s="240">
        <f t="shared" si="2"/>
        <v>0.41502007062820584</v>
      </c>
      <c r="P33" s="27">
        <f>SUM(P34:P37)</f>
        <v>220819.07700000002</v>
      </c>
      <c r="Q33" s="27">
        <f ca="1">SUM(Q34:Q37)</f>
        <v>68092.867121999996</v>
      </c>
      <c r="R33" s="240">
        <f t="shared" ca="1" si="3"/>
        <v>0.30836496577693778</v>
      </c>
      <c r="S33" s="20"/>
      <c r="T33" s="858"/>
      <c r="U33" s="858"/>
      <c r="V33" s="859"/>
      <c r="W33" s="109"/>
      <c r="X33" s="109"/>
      <c r="Y33" s="109"/>
      <c r="Z33" s="113"/>
    </row>
    <row r="34" spans="2:26" ht="15" hidden="1" customHeight="1" outlineLevel="3" x14ac:dyDescent="0.2">
      <c r="B34" s="382"/>
      <c r="C34" s="24"/>
      <c r="D34" s="25"/>
      <c r="E34" s="26">
        <v>4</v>
      </c>
      <c r="F34" s="26" t="str">
        <f>+CONCATENATE($B$10,"",$C$11,"",$D$33,"00",E34)</f>
        <v>21.01.004.004</v>
      </c>
      <c r="G34" s="384" t="s">
        <v>35</v>
      </c>
      <c r="H34" s="27">
        <f>+VLOOKUP(F34,matriz01,3,FALSE)</f>
        <v>89789.216</v>
      </c>
      <c r="I34" s="27">
        <f>+VLOOKUP(F34,matriz01,4,FALSE)</f>
        <v>89789.216</v>
      </c>
      <c r="J34" s="27">
        <f ca="1">+VLOOKUP(F34,matriz01,5,FALSE)</f>
        <v>51431.087</v>
      </c>
      <c r="K34" s="240">
        <f t="shared" ca="1" si="0"/>
        <v>0.57279804069121176</v>
      </c>
      <c r="L34" s="144">
        <f>INDEX(coincidenciaP01,MATCH(F34,indicep01,0),7)</f>
        <v>51431.087</v>
      </c>
      <c r="M34" s="240">
        <f t="shared" si="1"/>
        <v>0.57279804069121176</v>
      </c>
      <c r="N34" s="305">
        <f>INDEX(coincidenciaP01,MATCH(F34,indicep01,0),9)</f>
        <v>38358.129000000001</v>
      </c>
      <c r="O34" s="240">
        <f t="shared" si="2"/>
        <v>0.42720195930878829</v>
      </c>
      <c r="P34" s="27">
        <f>+'Prog 01'!Q34</f>
        <v>211675.527</v>
      </c>
      <c r="Q34" s="27">
        <f ca="1">+'Prog 01'!R34</f>
        <v>62926.52692199999</v>
      </c>
      <c r="R34" s="240">
        <f t="shared" ca="1" si="3"/>
        <v>0.29727823435157902</v>
      </c>
      <c r="T34" s="858"/>
      <c r="U34" s="858"/>
      <c r="V34" s="859"/>
      <c r="W34" s="109"/>
      <c r="X34" s="109"/>
      <c r="Y34" s="109"/>
      <c r="Z34" s="113"/>
    </row>
    <row r="35" spans="2:26" ht="15" hidden="1" customHeight="1" outlineLevel="3" x14ac:dyDescent="0.2">
      <c r="B35" s="382"/>
      <c r="C35" s="24"/>
      <c r="D35" s="25"/>
      <c r="E35" s="26">
        <v>5</v>
      </c>
      <c r="F35" s="26" t="str">
        <f>+CONCATENATE($B$10,"",$C$11,"",$D$33,"00",E35)</f>
        <v>21.01.004.005</v>
      </c>
      <c r="G35" s="384" t="s">
        <v>36</v>
      </c>
      <c r="H35" s="27">
        <f>+VLOOKUP(F35,matriz01,3,FALSE)</f>
        <v>138.19999999999999</v>
      </c>
      <c r="I35" s="27">
        <f>+VLOOKUP(F35,matriz01,4,FALSE)</f>
        <v>138.19999999999999</v>
      </c>
      <c r="J35" s="27">
        <f ca="1">+VLOOKUP(F35,matriz01,5,FALSE)</f>
        <v>48.972000000000001</v>
      </c>
      <c r="K35" s="240">
        <f t="shared" ca="1" si="0"/>
        <v>0.35435600578871207</v>
      </c>
      <c r="L35" s="27">
        <f>INDEX(coincidenciaP01,MATCH(F35,indicep01,0),7)</f>
        <v>48.972000000000001</v>
      </c>
      <c r="M35" s="240">
        <f t="shared" si="1"/>
        <v>0.35435600578871207</v>
      </c>
      <c r="N35" s="305">
        <f>INDEX(coincidenciaP01,MATCH(F35,indicep01,0),9)</f>
        <v>89.22799999999998</v>
      </c>
      <c r="O35" s="240">
        <f t="shared" si="2"/>
        <v>0.64564399421128793</v>
      </c>
      <c r="P35" s="27">
        <f>+'Prog 01'!Q35</f>
        <v>625.20000000000005</v>
      </c>
      <c r="Q35" s="27">
        <f ca="1">+'Prog 01'!R35</f>
        <v>0</v>
      </c>
      <c r="R35" s="240">
        <f t="shared" ca="1" si="3"/>
        <v>0</v>
      </c>
      <c r="T35" s="858"/>
      <c r="U35" s="858"/>
      <c r="V35" s="859"/>
      <c r="W35" s="109"/>
      <c r="X35" s="109"/>
      <c r="Y35" s="109"/>
      <c r="Z35" s="113"/>
    </row>
    <row r="36" spans="2:26" ht="15" hidden="1" customHeight="1" outlineLevel="3" collapsed="1" x14ac:dyDescent="0.2">
      <c r="B36" s="382"/>
      <c r="C36" s="24"/>
      <c r="D36" s="25"/>
      <c r="E36" s="26">
        <v>6</v>
      </c>
      <c r="F36" s="26" t="str">
        <f>+CONCATENATE($B$10,"",$C$11,"",$D$33,"00",E36)</f>
        <v>21.01.004.006</v>
      </c>
      <c r="G36" s="384" t="s">
        <v>37</v>
      </c>
      <c r="H36" s="27">
        <f>+VLOOKUP(F36,matriz01,3,FALSE)</f>
        <v>5600</v>
      </c>
      <c r="I36" s="27">
        <f>+VLOOKUP(F36,matriz01,4,FALSE)</f>
        <v>5723.0060000000003</v>
      </c>
      <c r="J36" s="27">
        <f ca="1">+VLOOKUP(F36,matriz01,5,FALSE)</f>
        <v>5350.9880000000003</v>
      </c>
      <c r="K36" s="240">
        <f t="shared" ca="1" si="0"/>
        <v>0.93499604927899782</v>
      </c>
      <c r="L36" s="144">
        <f>INDEX(coincidenciaP01,MATCH(F36,indicep01,0),7)</f>
        <v>5350.9880000000003</v>
      </c>
      <c r="M36" s="240">
        <f t="shared" si="1"/>
        <v>0.93499604927899782</v>
      </c>
      <c r="N36" s="305">
        <f>INDEX(coincidenciaP01,MATCH(F36,indicep01,0),9)</f>
        <v>372.01800000000003</v>
      </c>
      <c r="O36" s="240">
        <f t="shared" si="2"/>
        <v>6.5003950721002221E-2</v>
      </c>
      <c r="P36" s="27">
        <f>+'Prog 01'!Q36</f>
        <v>6434.35</v>
      </c>
      <c r="Q36" s="27">
        <f ca="1">+'Prog 01'!R36</f>
        <v>5166.3402000000006</v>
      </c>
      <c r="R36" s="240">
        <f t="shared" ca="1" si="3"/>
        <v>0.80293117408906889</v>
      </c>
      <c r="T36" s="858"/>
      <c r="U36" s="858"/>
      <c r="V36" s="859"/>
      <c r="W36" s="109"/>
      <c r="X36" s="109"/>
      <c r="Y36" s="109"/>
      <c r="Z36" s="113"/>
    </row>
    <row r="37" spans="2:26" ht="15" hidden="1" customHeight="1" outlineLevel="3" x14ac:dyDescent="0.2">
      <c r="B37" s="382"/>
      <c r="C37" s="24"/>
      <c r="D37" s="25"/>
      <c r="E37" s="26">
        <v>7</v>
      </c>
      <c r="F37" s="26" t="str">
        <f>+CONCATENATE($B$10,"",$C$11,"",$D$33,"00",E37)</f>
        <v>21.01.004.007</v>
      </c>
      <c r="G37" s="384" t="s">
        <v>38</v>
      </c>
      <c r="H37" s="27">
        <f>+VLOOKUP(F37,matriz01,3,FALSE)</f>
        <v>2000</v>
      </c>
      <c r="I37" s="27">
        <f>+VLOOKUP(F37,matriz01,4,FALSE)</f>
        <v>1500</v>
      </c>
      <c r="J37" s="27">
        <f ca="1">+VLOOKUP(F37,matriz01,5,FALSE)</f>
        <v>0</v>
      </c>
      <c r="K37" s="240">
        <f t="shared" ca="1" si="0"/>
        <v>0</v>
      </c>
      <c r="L37" s="27">
        <f>INDEX(coincidenciaP01,MATCH(F37,indicep01,0),7)</f>
        <v>0</v>
      </c>
      <c r="M37" s="240">
        <f t="shared" si="1"/>
        <v>0</v>
      </c>
      <c r="N37" s="305">
        <f>INDEX(coincidenciaP01,MATCH(F37,indicep01,0),9)</f>
        <v>1500</v>
      </c>
      <c r="O37" s="240">
        <f t="shared" si="2"/>
        <v>1</v>
      </c>
      <c r="P37" s="27">
        <f>+'Prog 01'!Q37</f>
        <v>2084</v>
      </c>
      <c r="Q37" s="27">
        <f ca="1">+'Prog 01'!R37</f>
        <v>0</v>
      </c>
      <c r="R37" s="240">
        <f t="shared" ca="1" si="3"/>
        <v>0</v>
      </c>
      <c r="T37" s="858"/>
      <c r="U37" s="858"/>
      <c r="V37" s="859"/>
      <c r="W37" s="109"/>
      <c r="X37" s="109"/>
      <c r="Y37" s="109"/>
      <c r="Z37" s="113"/>
    </row>
    <row r="38" spans="2:26" s="46" customFormat="1" ht="15" hidden="1" customHeight="1" outlineLevel="2" x14ac:dyDescent="0.2">
      <c r="B38" s="382"/>
      <c r="C38" s="24"/>
      <c r="D38" s="25" t="s">
        <v>157</v>
      </c>
      <c r="E38" s="26"/>
      <c r="F38" s="26"/>
      <c r="G38" s="383" t="s">
        <v>34</v>
      </c>
      <c r="H38" s="27">
        <f>SUM(H39:H41)</f>
        <v>1210.5509999999999</v>
      </c>
      <c r="I38" s="27">
        <f>SUM(I39:I41)</f>
        <v>1230.5509999999999</v>
      </c>
      <c r="J38" s="27">
        <f ca="1">SUM(J39:J41)</f>
        <v>563.33199999999999</v>
      </c>
      <c r="K38" s="240">
        <f t="shared" ca="1" si="0"/>
        <v>0.45778842160950667</v>
      </c>
      <c r="L38" s="144">
        <f>SUM(L39:L41)</f>
        <v>563.33199999999999</v>
      </c>
      <c r="M38" s="240">
        <f t="shared" si="1"/>
        <v>0.45778842160950667</v>
      </c>
      <c r="N38" s="305">
        <f>SUM(N39:N41)</f>
        <v>667.21900000000005</v>
      </c>
      <c r="O38" s="240">
        <f t="shared" si="2"/>
        <v>0.54221157839049339</v>
      </c>
      <c r="P38" s="27">
        <f>SUM(P39:P41)</f>
        <v>1329.0835039999999</v>
      </c>
      <c r="Q38" s="27">
        <f ca="1">SUM(Q39:Q41)</f>
        <v>340.24321800000001</v>
      </c>
      <c r="R38" s="240">
        <f t="shared" ca="1" si="3"/>
        <v>0.25599837555428723</v>
      </c>
      <c r="S38" s="20"/>
      <c r="T38" s="858"/>
      <c r="U38" s="858"/>
      <c r="V38" s="859"/>
      <c r="W38" s="109"/>
      <c r="X38" s="109"/>
      <c r="Y38" s="109"/>
      <c r="Z38" s="113"/>
    </row>
    <row r="39" spans="2:26" ht="15" hidden="1" customHeight="1" outlineLevel="3" x14ac:dyDescent="0.2">
      <c r="B39" s="382"/>
      <c r="C39" s="24"/>
      <c r="D39" s="25"/>
      <c r="E39" s="26">
        <v>1</v>
      </c>
      <c r="F39" s="26" t="str">
        <f>+CONCATENATE($B$10,"",$C$11,"",$D$38,"00",E39)</f>
        <v>21.01.005.001</v>
      </c>
      <c r="G39" s="384" t="s">
        <v>95</v>
      </c>
      <c r="H39" s="27">
        <f>+VLOOKUP(F39,matriz01,3,FALSE)</f>
        <v>344.95400000000001</v>
      </c>
      <c r="I39" s="27">
        <f>+VLOOKUP(F39,matriz01,4,FALSE)</f>
        <v>344.95400000000001</v>
      </c>
      <c r="J39" s="27">
        <f ca="1">+VLOOKUP(F39,matriz01,5,FALSE)</f>
        <v>0</v>
      </c>
      <c r="K39" s="240">
        <f t="shared" ca="1" si="0"/>
        <v>0</v>
      </c>
      <c r="L39" s="27">
        <f>INDEX(coincidenciaP01,MATCH(F39,indicep01,0),7)</f>
        <v>0</v>
      </c>
      <c r="M39" s="240">
        <f t="shared" si="1"/>
        <v>0</v>
      </c>
      <c r="N39" s="305">
        <f>INDEX(coincidenciaP01,MATCH(F39,indicep01,0),9)</f>
        <v>344.95400000000001</v>
      </c>
      <c r="O39" s="240">
        <f t="shared" si="2"/>
        <v>1</v>
      </c>
      <c r="P39" s="27">
        <f>+'Prog 01'!Q39</f>
        <v>10.42</v>
      </c>
      <c r="Q39" s="27">
        <f ca="1">+'Prog 01'!R39</f>
        <v>0</v>
      </c>
      <c r="R39" s="240">
        <f t="shared" ca="1" si="3"/>
        <v>0</v>
      </c>
      <c r="T39" s="858"/>
      <c r="U39" s="858"/>
      <c r="V39" s="859"/>
      <c r="W39" s="109"/>
      <c r="X39" s="109"/>
      <c r="Y39" s="109"/>
      <c r="Z39" s="113"/>
    </row>
    <row r="40" spans="2:26" ht="15" hidden="1" customHeight="1" outlineLevel="3" x14ac:dyDescent="0.2">
      <c r="B40" s="382"/>
      <c r="C40" s="24"/>
      <c r="D40" s="25"/>
      <c r="E40" s="26">
        <v>2</v>
      </c>
      <c r="F40" s="26" t="str">
        <f>+CONCATENATE($B$10,"",$C$11,"",$D$38,"00",E40)</f>
        <v>21.01.005.002</v>
      </c>
      <c r="G40" s="384" t="s">
        <v>96</v>
      </c>
      <c r="H40" s="27">
        <f>+VLOOKUP(F40,matriz01,3,FALSE)</f>
        <v>326.529</v>
      </c>
      <c r="I40" s="27">
        <f>+VLOOKUP(F40,matriz01,4,FALSE)</f>
        <v>346.529</v>
      </c>
      <c r="J40" s="27">
        <f ca="1">+VLOOKUP(F40,matriz01,5,FALSE)</f>
        <v>344.928</v>
      </c>
      <c r="K40" s="240">
        <f t="shared" ca="1" si="0"/>
        <v>0.99537989605487565</v>
      </c>
      <c r="L40" s="144">
        <f>INDEX(coincidenciaP01,MATCH(F40,indicep01,0),7)</f>
        <v>344.928</v>
      </c>
      <c r="M40" s="240">
        <f t="shared" si="1"/>
        <v>0.99537989605487565</v>
      </c>
      <c r="N40" s="27">
        <f>INDEX(coincidenciaP01,MATCH(F40,indicep01,0),9)</f>
        <v>1.6009999999999991</v>
      </c>
      <c r="O40" s="240">
        <f t="shared" si="2"/>
        <v>4.6201039451243594E-3</v>
      </c>
      <c r="P40" s="27">
        <f>+'Prog 01'!Q40</f>
        <v>505.903504</v>
      </c>
      <c r="Q40" s="27">
        <f ca="1">+'Prog 01'!R40</f>
        <v>340.24321800000001</v>
      </c>
      <c r="R40" s="240">
        <f t="shared" ca="1" si="3"/>
        <v>0.672545683731813</v>
      </c>
      <c r="T40" s="858"/>
      <c r="U40" s="858"/>
      <c r="V40" s="859"/>
      <c r="W40" s="109"/>
      <c r="X40" s="109"/>
      <c r="Y40" s="109"/>
      <c r="Z40" s="113"/>
    </row>
    <row r="41" spans="2:26" ht="15" hidden="1" customHeight="1" outlineLevel="3" x14ac:dyDescent="0.2">
      <c r="B41" s="382"/>
      <c r="C41" s="24"/>
      <c r="D41" s="25"/>
      <c r="E41" s="26">
        <v>3</v>
      </c>
      <c r="F41" s="26" t="str">
        <f>+CONCATENATE($B$10,"",$C$11,"",$D$38,"00",E41)</f>
        <v>21.01.005.003</v>
      </c>
      <c r="G41" s="384" t="s">
        <v>97</v>
      </c>
      <c r="H41" s="27">
        <f>+VLOOKUP(F41,matriz01,3,FALSE)</f>
        <v>539.06799999999998</v>
      </c>
      <c r="I41" s="27">
        <f>+VLOOKUP(F41,matriz01,4,FALSE)</f>
        <v>539.06799999999998</v>
      </c>
      <c r="J41" s="27">
        <f ca="1">+VLOOKUP(F41,matriz01,5,FALSE)</f>
        <v>218.404</v>
      </c>
      <c r="K41" s="240">
        <f t="shared" ca="1" si="0"/>
        <v>0.40515111266111142</v>
      </c>
      <c r="L41" s="144">
        <f>INDEX(coincidenciaP01,MATCH(F41,indicep01,0),7)</f>
        <v>218.404</v>
      </c>
      <c r="M41" s="240">
        <f t="shared" si="1"/>
        <v>0.40515111266111142</v>
      </c>
      <c r="N41" s="305">
        <f>INDEX(coincidenciaP01,MATCH(F41,indicep01,0),9)</f>
        <v>320.66399999999999</v>
      </c>
      <c r="O41" s="240">
        <f t="shared" si="2"/>
        <v>0.59484888733888863</v>
      </c>
      <c r="P41" s="27">
        <f>+'Prog 01'!Q41</f>
        <v>812.76</v>
      </c>
      <c r="Q41" s="27">
        <f ca="1">+'Prog 01'!R41</f>
        <v>0</v>
      </c>
      <c r="R41" s="240">
        <f t="shared" ca="1" si="3"/>
        <v>0</v>
      </c>
      <c r="T41" s="858"/>
      <c r="U41" s="858"/>
      <c r="V41" s="859"/>
      <c r="W41" s="109"/>
      <c r="X41" s="109"/>
      <c r="Y41" s="109"/>
      <c r="Z41" s="113"/>
    </row>
    <row r="42" spans="2:26" s="46" customFormat="1" ht="15" hidden="1" customHeight="1" outlineLevel="1" x14ac:dyDescent="0.2">
      <c r="B42" s="382"/>
      <c r="C42" s="24" t="s">
        <v>158</v>
      </c>
      <c r="D42" s="25"/>
      <c r="E42" s="26"/>
      <c r="F42" s="26"/>
      <c r="G42" s="383" t="s">
        <v>39</v>
      </c>
      <c r="H42" s="28">
        <f>+H43+H57+H60+H64+H69</f>
        <v>18291793.324999996</v>
      </c>
      <c r="I42" s="27">
        <f>+I43+I57+I60+I64+I69</f>
        <v>17847341.800999999</v>
      </c>
      <c r="J42" s="28">
        <f ca="1">+J43+J57+J60+J64+J69</f>
        <v>11837115.855999999</v>
      </c>
      <c r="K42" s="240">
        <f t="shared" ca="1" si="0"/>
        <v>0.66324251465485784</v>
      </c>
      <c r="L42" s="144">
        <f>+L43+L57+L60+L64+L69</f>
        <v>11837115.855999999</v>
      </c>
      <c r="M42" s="240">
        <f t="shared" si="1"/>
        <v>0.66324251465485784</v>
      </c>
      <c r="N42" s="305">
        <f>+N43+N57+N60+N64+N69</f>
        <v>6010225.9450000003</v>
      </c>
      <c r="O42" s="240">
        <f t="shared" si="2"/>
        <v>0.33675748534514216</v>
      </c>
      <c r="P42" s="27">
        <f>+P43+P57+P60+P64+P69</f>
        <v>17634411.382498</v>
      </c>
      <c r="Q42" s="27">
        <f ca="1">+Q43+Q57+Q60+Q64+Q69</f>
        <v>11512232.813108001</v>
      </c>
      <c r="R42" s="240">
        <f t="shared" ca="1" si="3"/>
        <v>0.65282773342430878</v>
      </c>
      <c r="S42" s="20"/>
      <c r="T42" s="858"/>
      <c r="U42" s="858"/>
      <c r="V42" s="859"/>
      <c r="W42" s="109"/>
      <c r="X42" s="109"/>
      <c r="Y42" s="109"/>
      <c r="Z42" s="113"/>
    </row>
    <row r="43" spans="2:26" s="46" customFormat="1" ht="15" hidden="1" customHeight="1" outlineLevel="2" x14ac:dyDescent="0.2">
      <c r="B43" s="382"/>
      <c r="C43" s="24"/>
      <c r="D43" s="25" t="s">
        <v>152</v>
      </c>
      <c r="E43" s="26"/>
      <c r="F43" s="26"/>
      <c r="G43" s="383" t="s">
        <v>18</v>
      </c>
      <c r="H43" s="28">
        <f>SUM(H44:H56)</f>
        <v>15545567.981999999</v>
      </c>
      <c r="I43" s="27">
        <f>SUM(I44:I56)</f>
        <v>15100239.464</v>
      </c>
      <c r="J43" s="28">
        <f ca="1">SUM(J44:J56)</f>
        <v>10265647.789999999</v>
      </c>
      <c r="K43" s="240">
        <f t="shared" ca="1" si="0"/>
        <v>0.67983344333538576</v>
      </c>
      <c r="L43" s="394">
        <f>SUM(L44:L56)</f>
        <v>10265647.789999999</v>
      </c>
      <c r="M43" s="240">
        <f t="shared" si="1"/>
        <v>0.67983344333538576</v>
      </c>
      <c r="N43" s="28">
        <f>SUM(N44:N56)</f>
        <v>4834591.6739999996</v>
      </c>
      <c r="O43" s="240">
        <f t="shared" si="2"/>
        <v>0.32016655666461419</v>
      </c>
      <c r="P43" s="27">
        <f>SUM(P44:P56)</f>
        <v>15057463.902266001</v>
      </c>
      <c r="Q43" s="27">
        <f ca="1">+'Prog 01'!R43</f>
        <v>10001282.965911999</v>
      </c>
      <c r="R43" s="240">
        <f t="shared" ca="1" si="3"/>
        <v>0.66420766676431509</v>
      </c>
      <c r="S43" s="20"/>
      <c r="T43" s="858"/>
      <c r="U43" s="858"/>
      <c r="V43" s="859"/>
      <c r="W43" s="109"/>
      <c r="X43" s="109"/>
      <c r="Y43" s="109"/>
      <c r="Z43" s="113"/>
    </row>
    <row r="44" spans="2:26" ht="15" hidden="1" customHeight="1" outlineLevel="3" x14ac:dyDescent="0.2">
      <c r="B44" s="382"/>
      <c r="C44" s="24"/>
      <c r="D44" s="25"/>
      <c r="E44" s="26">
        <v>1</v>
      </c>
      <c r="F44" s="26" t="str">
        <f t="shared" ref="F44:F49" si="11">+CONCATENATE($B$10,"",$C$42,"",$D$43,"00",E44)</f>
        <v>21.02.001.001</v>
      </c>
      <c r="G44" s="384" t="s">
        <v>98</v>
      </c>
      <c r="H44" s="27">
        <f>+VLOOKUP(F44,matriz01,3,FALSE)+404553</f>
        <v>3651832.827</v>
      </c>
      <c r="I44" s="27">
        <f t="shared" ref="I44:I56" si="12">+VLOOKUP(F44,matriz01,4,FALSE)</f>
        <v>3201504.3089999999</v>
      </c>
      <c r="J44" s="27">
        <f t="shared" ref="J44:J54" ca="1" si="13">+VLOOKUP(F44,matriz01,5,FALSE)</f>
        <v>2195089.4610000001</v>
      </c>
      <c r="K44" s="240">
        <f t="shared" ca="1" si="0"/>
        <v>0.68564313808018684</v>
      </c>
      <c r="L44" s="144">
        <f t="shared" ref="L44:L54" si="14">INDEX(coincidenciaP01,MATCH(F44,indicep01,0),7)</f>
        <v>2195089.4610000001</v>
      </c>
      <c r="M44" s="240">
        <f t="shared" si="1"/>
        <v>0.68564313808018684</v>
      </c>
      <c r="N44" s="305">
        <f t="shared" ref="N44:N54" si="15">INDEX(coincidenciaP01,MATCH(F44,indicep01,0),9)</f>
        <v>1006414.8479999998</v>
      </c>
      <c r="O44" s="240">
        <f t="shared" si="2"/>
        <v>0.31435686191981316</v>
      </c>
      <c r="P44" s="27">
        <f>+'Prog 01'!Q44</f>
        <v>3286263.91909</v>
      </c>
      <c r="Q44" s="27">
        <f ca="1">+'Prog 01'!R44</f>
        <v>2147451.8762300001</v>
      </c>
      <c r="R44" s="240">
        <f t="shared" ca="1" si="3"/>
        <v>0.65346299904745675</v>
      </c>
      <c r="T44" s="858"/>
      <c r="U44" s="858"/>
      <c r="V44" s="859"/>
      <c r="W44" s="109"/>
      <c r="X44" s="109"/>
      <c r="Y44" s="109"/>
      <c r="Z44" s="113"/>
    </row>
    <row r="45" spans="2:26" ht="15" hidden="1" customHeight="1" outlineLevel="3" x14ac:dyDescent="0.2">
      <c r="B45" s="382"/>
      <c r="C45" s="24"/>
      <c r="D45" s="25"/>
      <c r="E45" s="26">
        <v>2</v>
      </c>
      <c r="F45" s="26" t="str">
        <f>+CONCATENATE($B$10,"",$C$42,"",$D$43,"00",E45)</f>
        <v>21.02.001.002</v>
      </c>
      <c r="G45" s="384" t="s">
        <v>19</v>
      </c>
      <c r="H45" s="27">
        <f t="shared" ref="H45:H51" si="16">+VLOOKUP(F45,matriz01,3,FALSE)</f>
        <v>144871.696</v>
      </c>
      <c r="I45" s="27">
        <f t="shared" si="12"/>
        <v>144871.696</v>
      </c>
      <c r="J45" s="27">
        <f t="shared" ca="1" si="13"/>
        <v>108241.90700000001</v>
      </c>
      <c r="K45" s="240">
        <f t="shared" ca="1" si="0"/>
        <v>0.74715703611283746</v>
      </c>
      <c r="L45" s="144">
        <f t="shared" si="14"/>
        <v>108241.90700000001</v>
      </c>
      <c r="M45" s="240">
        <f t="shared" si="1"/>
        <v>0.74715703611283746</v>
      </c>
      <c r="N45" s="305">
        <f t="shared" si="15"/>
        <v>36629.78899999999</v>
      </c>
      <c r="O45" s="240">
        <f t="shared" si="2"/>
        <v>0.25284296388716254</v>
      </c>
      <c r="P45" s="27">
        <f>+'Prog 01'!Q45</f>
        <v>136752.08000000002</v>
      </c>
      <c r="Q45" s="27">
        <f ca="1">+'Prog 01'!R45</f>
        <v>99800.356106000007</v>
      </c>
      <c r="R45" s="240">
        <f t="shared" ca="1" si="3"/>
        <v>0.72979040688814378</v>
      </c>
      <c r="T45" s="858"/>
      <c r="U45" s="858"/>
      <c r="V45" s="859"/>
      <c r="W45" s="109"/>
      <c r="X45" s="109"/>
      <c r="Y45" s="109"/>
      <c r="Z45" s="113"/>
    </row>
    <row r="46" spans="2:26" ht="15" hidden="1" customHeight="1" outlineLevel="3" x14ac:dyDescent="0.2">
      <c r="B46" s="382"/>
      <c r="C46" s="24"/>
      <c r="D46" s="25"/>
      <c r="E46" s="26">
        <v>3</v>
      </c>
      <c r="F46" s="26" t="str">
        <f t="shared" si="11"/>
        <v>21.02.001.003</v>
      </c>
      <c r="G46" s="384" t="s">
        <v>20</v>
      </c>
      <c r="H46" s="27">
        <f t="shared" si="16"/>
        <v>2214042.253</v>
      </c>
      <c r="I46" s="27">
        <f t="shared" si="12"/>
        <v>2214042.253</v>
      </c>
      <c r="J46" s="27">
        <f t="shared" ca="1" si="13"/>
        <v>1563881.125</v>
      </c>
      <c r="K46" s="240">
        <f t="shared" ca="1" si="0"/>
        <v>0.70634655814764158</v>
      </c>
      <c r="L46" s="144">
        <f t="shared" si="14"/>
        <v>1563881.125</v>
      </c>
      <c r="M46" s="240">
        <f t="shared" si="1"/>
        <v>0.70634655814764158</v>
      </c>
      <c r="N46" s="305">
        <f t="shared" si="15"/>
        <v>650161.12800000003</v>
      </c>
      <c r="O46" s="240">
        <f t="shared" si="2"/>
        <v>0.29365344185235837</v>
      </c>
      <c r="P46" s="27">
        <f>+'Prog 01'!Q46</f>
        <v>2170600.62</v>
      </c>
      <c r="Q46" s="27">
        <f ca="1">+'Prog 01'!R46</f>
        <v>1527828.4487040001</v>
      </c>
      <c r="R46" s="240">
        <f t="shared" ca="1" si="3"/>
        <v>0.70387358900874175</v>
      </c>
      <c r="T46" s="858"/>
      <c r="U46" s="858"/>
      <c r="V46" s="859"/>
      <c r="W46" s="109"/>
      <c r="X46" s="109"/>
      <c r="Y46" s="109"/>
      <c r="Z46" s="113"/>
    </row>
    <row r="47" spans="2:26" ht="15" hidden="1" customHeight="1" outlineLevel="3" x14ac:dyDescent="0.2">
      <c r="B47" s="382"/>
      <c r="C47" s="24"/>
      <c r="D47" s="25"/>
      <c r="E47" s="26">
        <v>4</v>
      </c>
      <c r="F47" s="26" t="str">
        <f t="shared" si="11"/>
        <v>21.02.001.004</v>
      </c>
      <c r="G47" s="384" t="s">
        <v>21</v>
      </c>
      <c r="H47" s="27">
        <f t="shared" si="16"/>
        <v>289402.63799999998</v>
      </c>
      <c r="I47" s="27">
        <f t="shared" si="12"/>
        <v>289402.63799999998</v>
      </c>
      <c r="J47" s="27">
        <f t="shared" ca="1" si="13"/>
        <v>200682.68499999997</v>
      </c>
      <c r="K47" s="240">
        <f t="shared" ca="1" si="0"/>
        <v>0.69343764931403284</v>
      </c>
      <c r="L47" s="144">
        <f t="shared" si="14"/>
        <v>200682.685</v>
      </c>
      <c r="M47" s="240">
        <f t="shared" si="1"/>
        <v>0.69343764931403296</v>
      </c>
      <c r="N47" s="305">
        <f t="shared" si="15"/>
        <v>88719.95299999998</v>
      </c>
      <c r="O47" s="240">
        <f t="shared" si="2"/>
        <v>0.3065623506859671</v>
      </c>
      <c r="P47" s="27">
        <f>+'Prog 01'!Q47</f>
        <v>288738.2</v>
      </c>
      <c r="Q47" s="27">
        <f ca="1">+'Prog 01'!R47</f>
        <v>200936.49786</v>
      </c>
      <c r="R47" s="240">
        <f t="shared" ca="1" si="3"/>
        <v>0.6959124142908697</v>
      </c>
      <c r="T47" s="858"/>
      <c r="U47" s="858"/>
      <c r="V47" s="859"/>
      <c r="W47" s="109"/>
      <c r="X47" s="109"/>
      <c r="Y47" s="109"/>
      <c r="Z47" s="113"/>
    </row>
    <row r="48" spans="2:26" ht="15" hidden="1" customHeight="1" outlineLevel="3" x14ac:dyDescent="0.2">
      <c r="B48" s="382"/>
      <c r="C48" s="24"/>
      <c r="D48" s="25"/>
      <c r="E48" s="26">
        <v>6</v>
      </c>
      <c r="F48" s="26" t="str">
        <f t="shared" si="11"/>
        <v>21.02.001.006</v>
      </c>
      <c r="G48" s="384" t="s">
        <v>99</v>
      </c>
      <c r="H48" s="27">
        <f t="shared" si="16"/>
        <v>0</v>
      </c>
      <c r="I48" s="27">
        <f t="shared" si="12"/>
        <v>0</v>
      </c>
      <c r="J48" s="27">
        <f t="shared" ca="1" si="13"/>
        <v>0</v>
      </c>
      <c r="K48" s="240" t="str">
        <f t="shared" ca="1" si="0"/>
        <v>0.00%</v>
      </c>
      <c r="L48" s="144">
        <f t="shared" si="14"/>
        <v>0</v>
      </c>
      <c r="M48" s="240">
        <f t="shared" si="1"/>
        <v>0</v>
      </c>
      <c r="N48" s="27">
        <f t="shared" si="15"/>
        <v>0</v>
      </c>
      <c r="O48" s="240">
        <f t="shared" si="2"/>
        <v>0</v>
      </c>
      <c r="P48" s="27">
        <f>+'Prog 01'!Q48</f>
        <v>0</v>
      </c>
      <c r="Q48" s="27">
        <f ca="1">+'Prog 01'!R48</f>
        <v>0</v>
      </c>
      <c r="R48" s="240" t="str">
        <f t="shared" ca="1" si="3"/>
        <v>0.00%</v>
      </c>
      <c r="T48" s="858"/>
      <c r="U48" s="858"/>
      <c r="V48" s="859"/>
      <c r="W48" s="109"/>
      <c r="X48" s="109"/>
      <c r="Y48" s="109"/>
      <c r="Z48" s="113"/>
    </row>
    <row r="49" spans="2:26" ht="15" hidden="1" customHeight="1" outlineLevel="3" x14ac:dyDescent="0.2">
      <c r="B49" s="382"/>
      <c r="C49" s="24"/>
      <c r="D49" s="25"/>
      <c r="E49" s="26">
        <v>7</v>
      </c>
      <c r="F49" s="26" t="str">
        <f t="shared" si="11"/>
        <v>21.02.001.007</v>
      </c>
      <c r="G49" s="384" t="s">
        <v>100</v>
      </c>
      <c r="H49" s="27">
        <f t="shared" si="16"/>
        <v>149822.50099999999</v>
      </c>
      <c r="I49" s="27">
        <f t="shared" si="12"/>
        <v>149822.50099999999</v>
      </c>
      <c r="J49" s="27">
        <f t="shared" ca="1" si="13"/>
        <v>83143.302000000011</v>
      </c>
      <c r="K49" s="240">
        <f t="shared" ca="1" si="0"/>
        <v>0.55494536164497754</v>
      </c>
      <c r="L49" s="144">
        <f t="shared" si="14"/>
        <v>83143.301999999996</v>
      </c>
      <c r="M49" s="240">
        <f t="shared" si="1"/>
        <v>0.55494536164497754</v>
      </c>
      <c r="N49" s="305">
        <f t="shared" si="15"/>
        <v>66679.198999999993</v>
      </c>
      <c r="O49" s="240">
        <f t="shared" si="2"/>
        <v>0.44505463835502251</v>
      </c>
      <c r="P49" s="27">
        <f>+'Prog 01'!Q49</f>
        <v>147557.62</v>
      </c>
      <c r="Q49" s="27">
        <f ca="1">+'Prog 01'!R49</f>
        <v>100750.13598000001</v>
      </c>
      <c r="R49" s="240">
        <f t="shared" ca="1" si="3"/>
        <v>0.68278504342913637</v>
      </c>
      <c r="T49" s="858"/>
      <c r="U49" s="858"/>
      <c r="V49" s="859"/>
      <c r="W49" s="109"/>
      <c r="X49" s="109"/>
      <c r="Y49" s="109"/>
      <c r="Z49" s="113"/>
    </row>
    <row r="50" spans="2:26" ht="15" hidden="1" customHeight="1" outlineLevel="3" x14ac:dyDescent="0.2">
      <c r="B50" s="382"/>
      <c r="C50" s="24"/>
      <c r="D50" s="25"/>
      <c r="E50" s="26">
        <v>13</v>
      </c>
      <c r="F50" s="26" t="str">
        <f t="shared" ref="F50:F56" si="17">+CONCATENATE($B$10,"",$C$42,"",$D$43,"0",E50)</f>
        <v>21.02.001.013</v>
      </c>
      <c r="G50" s="384" t="s">
        <v>24</v>
      </c>
      <c r="H50" s="27">
        <f t="shared" si="16"/>
        <v>2483515.6749999998</v>
      </c>
      <c r="I50" s="27">
        <f t="shared" si="12"/>
        <v>2483515.6749999998</v>
      </c>
      <c r="J50" s="27">
        <f t="shared" ca="1" si="13"/>
        <v>1713895.0390000001</v>
      </c>
      <c r="K50" s="240">
        <f t="shared" ca="1" si="0"/>
        <v>0.69010840408728258</v>
      </c>
      <c r="L50" s="144">
        <f t="shared" si="14"/>
        <v>1713895.0390000001</v>
      </c>
      <c r="M50" s="240">
        <f t="shared" si="1"/>
        <v>0.69010840408728258</v>
      </c>
      <c r="N50" s="305">
        <f t="shared" si="15"/>
        <v>769620.63599999971</v>
      </c>
      <c r="O50" s="240">
        <f t="shared" si="2"/>
        <v>0.30989159591271748</v>
      </c>
      <c r="P50" s="27">
        <f>+'Prog 01'!Q50</f>
        <v>2422754.2000000002</v>
      </c>
      <c r="Q50" s="27">
        <f ca="1">+'Prog 01'!R50</f>
        <v>1642964.2897620001</v>
      </c>
      <c r="R50" s="240">
        <f t="shared" ca="1" si="3"/>
        <v>0.67813907401832174</v>
      </c>
      <c r="T50" s="858"/>
      <c r="U50" s="858"/>
      <c r="V50" s="859"/>
      <c r="W50" s="109"/>
      <c r="X50" s="109"/>
      <c r="Y50" s="109"/>
      <c r="Z50" s="113"/>
    </row>
    <row r="51" spans="2:26" ht="15" hidden="1" customHeight="1" outlineLevel="3" x14ac:dyDescent="0.2">
      <c r="B51" s="382"/>
      <c r="C51" s="24"/>
      <c r="D51" s="25"/>
      <c r="E51" s="26">
        <v>14</v>
      </c>
      <c r="F51" s="26" t="str">
        <f t="shared" si="17"/>
        <v>21.02.001.014</v>
      </c>
      <c r="G51" s="384" t="s">
        <v>25</v>
      </c>
      <c r="H51" s="27">
        <f t="shared" si="16"/>
        <v>4986131.4129999997</v>
      </c>
      <c r="I51" s="27">
        <f t="shared" si="12"/>
        <v>4986131.4129999997</v>
      </c>
      <c r="J51" s="27">
        <f t="shared" ca="1" si="13"/>
        <v>3541280.4139999999</v>
      </c>
      <c r="K51" s="240">
        <f t="shared" ca="1" si="0"/>
        <v>0.71022604915046195</v>
      </c>
      <c r="L51" s="144">
        <f t="shared" si="14"/>
        <v>3541280.4139999999</v>
      </c>
      <c r="M51" s="240">
        <f t="shared" si="1"/>
        <v>0.71022604915046195</v>
      </c>
      <c r="N51" s="305">
        <f t="shared" si="15"/>
        <v>1444850.9989999998</v>
      </c>
      <c r="O51" s="240">
        <f t="shared" si="2"/>
        <v>0.28977395084953811</v>
      </c>
      <c r="P51" s="27">
        <f>+'Prog 01'!Q51</f>
        <v>4912311.0200000005</v>
      </c>
      <c r="Q51" s="27">
        <f ca="1">+'Prog 01'!R51</f>
        <v>3441869.520912</v>
      </c>
      <c r="R51" s="240">
        <f t="shared" ca="1" si="3"/>
        <v>0.70066197089287718</v>
      </c>
      <c r="T51" s="858"/>
      <c r="U51" s="858"/>
      <c r="V51" s="859"/>
      <c r="W51" s="109"/>
      <c r="X51" s="109"/>
      <c r="Y51" s="109"/>
      <c r="Z51" s="113"/>
    </row>
    <row r="52" spans="2:26" ht="15" hidden="1" customHeight="1" outlineLevel="3" x14ac:dyDescent="0.2">
      <c r="B52" s="382"/>
      <c r="C52" s="24"/>
      <c r="D52" s="25"/>
      <c r="E52" s="26">
        <v>21</v>
      </c>
      <c r="F52" s="26" t="str">
        <f t="shared" si="17"/>
        <v>21.02.001.021</v>
      </c>
      <c r="G52" s="384" t="s">
        <v>26</v>
      </c>
      <c r="H52" s="27">
        <f>+VLOOKUP(F52,matriz01,3,FALSE)</f>
        <v>1569726.9240000001</v>
      </c>
      <c r="I52" s="27">
        <f t="shared" si="12"/>
        <v>1569726.9240000001</v>
      </c>
      <c r="J52" s="27">
        <f t="shared" ca="1" si="13"/>
        <v>827336.58</v>
      </c>
      <c r="K52" s="240">
        <f t="shared" ca="1" si="0"/>
        <v>0.52705764763960938</v>
      </c>
      <c r="L52" s="144">
        <f t="shared" si="14"/>
        <v>827336.58</v>
      </c>
      <c r="M52" s="240">
        <f t="shared" si="1"/>
        <v>0.52705764763960938</v>
      </c>
      <c r="N52" s="305">
        <f t="shared" si="15"/>
        <v>742390.34400000016</v>
      </c>
      <c r="O52" s="240">
        <f t="shared" si="2"/>
        <v>0.47294235236039062</v>
      </c>
      <c r="P52" s="27">
        <f>+'Prog 01'!Q52</f>
        <v>1546578.08</v>
      </c>
      <c r="Q52" s="27">
        <f ca="1">+'Prog 01'!R52</f>
        <v>809409.60009000008</v>
      </c>
      <c r="R52" s="240">
        <f t="shared" ca="1" si="3"/>
        <v>0.52335514808925787</v>
      </c>
      <c r="S52" s="100"/>
      <c r="T52" s="858"/>
      <c r="U52" s="188"/>
      <c r="V52" s="189"/>
      <c r="W52" s="164"/>
      <c r="X52" s="109"/>
      <c r="Y52" s="109"/>
      <c r="Z52" s="113"/>
    </row>
    <row r="53" spans="2:26" ht="15" hidden="1" customHeight="1" outlineLevel="3" x14ac:dyDescent="0.2">
      <c r="B53" s="382"/>
      <c r="C53" s="24"/>
      <c r="D53" s="25"/>
      <c r="E53" s="26">
        <v>37</v>
      </c>
      <c r="F53" s="26" t="str">
        <f t="shared" si="17"/>
        <v>21.02.001.037</v>
      </c>
      <c r="G53" s="384" t="s">
        <v>40</v>
      </c>
      <c r="H53" s="27">
        <f>+VLOOKUP(F53,matriz01,3,FALSE)</f>
        <v>52034.044999999998</v>
      </c>
      <c r="I53" s="27">
        <f t="shared" si="12"/>
        <v>52034.044999999998</v>
      </c>
      <c r="J53" s="27">
        <f t="shared" ca="1" si="13"/>
        <v>26252.654999999999</v>
      </c>
      <c r="K53" s="240">
        <f t="shared" ca="1" si="0"/>
        <v>0.50452842941577958</v>
      </c>
      <c r="L53" s="144">
        <f t="shared" si="14"/>
        <v>26252.654999999999</v>
      </c>
      <c r="M53" s="240">
        <f t="shared" si="1"/>
        <v>0.50452842941577958</v>
      </c>
      <c r="N53" s="305">
        <f t="shared" si="15"/>
        <v>25781.39</v>
      </c>
      <c r="O53" s="240">
        <f t="shared" si="2"/>
        <v>0.49547157058422037</v>
      </c>
      <c r="P53" s="27">
        <f>+'Prog 01'!Q53</f>
        <v>27385.948199999999</v>
      </c>
      <c r="Q53" s="27">
        <f ca="1">+'Prog 01'!R53</f>
        <v>27376.057536000004</v>
      </c>
      <c r="R53" s="240">
        <f t="shared" ca="1" si="3"/>
        <v>0.99963884164507422</v>
      </c>
      <c r="S53" s="100"/>
      <c r="T53" s="858"/>
      <c r="U53" s="188"/>
      <c r="V53" s="189"/>
      <c r="W53" s="164"/>
      <c r="X53" s="109"/>
      <c r="Y53" s="109"/>
      <c r="Z53" s="113"/>
    </row>
    <row r="54" spans="2:26" ht="15" hidden="1" customHeight="1" outlineLevel="3" x14ac:dyDescent="0.2">
      <c r="B54" s="382"/>
      <c r="C54" s="24"/>
      <c r="D54" s="25"/>
      <c r="E54" s="26">
        <v>38</v>
      </c>
      <c r="F54" s="26" t="str">
        <f t="shared" si="17"/>
        <v>21.02.001.038</v>
      </c>
      <c r="G54" s="384" t="s">
        <v>101</v>
      </c>
      <c r="H54" s="27">
        <f>+VLOOKUP(F54,matriz01,3,FALSE)</f>
        <v>4188.01</v>
      </c>
      <c r="I54" s="27">
        <f t="shared" si="12"/>
        <v>9188.01</v>
      </c>
      <c r="J54" s="27">
        <f t="shared" ca="1" si="13"/>
        <v>5844.6219999999994</v>
      </c>
      <c r="K54" s="240">
        <f t="shared" ca="1" si="0"/>
        <v>0.6361140225141243</v>
      </c>
      <c r="L54" s="144">
        <f t="shared" si="14"/>
        <v>5844.6220000000003</v>
      </c>
      <c r="M54" s="240">
        <f t="shared" si="1"/>
        <v>0.63611402251412441</v>
      </c>
      <c r="N54" s="305">
        <f t="shared" si="15"/>
        <v>3343.3879999999999</v>
      </c>
      <c r="O54" s="240">
        <f t="shared" si="2"/>
        <v>0.36388597748587559</v>
      </c>
      <c r="P54" s="27">
        <f>+'Prog 01'!Q54</f>
        <v>3829.2749760000002</v>
      </c>
      <c r="Q54" s="27">
        <f ca="1">+'Prog 01'!R54</f>
        <v>2896.1827320000002</v>
      </c>
      <c r="R54" s="240">
        <f t="shared" ca="1" si="3"/>
        <v>0.75632665456302817</v>
      </c>
      <c r="S54" s="100"/>
      <c r="T54" s="858"/>
      <c r="U54" s="188"/>
      <c r="V54" s="189"/>
      <c r="W54" s="164"/>
      <c r="X54" s="109"/>
      <c r="Y54" s="109"/>
      <c r="Z54" s="113"/>
    </row>
    <row r="55" spans="2:26" ht="15" hidden="1" customHeight="1" outlineLevel="3" x14ac:dyDescent="0.2">
      <c r="B55" s="382"/>
      <c r="C55" s="24"/>
      <c r="D55" s="25"/>
      <c r="E55" s="26">
        <v>998</v>
      </c>
      <c r="F55" s="26" t="str">
        <f t="shared" si="17"/>
        <v>21.02.001.0998</v>
      </c>
      <c r="G55" s="384" t="s">
        <v>825</v>
      </c>
      <c r="H55" s="27">
        <f>+'Prog 01'!I55</f>
        <v>0</v>
      </c>
      <c r="I55" s="27">
        <f t="shared" si="12"/>
        <v>0</v>
      </c>
      <c r="J55" s="27">
        <f ca="1">+'Prog 01'!K55</f>
        <v>0</v>
      </c>
      <c r="K55" s="240" t="str">
        <f t="shared" ca="1" si="0"/>
        <v>0.00%</v>
      </c>
      <c r="L55" s="27">
        <v>0</v>
      </c>
      <c r="M55" s="240">
        <f t="shared" si="1"/>
        <v>0</v>
      </c>
      <c r="N55" s="27">
        <f>+'Prog 01'!O55</f>
        <v>0</v>
      </c>
      <c r="O55" s="240">
        <f t="shared" si="2"/>
        <v>0</v>
      </c>
      <c r="P55" s="27">
        <f>+'Prog 01'!Q55</f>
        <v>114692.94</v>
      </c>
      <c r="Q55" s="27">
        <f ca="1">+'Prog 01'!R55</f>
        <v>0</v>
      </c>
      <c r="R55" s="240">
        <f t="shared" ca="1" si="3"/>
        <v>0</v>
      </c>
      <c r="S55" s="100"/>
      <c r="T55" s="858"/>
      <c r="U55" s="188"/>
      <c r="V55" s="189"/>
      <c r="W55" s="164"/>
      <c r="X55" s="109"/>
      <c r="Y55" s="109"/>
      <c r="Z55" s="113"/>
    </row>
    <row r="56" spans="2:26" ht="15" hidden="1" customHeight="1" outlineLevel="3" x14ac:dyDescent="0.2">
      <c r="B56" s="382"/>
      <c r="C56" s="24"/>
      <c r="D56" s="25"/>
      <c r="E56" s="26">
        <v>999</v>
      </c>
      <c r="F56" s="26" t="str">
        <f t="shared" si="17"/>
        <v>21.02.001.0999</v>
      </c>
      <c r="G56" s="384" t="s">
        <v>769</v>
      </c>
      <c r="H56" s="27">
        <v>0</v>
      </c>
      <c r="I56" s="27">
        <f t="shared" si="12"/>
        <v>0</v>
      </c>
      <c r="J56" s="27">
        <f ca="1">+VLOOKUP(F56,matriz01,5,FALSE)</f>
        <v>0</v>
      </c>
      <c r="K56" s="240" t="str">
        <f t="shared" ca="1" si="0"/>
        <v>0.00%</v>
      </c>
      <c r="L56" s="144">
        <f>+'Prog 01'!M55</f>
        <v>0</v>
      </c>
      <c r="M56" s="240">
        <f t="shared" si="1"/>
        <v>0</v>
      </c>
      <c r="N56" s="27">
        <f>+'Prog 01'!O56</f>
        <v>0</v>
      </c>
      <c r="O56" s="240">
        <f t="shared" si="2"/>
        <v>0</v>
      </c>
      <c r="P56" s="27">
        <f>+'Prog 01'!Q56</f>
        <v>0</v>
      </c>
      <c r="Q56" s="27">
        <f ca="1">+'Prog 01'!R56</f>
        <v>0</v>
      </c>
      <c r="R56" s="240" t="str">
        <f t="shared" ca="1" si="3"/>
        <v>0.00%</v>
      </c>
      <c r="S56" s="100"/>
      <c r="T56" s="858"/>
      <c r="U56" s="188"/>
      <c r="V56" s="189"/>
      <c r="W56" s="164"/>
      <c r="X56" s="109"/>
      <c r="Y56" s="109"/>
      <c r="Z56" s="113"/>
    </row>
    <row r="57" spans="2:26" s="46" customFormat="1" ht="15" hidden="1" customHeight="1" outlineLevel="2" x14ac:dyDescent="0.2">
      <c r="B57" s="382"/>
      <c r="C57" s="24"/>
      <c r="D57" s="25" t="s">
        <v>154</v>
      </c>
      <c r="E57" s="26"/>
      <c r="F57" s="26"/>
      <c r="G57" s="383" t="s">
        <v>28</v>
      </c>
      <c r="H57" s="28">
        <f>SUM(H58:H59)</f>
        <v>611349.11</v>
      </c>
      <c r="I57" s="27">
        <f>SUM(I58:I59)</f>
        <v>611349.11</v>
      </c>
      <c r="J57" s="28">
        <f ca="1">SUM(J58:J59)</f>
        <v>440172.97399999999</v>
      </c>
      <c r="K57" s="240">
        <f t="shared" ca="1" si="0"/>
        <v>0.72000264137131076</v>
      </c>
      <c r="L57" s="144">
        <f>SUM(L58:L59)</f>
        <v>440172.97399999999</v>
      </c>
      <c r="M57" s="240">
        <f t="shared" si="1"/>
        <v>0.72000264137131076</v>
      </c>
      <c r="N57" s="305">
        <f>SUM(N58:N59)</f>
        <v>171176.13600000003</v>
      </c>
      <c r="O57" s="240">
        <f t="shared" si="2"/>
        <v>0.2799973586286893</v>
      </c>
      <c r="P57" s="27">
        <f>SUM(P58:P59)</f>
        <v>602880.36</v>
      </c>
      <c r="Q57" s="27">
        <f ca="1">SUM(Q58:Q59)</f>
        <v>405428.80508999998</v>
      </c>
      <c r="R57" s="240">
        <f t="shared" ca="1" si="3"/>
        <v>0.67248633723944828</v>
      </c>
      <c r="S57" s="100"/>
      <c r="T57" s="858"/>
      <c r="U57" s="188"/>
      <c r="V57" s="189"/>
      <c r="W57" s="164"/>
      <c r="X57" s="109"/>
      <c r="Y57" s="109"/>
      <c r="Z57" s="113"/>
    </row>
    <row r="58" spans="2:26" ht="15" hidden="1" customHeight="1" outlineLevel="3" x14ac:dyDescent="0.2">
      <c r="B58" s="382"/>
      <c r="C58" s="24"/>
      <c r="D58" s="25"/>
      <c r="E58" s="26">
        <v>1</v>
      </c>
      <c r="F58" s="26" t="str">
        <f>+CONCATENATE($B$10,"",$C$42,"",$D$57,"00",E58)</f>
        <v>21.02.002.001</v>
      </c>
      <c r="G58" s="384" t="s">
        <v>29</v>
      </c>
      <c r="H58" s="27">
        <f>+VLOOKUP(F58,matriz01,3,FALSE)</f>
        <v>45228.618999999999</v>
      </c>
      <c r="I58" s="27">
        <f>+VLOOKUP(F58,matriz01,4,FALSE)</f>
        <v>45228.618999999999</v>
      </c>
      <c r="J58" s="27">
        <f ca="1">+VLOOKUP(F58,matriz01,5,FALSE)</f>
        <v>35193.464</v>
      </c>
      <c r="K58" s="240">
        <f t="shared" ca="1" si="0"/>
        <v>0.77812378043203134</v>
      </c>
      <c r="L58" s="144">
        <f>INDEX(coincidenciaP01,MATCH(F58,indicep01,0),7)</f>
        <v>35193.464</v>
      </c>
      <c r="M58" s="240">
        <f t="shared" si="1"/>
        <v>0.77812378043203134</v>
      </c>
      <c r="N58" s="27">
        <f>INDEX(coincidenciaP01,MATCH(F58,indicep01,0),9)</f>
        <v>10035.154999999999</v>
      </c>
      <c r="O58" s="240">
        <f t="shared" si="2"/>
        <v>0.22187621956796866</v>
      </c>
      <c r="P58" s="27">
        <f>+'Prog 01'!Q58</f>
        <v>43930.720000000001</v>
      </c>
      <c r="Q58" s="27">
        <f ca="1">+'Prog 01'!R58</f>
        <v>29721.452614000002</v>
      </c>
      <c r="R58" s="240">
        <f t="shared" ca="1" si="3"/>
        <v>0.6765528225806452</v>
      </c>
      <c r="S58" s="100"/>
      <c r="T58" s="858"/>
      <c r="U58" s="188"/>
      <c r="V58" s="189"/>
      <c r="W58" s="164"/>
      <c r="X58" s="109"/>
      <c r="Y58" s="109"/>
      <c r="Z58" s="113"/>
    </row>
    <row r="59" spans="2:26" ht="15" hidden="1" customHeight="1" outlineLevel="3" x14ac:dyDescent="0.2">
      <c r="B59" s="382"/>
      <c r="C59" s="24"/>
      <c r="D59" s="25"/>
      <c r="E59" s="26">
        <v>2</v>
      </c>
      <c r="F59" s="26" t="str">
        <f>+CONCATENATE($B$10,"",$C$42,"",$D$57,"00",E59)</f>
        <v>21.02.002.002</v>
      </c>
      <c r="G59" s="384" t="s">
        <v>30</v>
      </c>
      <c r="H59" s="27">
        <f>+VLOOKUP(F59,matriz01,3,FALSE)</f>
        <v>566120.49100000004</v>
      </c>
      <c r="I59" s="27">
        <f>+VLOOKUP(F59,matriz01,4,FALSE)</f>
        <v>566120.49100000004</v>
      </c>
      <c r="J59" s="27">
        <f ca="1">+VLOOKUP(F59,matriz01,5,FALSE)</f>
        <v>404979.51</v>
      </c>
      <c r="K59" s="240">
        <f t="shared" ca="1" si="0"/>
        <v>0.71535921493433452</v>
      </c>
      <c r="L59" s="144">
        <f>INDEX(coincidenciaP01,MATCH(F59,indicep01,0),7)</f>
        <v>404979.51</v>
      </c>
      <c r="M59" s="240">
        <f t="shared" si="1"/>
        <v>0.71535921493433452</v>
      </c>
      <c r="N59" s="305">
        <f>INDEX(coincidenciaP01,MATCH(F59,indicep01,0),9)</f>
        <v>161140.98100000003</v>
      </c>
      <c r="O59" s="240">
        <f t="shared" si="2"/>
        <v>0.28464078506566548</v>
      </c>
      <c r="P59" s="27">
        <f>+'Prog 01'!Q59</f>
        <v>558949.64</v>
      </c>
      <c r="Q59" s="27">
        <f ca="1">+'Prog 01'!R59</f>
        <v>375707.35247599997</v>
      </c>
      <c r="R59" s="240">
        <f t="shared" ca="1" si="3"/>
        <v>0.6721667312926437</v>
      </c>
      <c r="S59" s="100"/>
      <c r="T59" s="858"/>
      <c r="U59" s="188"/>
      <c r="V59" s="189"/>
      <c r="W59" s="164"/>
      <c r="X59" s="109"/>
      <c r="Y59" s="109"/>
      <c r="Z59" s="113"/>
    </row>
    <row r="60" spans="2:26" s="46" customFormat="1" ht="15" hidden="1" customHeight="1" outlineLevel="2" x14ac:dyDescent="0.2">
      <c r="B60" s="382"/>
      <c r="C60" s="24"/>
      <c r="D60" s="25" t="s">
        <v>155</v>
      </c>
      <c r="E60" s="26"/>
      <c r="F60" s="26"/>
      <c r="G60" s="383" t="s">
        <v>31</v>
      </c>
      <c r="H60" s="27">
        <f>SUM(H61:H62)</f>
        <v>1544483.2579999999</v>
      </c>
      <c r="I60" s="27">
        <f>SUM(I61:I63)</f>
        <v>1544483.2579999999</v>
      </c>
      <c r="J60" s="27">
        <f ca="1">SUM(J61:J63)</f>
        <v>826001.53700000001</v>
      </c>
      <c r="K60" s="240">
        <f t="shared" ca="1" si="0"/>
        <v>0.53480769877014755</v>
      </c>
      <c r="L60" s="27">
        <f>SUM(L61:L63)</f>
        <v>826001.53700000001</v>
      </c>
      <c r="M60" s="240">
        <f t="shared" si="1"/>
        <v>0.53480769877014755</v>
      </c>
      <c r="N60" s="27">
        <f>SUM(N61:N63)</f>
        <v>718481.72100000002</v>
      </c>
      <c r="O60" s="240">
        <f t="shared" si="2"/>
        <v>0.46519230122985256</v>
      </c>
      <c r="P60" s="27">
        <f>SUM(P61:P63)</f>
        <v>1485141.7600000002</v>
      </c>
      <c r="Q60" s="27">
        <f ca="1">SUM(Q61:Q63)</f>
        <v>803147.31763399998</v>
      </c>
      <c r="R60" s="240">
        <f t="shared" ca="1" si="3"/>
        <v>0.54078832018971701</v>
      </c>
      <c r="S60" s="100"/>
      <c r="T60" s="858"/>
      <c r="U60" s="188"/>
      <c r="V60" s="189"/>
      <c r="W60" s="164"/>
      <c r="X60" s="109"/>
      <c r="Y60" s="109"/>
      <c r="Z60" s="113"/>
    </row>
    <row r="61" spans="2:26" ht="15" hidden="1" customHeight="1" outlineLevel="3" x14ac:dyDescent="0.2">
      <c r="B61" s="382"/>
      <c r="C61" s="24"/>
      <c r="D61" s="25"/>
      <c r="E61" s="26">
        <v>1</v>
      </c>
      <c r="F61" s="26" t="str">
        <f>+CONCATENATE($B$10,"",$C$42,"",$D$60,"00",E61)</f>
        <v>21.02.003.001</v>
      </c>
      <c r="G61" s="384" t="s">
        <v>32</v>
      </c>
      <c r="H61" s="27">
        <f>+VLOOKUP(F61,matriz01,3,FALSE)</f>
        <v>795328.06599999999</v>
      </c>
      <c r="I61" s="27">
        <f>+VLOOKUP(F61,matriz01,4,FALSE)</f>
        <v>795328.06599999999</v>
      </c>
      <c r="J61" s="27">
        <f ca="1">+VLOOKUP(F61,matriz01,5,FALSE)</f>
        <v>419064.11300000001</v>
      </c>
      <c r="K61" s="240">
        <f t="shared" ca="1" si="0"/>
        <v>0.52690723603861855</v>
      </c>
      <c r="L61" s="144">
        <f>INDEX(coincidenciaP01,MATCH(F61,indicep01,0),7)</f>
        <v>419064.11300000001</v>
      </c>
      <c r="M61" s="240">
        <f t="shared" si="1"/>
        <v>0.52690723603861855</v>
      </c>
      <c r="N61" s="305">
        <f>INDEX(coincidenciaP01,MATCH(F61,indicep01,0),9)</f>
        <v>376263.95299999998</v>
      </c>
      <c r="O61" s="240">
        <f t="shared" si="2"/>
        <v>0.47309276396138145</v>
      </c>
      <c r="P61" s="27">
        <f>+'Prog 01'!Q61</f>
        <v>783604.84000000008</v>
      </c>
      <c r="Q61" s="27">
        <f ca="1">+'Prog 01'!R61</f>
        <v>410096.37114999996</v>
      </c>
      <c r="R61" s="240">
        <f t="shared" ca="1" si="3"/>
        <v>0.52334588840722307</v>
      </c>
      <c r="S61" s="100"/>
      <c r="T61" s="858"/>
      <c r="U61" s="188"/>
      <c r="V61" s="189"/>
      <c r="W61" s="164"/>
      <c r="X61" s="109"/>
      <c r="Y61" s="109"/>
      <c r="Z61" s="113"/>
    </row>
    <row r="62" spans="2:26" ht="38.25" hidden="1" outlineLevel="3" x14ac:dyDescent="0.2">
      <c r="B62" s="382"/>
      <c r="C62" s="24"/>
      <c r="D62" s="25"/>
      <c r="E62" s="26">
        <v>2</v>
      </c>
      <c r="F62" s="26" t="str">
        <f>+CONCATENATE($B$10,"",$C$42,"",$D$60,"00",E62)</f>
        <v>21.02.003.002</v>
      </c>
      <c r="G62" s="384" t="s">
        <v>33</v>
      </c>
      <c r="H62" s="27">
        <f>+VLOOKUP(F62,matriz01,3,FALSE)</f>
        <v>749155.19200000004</v>
      </c>
      <c r="I62" s="27">
        <f>+VLOOKUP(F62,matriz01,4,FALSE)</f>
        <v>749155.19200000004</v>
      </c>
      <c r="J62" s="27">
        <f ca="1">+VLOOKUP(F62,matriz01,5,FALSE)</f>
        <v>406937.424</v>
      </c>
      <c r="K62" s="240">
        <f t="shared" ca="1" si="0"/>
        <v>0.54319509274655065</v>
      </c>
      <c r="L62" s="144">
        <f>INDEX(coincidenciaP01,MATCH(F62,indicep01,0),7)</f>
        <v>406937.424</v>
      </c>
      <c r="M62" s="240">
        <f t="shared" si="1"/>
        <v>0.54319509274655065</v>
      </c>
      <c r="N62" s="305">
        <f>INDEX(coincidenciaP01,MATCH(F62,indicep01,0),9)</f>
        <v>342217.76800000004</v>
      </c>
      <c r="O62" s="240">
        <f t="shared" si="2"/>
        <v>0.4568049072534493</v>
      </c>
      <c r="P62" s="27">
        <f>+'Prog 01'!Q62</f>
        <v>701536.92</v>
      </c>
      <c r="Q62" s="27">
        <f ca="1">+'Prog 01'!R62</f>
        <v>393050.94648400001</v>
      </c>
      <c r="R62" s="240">
        <f t="shared" ca="1" si="3"/>
        <v>0.56027122062798917</v>
      </c>
      <c r="S62" s="100"/>
      <c r="T62" s="858"/>
      <c r="U62" s="188"/>
      <c r="V62" s="189"/>
      <c r="W62" s="164"/>
      <c r="X62" s="109"/>
      <c r="Y62" s="109"/>
      <c r="Z62" s="113"/>
    </row>
    <row r="63" spans="2:26" ht="15" hidden="1" customHeight="1" outlineLevel="3" x14ac:dyDescent="0.2">
      <c r="B63" s="382"/>
      <c r="C63" s="24"/>
      <c r="D63" s="25"/>
      <c r="E63" s="26">
        <v>3</v>
      </c>
      <c r="F63" s="26" t="str">
        <f>+CONCATENATE($B$10,"",$C$42,"",$D$60,"00",E63)</f>
        <v>21.02.003.003</v>
      </c>
      <c r="G63" s="384" t="s">
        <v>770</v>
      </c>
      <c r="H63" s="27">
        <v>0</v>
      </c>
      <c r="I63" s="27">
        <f>+VLOOKUP(F63,matriz01,4,FALSE)</f>
        <v>0</v>
      </c>
      <c r="J63" s="27">
        <f ca="1">+VLOOKUP(F63,matriz01,5,FALSE)</f>
        <v>0</v>
      </c>
      <c r="K63" s="240" t="str">
        <f t="shared" ca="1" si="0"/>
        <v>0.00%</v>
      </c>
      <c r="L63" s="144">
        <f>INDEX(coincidenciaP01,MATCH(F63,indicep01,0),7)</f>
        <v>0</v>
      </c>
      <c r="M63" s="240">
        <f t="shared" si="1"/>
        <v>0</v>
      </c>
      <c r="N63" s="305">
        <f>INDEX(coincidenciaP01,MATCH(F63,indicep01,0),9)</f>
        <v>0</v>
      </c>
      <c r="O63" s="240">
        <f t="shared" si="2"/>
        <v>0</v>
      </c>
      <c r="P63" s="27">
        <f>+'Prog 01'!Q63</f>
        <v>0</v>
      </c>
      <c r="Q63" s="27">
        <f ca="1">+'Prog 01'!R63</f>
        <v>0</v>
      </c>
      <c r="R63" s="240" t="str">
        <f t="shared" ca="1" si="3"/>
        <v>0.00%</v>
      </c>
      <c r="S63" s="100"/>
      <c r="T63" s="858"/>
      <c r="U63" s="188"/>
      <c r="V63" s="189"/>
      <c r="W63" s="164"/>
      <c r="X63" s="109"/>
      <c r="Y63" s="109"/>
      <c r="Z63" s="113"/>
    </row>
    <row r="64" spans="2:26" s="46" customFormat="1" ht="15" hidden="1" customHeight="1" outlineLevel="2" x14ac:dyDescent="0.2">
      <c r="B64" s="382"/>
      <c r="C64" s="24"/>
      <c r="D64" s="25" t="s">
        <v>156</v>
      </c>
      <c r="E64" s="26"/>
      <c r="F64" s="26"/>
      <c r="G64" s="383" t="s">
        <v>34</v>
      </c>
      <c r="H64" s="27">
        <f>SUM(H65:H68)</f>
        <v>471035.58399999997</v>
      </c>
      <c r="I64" s="27">
        <f>SUM(I65:I68)</f>
        <v>471912.57799999998</v>
      </c>
      <c r="J64" s="27">
        <f ca="1">SUM(J65:J67)</f>
        <v>263062.67800000001</v>
      </c>
      <c r="K64" s="240">
        <f t="shared" ca="1" si="0"/>
        <v>0.55743942896135312</v>
      </c>
      <c r="L64" s="144">
        <f>SUM(L65:L67)</f>
        <v>263062.67800000001</v>
      </c>
      <c r="M64" s="240">
        <f t="shared" si="1"/>
        <v>0.55743942896135312</v>
      </c>
      <c r="N64" s="305">
        <f>SUM(N65:N68)</f>
        <v>208849.90000000002</v>
      </c>
      <c r="O64" s="240">
        <f t="shared" si="2"/>
        <v>0.44256057103864699</v>
      </c>
      <c r="P64" s="27">
        <f>SUM(P65:P68)</f>
        <v>388945.77700000006</v>
      </c>
      <c r="Q64" s="27">
        <f ca="1">SUM(Q65:Q67)</f>
        <v>283153.109176</v>
      </c>
      <c r="R64" s="240">
        <f t="shared" ca="1" si="3"/>
        <v>0.72800150026053623</v>
      </c>
      <c r="S64" s="100"/>
      <c r="T64" s="858"/>
      <c r="U64" s="188"/>
      <c r="V64" s="189"/>
      <c r="W64" s="164"/>
      <c r="X64" s="109"/>
      <c r="Y64" s="109"/>
      <c r="Z64" s="113"/>
    </row>
    <row r="65" spans="2:26" ht="15" hidden="1" customHeight="1" outlineLevel="3" x14ac:dyDescent="0.2">
      <c r="B65" s="382"/>
      <c r="C65" s="24"/>
      <c r="D65" s="25"/>
      <c r="E65" s="26">
        <v>4</v>
      </c>
      <c r="F65" s="26" t="str">
        <f>+CONCATENATE($B$10,"",$C$42,"",$D$64,"00",E65)</f>
        <v>21.02.004.004</v>
      </c>
      <c r="G65" s="384" t="s">
        <v>35</v>
      </c>
      <c r="H65" s="27">
        <f>+VLOOKUP(F65,matriz01,3,FALSE)</f>
        <v>338878.78399999999</v>
      </c>
      <c r="I65" s="27">
        <f>+VLOOKUP(F65,matriz01,4,FALSE)</f>
        <v>338878.78399999999</v>
      </c>
      <c r="J65" s="27">
        <f ca="1">+VLOOKUP(F65,matriz01,5,FALSE)</f>
        <v>160693.40600000002</v>
      </c>
      <c r="K65" s="240">
        <f t="shared" ca="1" si="0"/>
        <v>0.47419140290588396</v>
      </c>
      <c r="L65" s="144">
        <f>INDEX(coincidenciaP01,MATCH(F65,indicep01,0),7)</f>
        <v>160693.40599999999</v>
      </c>
      <c r="M65" s="240">
        <f t="shared" si="1"/>
        <v>0.47419140290588385</v>
      </c>
      <c r="N65" s="27">
        <f>INDEX(coincidenciaP01,MATCH(F65,indicep01,0),9)</f>
        <v>178185.378</v>
      </c>
      <c r="O65" s="240">
        <f t="shared" si="2"/>
        <v>0.52580859709411609</v>
      </c>
      <c r="P65" s="27">
        <f>+'Prog 01'!Q65</f>
        <v>211675.527</v>
      </c>
      <c r="Q65" s="27">
        <f ca="1">+'Prog 01'!R65</f>
        <v>165342.11859400003</v>
      </c>
      <c r="R65" s="240">
        <f t="shared" ca="1" si="3"/>
        <v>0.7811111701826543</v>
      </c>
      <c r="S65" s="100"/>
      <c r="T65" s="858"/>
      <c r="U65" s="188"/>
      <c r="V65" s="189"/>
      <c r="W65" s="164"/>
      <c r="X65" s="109"/>
      <c r="Y65" s="109"/>
      <c r="Z65" s="113"/>
    </row>
    <row r="66" spans="2:26" ht="15" hidden="1" customHeight="1" outlineLevel="3" x14ac:dyDescent="0.2">
      <c r="B66" s="382"/>
      <c r="C66" s="24"/>
      <c r="D66" s="25"/>
      <c r="E66" s="26">
        <v>5</v>
      </c>
      <c r="F66" s="26" t="str">
        <f>+CONCATENATE($B$10,"",$C$42,"",$D$64,"00",E66)</f>
        <v>21.02.004.005</v>
      </c>
      <c r="G66" s="384" t="s">
        <v>36</v>
      </c>
      <c r="H66" s="27">
        <f>+VLOOKUP(F66,matriz01,3,FALSE)</f>
        <v>56627.8</v>
      </c>
      <c r="I66" s="27">
        <f>+VLOOKUP(F66,matriz01,4,FALSE)</f>
        <v>56627.8</v>
      </c>
      <c r="J66" s="27">
        <f ca="1">+VLOOKUP(F66,matriz01,5,FALSE)</f>
        <v>29079.485000000001</v>
      </c>
      <c r="K66" s="240">
        <f t="shared" ca="1" si="0"/>
        <v>0.51351959638198907</v>
      </c>
      <c r="L66" s="144">
        <f>INDEX(coincidenciaP01,MATCH(F66,indicep01,0),7)</f>
        <v>29079.485000000001</v>
      </c>
      <c r="M66" s="240">
        <f t="shared" si="1"/>
        <v>0.51351959638198907</v>
      </c>
      <c r="N66" s="305">
        <f>INDEX(coincidenciaP01,MATCH(F66,indicep01,0),9)</f>
        <v>27548.315000000002</v>
      </c>
      <c r="O66" s="240">
        <f t="shared" si="2"/>
        <v>0.48648040361801098</v>
      </c>
      <c r="P66" s="27">
        <f>+'Prog 01'!Q66</f>
        <v>58387.428</v>
      </c>
      <c r="Q66" s="27">
        <f ca="1">+'Prog 01'!R66</f>
        <v>27001.164691999998</v>
      </c>
      <c r="R66" s="240">
        <f t="shared" ca="1" si="3"/>
        <v>0.4624482635542706</v>
      </c>
      <c r="T66" s="858"/>
      <c r="U66" s="858"/>
      <c r="V66" s="859"/>
      <c r="W66" s="109"/>
      <c r="X66" s="109"/>
      <c r="Y66" s="109"/>
      <c r="Z66" s="113"/>
    </row>
    <row r="67" spans="2:26" ht="15" hidden="1" customHeight="1" outlineLevel="3" x14ac:dyDescent="0.2">
      <c r="B67" s="382"/>
      <c r="C67" s="24"/>
      <c r="D67" s="25"/>
      <c r="E67" s="26">
        <v>6</v>
      </c>
      <c r="F67" s="26" t="str">
        <f>+CONCATENATE($B$10,"",$C$42,"",$D$64,"00",E67)</f>
        <v>21.02.004.006</v>
      </c>
      <c r="G67" s="384" t="s">
        <v>37</v>
      </c>
      <c r="H67" s="27">
        <f>+VLOOKUP(F67,matriz01,3,FALSE)</f>
        <v>75029</v>
      </c>
      <c r="I67" s="27">
        <f>+VLOOKUP(F67,matriz01,4,FALSE)</f>
        <v>74905.994000000006</v>
      </c>
      <c r="J67" s="27">
        <f ca="1">+VLOOKUP(F67,matriz01,5,FALSE)</f>
        <v>73289.786999999997</v>
      </c>
      <c r="K67" s="240">
        <f t="shared" ca="1" si="0"/>
        <v>0.97842352909701713</v>
      </c>
      <c r="L67" s="144">
        <f>INDEX(coincidenciaP01,MATCH(F67,indicep01,0),7)</f>
        <v>73289.786999999997</v>
      </c>
      <c r="M67" s="240">
        <f t="shared" si="1"/>
        <v>0.97842352909701713</v>
      </c>
      <c r="N67" s="305">
        <f>INDEX(coincidenciaP01,MATCH(F67,indicep01,0),9)</f>
        <v>1616.2070000000094</v>
      </c>
      <c r="O67" s="240">
        <f t="shared" si="2"/>
        <v>2.1576470902982869E-2</v>
      </c>
      <c r="P67" s="27">
        <f>+'Prog 01'!Q67</f>
        <v>118153.42200000001</v>
      </c>
      <c r="Q67" s="27">
        <f ca="1">+'Prog 01'!R67</f>
        <v>90809.825890000007</v>
      </c>
      <c r="R67" s="240">
        <f t="shared" ca="1" si="3"/>
        <v>0.76857550422873067</v>
      </c>
      <c r="T67" s="858"/>
      <c r="U67" s="858"/>
      <c r="V67" s="859"/>
      <c r="W67" s="109"/>
      <c r="X67" s="109"/>
      <c r="Y67" s="109"/>
      <c r="Z67" s="113"/>
    </row>
    <row r="68" spans="2:26" ht="15" hidden="1" customHeight="1" outlineLevel="3" x14ac:dyDescent="0.2">
      <c r="B68" s="382"/>
      <c r="C68" s="24"/>
      <c r="D68" s="25"/>
      <c r="E68" s="26">
        <v>7</v>
      </c>
      <c r="F68" s="26" t="str">
        <f>+CONCATENATE($B$10,"",$C$42,"",$D$64,"00",E68)</f>
        <v>21.02.004.007</v>
      </c>
      <c r="G68" s="384" t="s">
        <v>38</v>
      </c>
      <c r="H68" s="27">
        <f>+'Prog 01'!I68</f>
        <v>500</v>
      </c>
      <c r="I68" s="27">
        <f>+VLOOKUP(F68,matriz01,4,FALSE)</f>
        <v>1500</v>
      </c>
      <c r="J68" s="27">
        <v>0</v>
      </c>
      <c r="K68" s="240">
        <f t="shared" si="0"/>
        <v>0</v>
      </c>
      <c r="L68" s="144">
        <v>0</v>
      </c>
      <c r="M68" s="240">
        <f t="shared" si="1"/>
        <v>0</v>
      </c>
      <c r="N68" s="305">
        <f>+I68-L68</f>
        <v>1500</v>
      </c>
      <c r="O68" s="240">
        <f t="shared" si="2"/>
        <v>1</v>
      </c>
      <c r="P68" s="27">
        <f>+'Prog 01'!Q68</f>
        <v>729.4</v>
      </c>
      <c r="Q68" s="27">
        <v>0</v>
      </c>
      <c r="R68" s="240">
        <f t="shared" si="3"/>
        <v>0</v>
      </c>
      <c r="T68" s="858"/>
      <c r="U68" s="858"/>
      <c r="V68" s="859"/>
      <c r="W68" s="109"/>
      <c r="X68" s="109"/>
      <c r="Y68" s="109"/>
      <c r="Z68" s="113"/>
    </row>
    <row r="69" spans="2:26" s="46" customFormat="1" ht="15" hidden="1" customHeight="1" outlineLevel="2" x14ac:dyDescent="0.2">
      <c r="B69" s="382"/>
      <c r="C69" s="24"/>
      <c r="D69" s="25" t="s">
        <v>157</v>
      </c>
      <c r="E69" s="26"/>
      <c r="F69" s="26"/>
      <c r="G69" s="383" t="s">
        <v>34</v>
      </c>
      <c r="H69" s="27">
        <f>SUM(H70:H72)</f>
        <v>119357.391</v>
      </c>
      <c r="I69" s="27">
        <f>SUM(I70:I72)</f>
        <v>119357.391</v>
      </c>
      <c r="J69" s="27">
        <f ca="1">SUM(J70:J72)</f>
        <v>42230.877000000008</v>
      </c>
      <c r="K69" s="240">
        <f t="shared" ca="1" si="0"/>
        <v>0.35381870067853616</v>
      </c>
      <c r="L69" s="395">
        <f>SUM(L70:L72)</f>
        <v>42230.877</v>
      </c>
      <c r="M69" s="240">
        <f t="shared" si="1"/>
        <v>0.3538187006785361</v>
      </c>
      <c r="N69" s="305">
        <f>SUM(N70:N72)</f>
        <v>77126.513999999996</v>
      </c>
      <c r="O69" s="240">
        <f t="shared" si="2"/>
        <v>0.64618129932146384</v>
      </c>
      <c r="P69" s="27">
        <f>SUM(P70:P72)</f>
        <v>99979.583232000005</v>
      </c>
      <c r="Q69" s="27">
        <f ca="1">SUM(Q70:Q72)</f>
        <v>19220.615296</v>
      </c>
      <c r="R69" s="240">
        <f t="shared" ca="1" si="3"/>
        <v>0.19224540325797385</v>
      </c>
      <c r="S69" s="20"/>
      <c r="T69" s="858"/>
      <c r="U69" s="858"/>
      <c r="V69" s="859"/>
      <c r="W69" s="109"/>
      <c r="X69" s="109"/>
      <c r="Y69" s="109"/>
      <c r="Z69" s="113"/>
    </row>
    <row r="70" spans="2:26" ht="15" hidden="1" customHeight="1" outlineLevel="3" x14ac:dyDescent="0.2">
      <c r="B70" s="382"/>
      <c r="C70" s="24"/>
      <c r="D70" s="25"/>
      <c r="E70" s="26">
        <v>1</v>
      </c>
      <c r="F70" s="26" t="str">
        <f>+CONCATENATE($B$10,"",$C$42,"",$D$69,"00",E70)</f>
        <v>21.02.005.001</v>
      </c>
      <c r="G70" s="384" t="s">
        <v>95</v>
      </c>
      <c r="H70" s="27">
        <f>+VLOOKUP(F70,matriz01,3,FALSE)</f>
        <v>38806.478999999999</v>
      </c>
      <c r="I70" s="27">
        <f>+VLOOKUP(F70,matriz01,4,FALSE)</f>
        <v>38806.478999999999</v>
      </c>
      <c r="J70" s="27">
        <f ca="1">+VLOOKUP(F70,matriz01,5,FALSE)</f>
        <v>0</v>
      </c>
      <c r="K70" s="240">
        <f t="shared" ca="1" si="0"/>
        <v>0</v>
      </c>
      <c r="L70" s="27">
        <f>INDEX(coincidenciaP01,MATCH(F70,indicep01,0),7)</f>
        <v>0</v>
      </c>
      <c r="M70" s="240">
        <f t="shared" si="1"/>
        <v>0</v>
      </c>
      <c r="N70" s="305">
        <f>INDEX(coincidenciaP01,MATCH(F70,indicep01,0),9)</f>
        <v>38806.478999999999</v>
      </c>
      <c r="O70" s="240">
        <f t="shared" si="2"/>
        <v>1</v>
      </c>
      <c r="P70" s="27">
        <f>+'Prog 01'!Q70</f>
        <v>10.42</v>
      </c>
      <c r="Q70" s="27">
        <f ca="1">+'Prog 01'!R70</f>
        <v>0</v>
      </c>
      <c r="R70" s="240">
        <f t="shared" ca="1" si="3"/>
        <v>0</v>
      </c>
      <c r="T70" s="858"/>
      <c r="U70" s="858"/>
      <c r="V70" s="859"/>
      <c r="W70" s="109"/>
      <c r="X70" s="109"/>
      <c r="Y70" s="109"/>
      <c r="Z70" s="113"/>
    </row>
    <row r="71" spans="2:26" ht="15" hidden="1" customHeight="1" outlineLevel="3" x14ac:dyDescent="0.2">
      <c r="B71" s="382"/>
      <c r="C71" s="24"/>
      <c r="D71" s="25"/>
      <c r="E71" s="26">
        <v>2</v>
      </c>
      <c r="F71" s="26" t="str">
        <f>+CONCATENATE($B$10,"",$C$42,"",$D$69,"00",E71)</f>
        <v>21.02.005.002</v>
      </c>
      <c r="G71" s="384" t="s">
        <v>96</v>
      </c>
      <c r="H71" s="27">
        <f>+VLOOKUP(F71,matriz01,3,FALSE)</f>
        <v>18445.887999999999</v>
      </c>
      <c r="I71" s="27">
        <f>+VLOOKUP(F71,matriz01,4,FALSE)</f>
        <v>18445.887999999999</v>
      </c>
      <c r="J71" s="27">
        <f ca="1">+VLOOKUP(F71,matriz01,5,FALSE)</f>
        <v>18151.836000000003</v>
      </c>
      <c r="K71" s="240">
        <f t="shared" ca="1" si="0"/>
        <v>0.98405866933595199</v>
      </c>
      <c r="L71" s="144">
        <f>INDEX(coincidenciaP01,MATCH(F71,indicep01,0),7)</f>
        <v>18151.835999999999</v>
      </c>
      <c r="M71" s="240">
        <f t="shared" si="1"/>
        <v>0.98405866933595176</v>
      </c>
      <c r="N71" s="27">
        <f>INDEX(coincidenciaP01,MATCH(F71,indicep01,0),9)</f>
        <v>294.05199999999968</v>
      </c>
      <c r="O71" s="240">
        <f t="shared" si="2"/>
        <v>1.5941330664048254E-2</v>
      </c>
      <c r="P71" s="27">
        <f>+'Prog 01'!Q71</f>
        <v>28300.403232000001</v>
      </c>
      <c r="Q71" s="27">
        <f ca="1">+'Prog 01'!R71</f>
        <v>19220.615296</v>
      </c>
      <c r="R71" s="240">
        <f t="shared" ca="1" si="3"/>
        <v>0.67916400831585155</v>
      </c>
      <c r="T71" s="858"/>
      <c r="U71" s="858"/>
      <c r="V71" s="859"/>
      <c r="W71" s="109"/>
      <c r="X71" s="109"/>
      <c r="Y71" s="109"/>
      <c r="Z71" s="113"/>
    </row>
    <row r="72" spans="2:26" ht="15" hidden="1" customHeight="1" outlineLevel="3" x14ac:dyDescent="0.2">
      <c r="B72" s="382"/>
      <c r="C72" s="24"/>
      <c r="D72" s="25"/>
      <c r="E72" s="26">
        <v>3</v>
      </c>
      <c r="F72" s="26" t="str">
        <f>+CONCATENATE($B$10,"",$C$42,"",$D$69,"00",E72)</f>
        <v>21.02.005.003</v>
      </c>
      <c r="G72" s="384" t="s">
        <v>97</v>
      </c>
      <c r="H72" s="27">
        <f>+VLOOKUP(F72,matriz01,3,FALSE)</f>
        <v>62105.023999999998</v>
      </c>
      <c r="I72" s="27">
        <f>+VLOOKUP(F72,matriz01,4,FALSE)</f>
        <v>62105.023999999998</v>
      </c>
      <c r="J72" s="27">
        <f ca="1">+VLOOKUP(F72,matriz01,5,FALSE)</f>
        <v>24079.041000000001</v>
      </c>
      <c r="K72" s="240">
        <f t="shared" ca="1" si="0"/>
        <v>0.38771486506470076</v>
      </c>
      <c r="L72" s="144">
        <f>INDEX(coincidenciaP01,MATCH(F72,indicep01,0),7)</f>
        <v>24079.041000000001</v>
      </c>
      <c r="M72" s="240">
        <f t="shared" si="1"/>
        <v>0.38771486506470076</v>
      </c>
      <c r="N72" s="305">
        <f>INDEX(coincidenciaP01,MATCH(F72,indicep01,0),9)</f>
        <v>38025.982999999993</v>
      </c>
      <c r="O72" s="240">
        <f t="shared" si="2"/>
        <v>0.61228513493529924</v>
      </c>
      <c r="P72" s="27">
        <f>+'Prog 01'!Q72</f>
        <v>71668.760000000009</v>
      </c>
      <c r="Q72" s="27">
        <f ca="1">+'Prog 01'!R72</f>
        <v>0</v>
      </c>
      <c r="R72" s="240">
        <f t="shared" ca="1" si="3"/>
        <v>0</v>
      </c>
      <c r="T72" s="858"/>
      <c r="U72" s="858"/>
      <c r="V72" s="859"/>
      <c r="W72" s="109"/>
      <c r="X72" s="109"/>
      <c r="Y72" s="109"/>
      <c r="Z72" s="113"/>
    </row>
    <row r="73" spans="2:26" s="46" customFormat="1" ht="15" hidden="1" customHeight="1" outlineLevel="1" x14ac:dyDescent="0.2">
      <c r="B73" s="382"/>
      <c r="C73" s="24" t="s">
        <v>159</v>
      </c>
      <c r="D73" s="25"/>
      <c r="E73" s="26"/>
      <c r="F73" s="26"/>
      <c r="G73" s="383" t="s">
        <v>102</v>
      </c>
      <c r="H73" s="28">
        <f>+H74+H77+H78</f>
        <v>1131969.5630000001</v>
      </c>
      <c r="I73" s="27">
        <f>+I74+I77+I78+I79</f>
        <v>1181272.081</v>
      </c>
      <c r="J73" s="27">
        <f ca="1">+J74+J77+J78+J79</f>
        <v>629636.35200000019</v>
      </c>
      <c r="K73" s="240">
        <f t="shared" ca="1" si="0"/>
        <v>0.53301551956343929</v>
      </c>
      <c r="L73" s="396">
        <f>+L74+L77+L78+L79</f>
        <v>629636.35200000007</v>
      </c>
      <c r="M73" s="240">
        <f t="shared" si="1"/>
        <v>0.53301551956343918</v>
      </c>
      <c r="N73" s="305">
        <f>+N74+N77+N78+N79</f>
        <v>551635.72900000005</v>
      </c>
      <c r="O73" s="240">
        <f t="shared" si="2"/>
        <v>0.46698448043656088</v>
      </c>
      <c r="P73" s="27">
        <f>+P74+P77+P78</f>
        <v>1152167.1369979999</v>
      </c>
      <c r="Q73" s="27">
        <f ca="1">+Q74+Q77+Q78</f>
        <v>777891.64465400006</v>
      </c>
      <c r="R73" s="240">
        <f t="shared" ref="R73:R139" ca="1" si="18">IFERROR(Q73/P73,"0.00%")</f>
        <v>0.67515520940895446</v>
      </c>
      <c r="S73" s="20"/>
      <c r="T73" s="858"/>
      <c r="U73" s="858"/>
      <c r="V73" s="859"/>
      <c r="W73" s="109"/>
      <c r="X73" s="109"/>
      <c r="Y73" s="109"/>
      <c r="Z73" s="113"/>
    </row>
    <row r="74" spans="2:26" s="46" customFormat="1" ht="15" hidden="1" customHeight="1" outlineLevel="2" x14ac:dyDescent="0.2">
      <c r="B74" s="382"/>
      <c r="C74" s="24"/>
      <c r="D74" s="29" t="s">
        <v>152</v>
      </c>
      <c r="E74" s="26"/>
      <c r="F74" s="26"/>
      <c r="G74" s="383" t="s">
        <v>41</v>
      </c>
      <c r="H74" s="28">
        <f>SUM(H75:H76)</f>
        <v>1038046</v>
      </c>
      <c r="I74" s="27">
        <f>SUM(I75:I76)</f>
        <v>1085046</v>
      </c>
      <c r="J74" s="28">
        <f ca="1">SUM(J75:J76)</f>
        <v>617369.76700000011</v>
      </c>
      <c r="K74" s="240">
        <f t="shared" ca="1" si="0"/>
        <v>0.5689802708825249</v>
      </c>
      <c r="L74" s="396">
        <f>SUM(L75:L76)</f>
        <v>617369.76699999999</v>
      </c>
      <c r="M74" s="240">
        <f t="shared" si="1"/>
        <v>0.56898027088252479</v>
      </c>
      <c r="N74" s="305">
        <f>SUM(N75:N76)</f>
        <v>467676.23300000007</v>
      </c>
      <c r="O74" s="240">
        <f t="shared" si="2"/>
        <v>0.43101972911747527</v>
      </c>
      <c r="P74" s="27">
        <f>SUM(P75:P76)</f>
        <v>1070860.4469719999</v>
      </c>
      <c r="Q74" s="27">
        <f ca="1">SUM(Q75:Q76)</f>
        <v>697443.27086800011</v>
      </c>
      <c r="R74" s="240">
        <f t="shared" ca="1" si="18"/>
        <v>0.65129240027504376</v>
      </c>
      <c r="S74" s="20"/>
      <c r="T74" s="858"/>
      <c r="U74" s="858"/>
      <c r="V74" s="859"/>
      <c r="W74" s="109"/>
      <c r="X74" s="109"/>
      <c r="Y74" s="109"/>
      <c r="Z74" s="113"/>
    </row>
    <row r="75" spans="2:26" ht="15" hidden="1" customHeight="1" outlineLevel="2" x14ac:dyDescent="0.2">
      <c r="B75" s="382"/>
      <c r="C75" s="24"/>
      <c r="D75" s="25"/>
      <c r="E75" s="26">
        <v>1</v>
      </c>
      <c r="F75" s="26" t="str">
        <f>+CONCATENATE($B$10,"",$C$73,"",$D$74,"00",E75)</f>
        <v>21.03.001.001</v>
      </c>
      <c r="G75" s="384" t="s">
        <v>42</v>
      </c>
      <c r="H75" s="27">
        <f>+VLOOKUP(F75,matriz01,3,FALSE)</f>
        <v>1018733</v>
      </c>
      <c r="I75" s="27">
        <f>+VLOOKUP(F75,matriz01,4,FALSE)</f>
        <v>1065733</v>
      </c>
      <c r="J75" s="27">
        <f ca="1">+VLOOKUP(F75,matriz01,5,FALSE)</f>
        <v>611227.24900000007</v>
      </c>
      <c r="K75" s="240">
        <f t="shared" ref="K75:K82" ca="1" si="19">IFERROR(J75/I75,"0.00%")</f>
        <v>0.57352756178142184</v>
      </c>
      <c r="L75" s="144">
        <f>INDEX(coincidenciaP01,MATCH(F75,indicep01,0),7)</f>
        <v>611227.24899999995</v>
      </c>
      <c r="M75" s="240">
        <f t="shared" ref="M75:M82" si="20">+IFERROR(L75/I75,0)</f>
        <v>0.57352756178142172</v>
      </c>
      <c r="N75" s="305">
        <f>INDEX(coincidenciaP01,MATCH(F75,indicep01,0),9)</f>
        <v>454505.75100000005</v>
      </c>
      <c r="O75" s="240">
        <f t="shared" ref="O75:O83" si="21">+IFERROR(N75/I75,0)</f>
        <v>0.42647243821857822</v>
      </c>
      <c r="P75" s="27">
        <f>+'Prog 01'!Q75</f>
        <v>1055054.8157879999</v>
      </c>
      <c r="Q75" s="27">
        <f ca="1">+'Prog 01'!R75</f>
        <v>684242.69074200012</v>
      </c>
      <c r="R75" s="240">
        <f t="shared" ca="1" si="18"/>
        <v>0.64853757406998103</v>
      </c>
      <c r="T75" s="858"/>
      <c r="U75" s="858"/>
      <c r="V75" s="859"/>
      <c r="W75" s="109"/>
      <c r="X75" s="109"/>
      <c r="Y75" s="109"/>
      <c r="Z75" s="113"/>
    </row>
    <row r="76" spans="2:26" ht="15" hidden="1" customHeight="1" outlineLevel="2" x14ac:dyDescent="0.2">
      <c r="B76" s="382"/>
      <c r="C76" s="24"/>
      <c r="D76" s="25"/>
      <c r="E76" s="26">
        <v>2</v>
      </c>
      <c r="F76" s="26" t="str">
        <f>+CONCATENATE($B$10,"",$C$73,"",$D$74,"00",E76)</f>
        <v>21.03.001.002</v>
      </c>
      <c r="G76" s="384" t="s">
        <v>43</v>
      </c>
      <c r="H76" s="27">
        <f>+VLOOKUP(F76,matriz01,3,FALSE)</f>
        <v>19313</v>
      </c>
      <c r="I76" s="27">
        <f>+VLOOKUP(F76,matriz01,4,FALSE)</f>
        <v>19313</v>
      </c>
      <c r="J76" s="27">
        <f ca="1">+VLOOKUP(F76,matriz01,5,FALSE)</f>
        <v>6142.518</v>
      </c>
      <c r="K76" s="240">
        <f t="shared" ca="1" si="19"/>
        <v>0.3180509501372133</v>
      </c>
      <c r="L76" s="144">
        <f>INDEX(coincidenciaP01,MATCH(F76,indicep01,0),7)</f>
        <v>6142.518</v>
      </c>
      <c r="M76" s="240">
        <f t="shared" si="20"/>
        <v>0.3180509501372133</v>
      </c>
      <c r="N76" s="305">
        <f>INDEX(coincidenciaP01,MATCH(F76,indicep01,0),9)</f>
        <v>13170.482</v>
      </c>
      <c r="O76" s="240">
        <f t="shared" si="21"/>
        <v>0.6819490498627867</v>
      </c>
      <c r="P76" s="27">
        <f>+'Prog 01'!Q76</f>
        <v>15805.631184</v>
      </c>
      <c r="Q76" s="27">
        <f ca="1">+'Prog 01'!R76</f>
        <v>13200.580126000001</v>
      </c>
      <c r="R76" s="240">
        <f t="shared" ca="1" si="18"/>
        <v>0.83518209252933306</v>
      </c>
      <c r="T76" s="858"/>
      <c r="U76" s="858"/>
      <c r="V76" s="859"/>
      <c r="W76" s="109"/>
      <c r="X76" s="109"/>
      <c r="Y76" s="109"/>
      <c r="Z76" s="113"/>
    </row>
    <row r="77" spans="2:26" ht="15" hidden="1" customHeight="1" outlineLevel="2" x14ac:dyDescent="0.2">
      <c r="B77" s="382"/>
      <c r="C77" s="24"/>
      <c r="D77" s="29" t="s">
        <v>157</v>
      </c>
      <c r="E77" s="26"/>
      <c r="F77" s="26" t="str">
        <f>+CONCATENATE($B$10,"",$C$73,D77)</f>
        <v>21.03.005.</v>
      </c>
      <c r="G77" s="384" t="s">
        <v>321</v>
      </c>
      <c r="H77" s="27">
        <f>+'Prog 01'!I77</f>
        <v>93923.562999999995</v>
      </c>
      <c r="I77" s="27">
        <f>+VLOOKUP(F77,matriz01,4,FALSE)</f>
        <v>93923.562999999995</v>
      </c>
      <c r="J77" s="27">
        <f ca="1">+'Prog 01'!K77</f>
        <v>9964.0670000000009</v>
      </c>
      <c r="K77" s="240">
        <f t="shared" ca="1" si="19"/>
        <v>0.10608697840817646</v>
      </c>
      <c r="L77" s="144">
        <f>INDEX(coincidenciaP01,MATCH(F77,indicep01,0),7)</f>
        <v>9964.0669999999991</v>
      </c>
      <c r="M77" s="240">
        <f t="shared" si="20"/>
        <v>0.10608697840817644</v>
      </c>
      <c r="N77" s="305">
        <f>+'Prog 01'!O77</f>
        <v>83959.495999999999</v>
      </c>
      <c r="O77" s="240">
        <f t="shared" si="21"/>
        <v>0.89391302159182362</v>
      </c>
      <c r="P77" s="27">
        <f>+'Prog 01'!Q77</f>
        <v>81306.690025999997</v>
      </c>
      <c r="Q77" s="27">
        <f ca="1">+'Prog 01'!R77</f>
        <v>80448.373785999996</v>
      </c>
      <c r="R77" s="240">
        <f t="shared" ca="1" si="18"/>
        <v>0.9894434733510179</v>
      </c>
      <c r="T77" s="858"/>
      <c r="U77" s="858"/>
      <c r="V77" s="859"/>
      <c r="W77" s="109"/>
      <c r="X77" s="109"/>
      <c r="Y77" s="109"/>
      <c r="Z77" s="113"/>
    </row>
    <row r="78" spans="2:26" ht="15" hidden="1" customHeight="1" outlineLevel="2" x14ac:dyDescent="0.2">
      <c r="B78" s="382"/>
      <c r="C78" s="24"/>
      <c r="D78" s="26" t="s">
        <v>1096</v>
      </c>
      <c r="F78" s="26" t="s">
        <v>1097</v>
      </c>
      <c r="G78" s="384" t="s">
        <v>307</v>
      </c>
      <c r="H78" s="27">
        <f>+'Prog 01'!I78</f>
        <v>0</v>
      </c>
      <c r="I78" s="27">
        <f>+VLOOKUP(F78,matriz01,4,FALSE)</f>
        <v>0</v>
      </c>
      <c r="J78" s="27">
        <f ca="1">+'Prog 01'!K78</f>
        <v>0</v>
      </c>
      <c r="K78" s="240" t="str">
        <f t="shared" ca="1" si="19"/>
        <v>0.00%</v>
      </c>
      <c r="L78" s="144">
        <f>INDEX(coincidenciaP01,MATCH(F78,indicep01,0),7)</f>
        <v>0</v>
      </c>
      <c r="M78" s="240">
        <f t="shared" si="20"/>
        <v>0</v>
      </c>
      <c r="N78" s="27">
        <f>+'Prog 01'!O78</f>
        <v>0</v>
      </c>
      <c r="O78" s="240">
        <f t="shared" si="21"/>
        <v>0</v>
      </c>
      <c r="P78" s="27">
        <f>+'Prog 01'!Q78</f>
        <v>0</v>
      </c>
      <c r="Q78" s="27">
        <f ca="1">+'Prog 01'!R78</f>
        <v>0</v>
      </c>
      <c r="R78" s="240" t="str">
        <f t="shared" ca="1" si="18"/>
        <v>0.00%</v>
      </c>
      <c r="T78" s="858"/>
      <c r="U78" s="858"/>
      <c r="V78" s="859"/>
      <c r="W78" s="109"/>
      <c r="X78" s="109"/>
      <c r="Y78" s="109"/>
      <c r="Z78" s="113"/>
    </row>
    <row r="79" spans="2:26" ht="15" hidden="1" customHeight="1" outlineLevel="2" x14ac:dyDescent="0.2">
      <c r="B79" s="382"/>
      <c r="C79" s="24"/>
      <c r="D79" s="29" t="s">
        <v>1092</v>
      </c>
      <c r="E79" s="26"/>
      <c r="F79" s="26" t="s">
        <v>1098</v>
      </c>
      <c r="G79" s="384" t="s">
        <v>984</v>
      </c>
      <c r="H79" s="27">
        <v>0</v>
      </c>
      <c r="I79" s="27">
        <f>+'Prog 01'!J79</f>
        <v>2302.518</v>
      </c>
      <c r="J79" s="27">
        <f ca="1">+'Prog 01'!K79</f>
        <v>2302.518</v>
      </c>
      <c r="K79" s="240">
        <f t="shared" ca="1" si="19"/>
        <v>1</v>
      </c>
      <c r="L79" s="27">
        <f>+'Prog 01'!M79</f>
        <v>2302.518</v>
      </c>
      <c r="M79" s="240">
        <f t="shared" si="20"/>
        <v>1</v>
      </c>
      <c r="N79" s="27">
        <f>+'Prog 01'!O79</f>
        <v>0</v>
      </c>
      <c r="O79" s="240">
        <f t="shared" si="21"/>
        <v>0</v>
      </c>
      <c r="P79" s="27">
        <v>0</v>
      </c>
      <c r="Q79" s="27">
        <v>0</v>
      </c>
      <c r="R79" s="240" t="str">
        <f t="shared" si="18"/>
        <v>0.00%</v>
      </c>
      <c r="T79" s="858"/>
      <c r="U79" s="858"/>
      <c r="V79" s="859"/>
      <c r="W79" s="109"/>
      <c r="X79" s="109"/>
      <c r="Y79" s="109"/>
      <c r="Z79" s="113"/>
    </row>
    <row r="80" spans="2:26" ht="15" customHeight="1" collapsed="1" x14ac:dyDescent="0.2">
      <c r="B80" s="382">
        <v>22</v>
      </c>
      <c r="C80" s="24"/>
      <c r="D80" s="25"/>
      <c r="E80" s="26"/>
      <c r="F80" s="26"/>
      <c r="G80" s="383" t="s">
        <v>15</v>
      </c>
      <c r="H80" s="27">
        <f>+H83+H87+H89+H103+H112+H120+H124+H132+H137+H140+H145+H81</f>
        <v>2943989</v>
      </c>
      <c r="I80" s="27">
        <f t="shared" ref="I80:L80" si="22">+I83+I87+I89+I103+I112+I120+I124+I132+I137+I140+I145+I81</f>
        <v>4547359</v>
      </c>
      <c r="J80" s="27">
        <f t="shared" ca="1" si="22"/>
        <v>2115228.9890000005</v>
      </c>
      <c r="K80" s="240">
        <f t="shared" ca="1" si="19"/>
        <v>0.46515548673416823</v>
      </c>
      <c r="L80" s="27">
        <f t="shared" si="22"/>
        <v>3609582.4049999993</v>
      </c>
      <c r="M80" s="240">
        <f t="shared" si="20"/>
        <v>0.79377555301879599</v>
      </c>
      <c r="N80" s="27">
        <f>+N83+N87+N89+N103+N112+N120+N124+N132+N137+N140+N145+N81</f>
        <v>937776.59499999986</v>
      </c>
      <c r="O80" s="240">
        <f t="shared" si="21"/>
        <v>0.20622444698120379</v>
      </c>
      <c r="P80" s="27">
        <f>+P83+P87+P89+P103+P112+P120+P124+P132+P137+P140+P145</f>
        <v>4986754.6260000002</v>
      </c>
      <c r="Q80" s="27">
        <f ca="1">+Q83+Q87+Q89+Q103+Q112+Q120+Q124+Q132+Q137+Q140+Q145</f>
        <v>2378365.8117180001</v>
      </c>
      <c r="R80" s="240">
        <f ca="1">IFERROR(Q80/P80,"0.00%")</f>
        <v>0.4769366030800169</v>
      </c>
      <c r="T80" s="858"/>
      <c r="U80" s="859"/>
      <c r="V80" s="859"/>
      <c r="W80" s="109"/>
      <c r="X80" s="109"/>
      <c r="Y80" s="109"/>
      <c r="Z80" s="113"/>
    </row>
    <row r="81" spans="2:26" ht="15" hidden="1" customHeight="1" x14ac:dyDescent="0.2">
      <c r="B81" s="382"/>
      <c r="C81" s="24" t="s">
        <v>300</v>
      </c>
      <c r="D81" s="25"/>
      <c r="E81" s="26"/>
      <c r="F81" s="26" t="str">
        <f>+CONCATENATE($B$80,"",$C$81,"",D81)</f>
        <v>22.01</v>
      </c>
      <c r="G81" s="383" t="s">
        <v>1046</v>
      </c>
      <c r="H81" s="27">
        <f>+'Prog 01'!I81</f>
        <v>0</v>
      </c>
      <c r="I81" s="27">
        <f>+'Prog 01'!J81</f>
        <v>150</v>
      </c>
      <c r="J81" s="27">
        <f ca="1">+'Prog 01'!K81</f>
        <v>150</v>
      </c>
      <c r="K81" s="240">
        <f t="shared" ca="1" si="19"/>
        <v>1</v>
      </c>
      <c r="L81" s="27">
        <f>+'Prog 01'!M81</f>
        <v>150</v>
      </c>
      <c r="M81" s="240">
        <f t="shared" si="20"/>
        <v>1</v>
      </c>
      <c r="N81" s="27">
        <f>+'Prog 01'!O81</f>
        <v>0</v>
      </c>
      <c r="O81" s="240">
        <f t="shared" si="21"/>
        <v>0</v>
      </c>
      <c r="P81" s="27">
        <v>0</v>
      </c>
      <c r="Q81" s="27">
        <v>0</v>
      </c>
      <c r="R81" s="240">
        <v>0</v>
      </c>
      <c r="T81" s="858"/>
      <c r="U81" s="859"/>
      <c r="V81" s="859"/>
      <c r="W81" s="109"/>
      <c r="X81" s="109"/>
      <c r="Y81" s="109"/>
      <c r="Z81" s="113"/>
    </row>
    <row r="82" spans="2:26" ht="15" hidden="1" customHeight="1" x14ac:dyDescent="0.2">
      <c r="B82" s="382"/>
      <c r="C82" s="24"/>
      <c r="D82" s="25" t="s">
        <v>165</v>
      </c>
      <c r="E82" s="26"/>
      <c r="F82" s="26" t="str">
        <f>+CONCATENATE($B$80,"",$C$81,"",D82)</f>
        <v>22.01.001</v>
      </c>
      <c r="G82" s="384" t="s">
        <v>1047</v>
      </c>
      <c r="H82" s="27">
        <f>+'Prog 01'!I82</f>
        <v>0</v>
      </c>
      <c r="I82" s="27">
        <f>+'Prog 01'!J82</f>
        <v>150</v>
      </c>
      <c r="J82" s="27">
        <f ca="1">+'Prog 01'!K82</f>
        <v>150</v>
      </c>
      <c r="K82" s="240">
        <f t="shared" ca="1" si="19"/>
        <v>1</v>
      </c>
      <c r="L82" s="27">
        <f>+'Prog 01'!M82</f>
        <v>150</v>
      </c>
      <c r="M82" s="240">
        <f t="shared" si="20"/>
        <v>1</v>
      </c>
      <c r="N82" s="27">
        <f>+'Prog 01'!O82</f>
        <v>0</v>
      </c>
      <c r="O82" s="240">
        <f t="shared" si="21"/>
        <v>0</v>
      </c>
      <c r="P82" s="27">
        <v>0</v>
      </c>
      <c r="Q82" s="27">
        <v>0</v>
      </c>
      <c r="R82" s="240">
        <v>0</v>
      </c>
      <c r="T82" s="858"/>
      <c r="U82" s="859"/>
      <c r="V82" s="859"/>
      <c r="W82" s="109"/>
      <c r="X82" s="109"/>
      <c r="Y82" s="109"/>
      <c r="Z82" s="113"/>
    </row>
    <row r="83" spans="2:26" ht="15" hidden="1" customHeight="1" outlineLevel="1" x14ac:dyDescent="0.2">
      <c r="B83" s="382"/>
      <c r="C83" s="24" t="s">
        <v>160</v>
      </c>
      <c r="D83" s="25"/>
      <c r="E83" s="26"/>
      <c r="F83" s="26" t="str">
        <f t="shared" ref="F83" si="23">+CONCATENATE($B$80,"",$C$83,"",D83)</f>
        <v>22.02</v>
      </c>
      <c r="G83" s="383" t="s">
        <v>44</v>
      </c>
      <c r="H83" s="27">
        <f>+H85+H86</f>
        <v>23000</v>
      </c>
      <c r="I83" s="27">
        <f>+I85+I86+I84</f>
        <v>23000</v>
      </c>
      <c r="J83" s="27">
        <f ca="1">+J85+J86+J84</f>
        <v>18251.744999999999</v>
      </c>
      <c r="K83" s="240">
        <f t="shared" ref="K83:K121" ca="1" si="24">IFERROR(J83/I83,"0.00%")</f>
        <v>0.79355413043478251</v>
      </c>
      <c r="L83" s="395">
        <f>+L85+L86+L84</f>
        <v>18251.744999999999</v>
      </c>
      <c r="M83" s="240">
        <f t="shared" ref="M83:M141" si="25">+IFERROR(L83/I83,0)</f>
        <v>0.79355413043478251</v>
      </c>
      <c r="N83" s="305">
        <f>+N85+N86</f>
        <v>4748.2549999999992</v>
      </c>
      <c r="O83" s="240">
        <f t="shared" si="21"/>
        <v>0.20644586956521735</v>
      </c>
      <c r="P83" s="27">
        <f>+P85+P86+P84</f>
        <v>34020.047516000006</v>
      </c>
      <c r="Q83" s="27">
        <f ca="1">+Q85+Q86+Q84</f>
        <v>20321.889466000001</v>
      </c>
      <c r="R83" s="240">
        <f t="shared" ca="1" si="18"/>
        <v>0.59735041394173216</v>
      </c>
      <c r="T83" s="858"/>
      <c r="V83" s="859"/>
      <c r="W83" s="109"/>
      <c r="X83" s="109"/>
      <c r="Y83" s="109"/>
      <c r="Z83" s="113"/>
    </row>
    <row r="84" spans="2:26" ht="15" hidden="1" customHeight="1" outlineLevel="1" x14ac:dyDescent="0.2">
      <c r="B84" s="382"/>
      <c r="C84" s="24"/>
      <c r="D84" s="25" t="s">
        <v>165</v>
      </c>
      <c r="E84" s="26"/>
      <c r="F84" s="26" t="str">
        <f>+CONCATENATE($B$80,"",$C$83,"",D84)</f>
        <v>22.02.001</v>
      </c>
      <c r="G84" s="383" t="s">
        <v>451</v>
      </c>
      <c r="H84" s="27">
        <f>+VLOOKUP(F84,matriz01,3,FALSE)</f>
        <v>0</v>
      </c>
      <c r="I84" s="27">
        <f>+VLOOKUP(F84,matriz01,4,FALSE)</f>
        <v>0</v>
      </c>
      <c r="J84" s="27">
        <f ca="1">+VLOOKUP(F84,matriz01,5,FALSE)</f>
        <v>0</v>
      </c>
      <c r="K84" s="240" t="str">
        <f t="shared" ca="1" si="24"/>
        <v>0.00%</v>
      </c>
      <c r="L84" s="144">
        <f>INDEX(coincidenciaP01,MATCH(F84,indicep01,0),7)</f>
        <v>0</v>
      </c>
      <c r="M84" s="240">
        <f t="shared" si="25"/>
        <v>0</v>
      </c>
      <c r="N84" s="27">
        <f>INDEX(coincidenciaP01,MATCH(F84,indicep01,0),9)</f>
        <v>0</v>
      </c>
      <c r="O84" s="240">
        <f t="shared" ref="O84:O141" si="26">+IFERROR(N84/I84,0)</f>
        <v>0</v>
      </c>
      <c r="P84" s="27">
        <f>+'Prog 01'!Q84</f>
        <v>0</v>
      </c>
      <c r="Q84" s="27">
        <f ca="1">+'Prog 01'!R84</f>
        <v>0</v>
      </c>
      <c r="R84" s="240" t="str">
        <f t="shared" ca="1" si="18"/>
        <v>0.00%</v>
      </c>
      <c r="T84" s="858"/>
      <c r="V84" s="859"/>
      <c r="W84" s="109"/>
      <c r="X84" s="109"/>
      <c r="Y84" s="109"/>
      <c r="Z84" s="113"/>
    </row>
    <row r="85" spans="2:26" ht="15" hidden="1" customHeight="1" outlineLevel="2" x14ac:dyDescent="0.2">
      <c r="B85" s="382"/>
      <c r="C85" s="24"/>
      <c r="D85" s="25" t="s">
        <v>161</v>
      </c>
      <c r="E85" s="26"/>
      <c r="F85" s="26" t="str">
        <f>+CONCATENATE($B$80,"",$C$83,"",D85)</f>
        <v>22.02.002</v>
      </c>
      <c r="G85" s="384" t="s">
        <v>45</v>
      </c>
      <c r="H85" s="27">
        <f>+VLOOKUP(F85,matriz01,3,FALSE)</f>
        <v>18000</v>
      </c>
      <c r="I85" s="27">
        <f>+VLOOKUP(F85,matriz01,4,FALSE)</f>
        <v>18000</v>
      </c>
      <c r="J85" s="27">
        <f ca="1">+VLOOKUP(F85,matriz01,5,FALSE)</f>
        <v>15295.368</v>
      </c>
      <c r="K85" s="240">
        <f t="shared" ca="1" si="24"/>
        <v>0.84974266666666665</v>
      </c>
      <c r="L85" s="144">
        <f>INDEX(coincidenciaP01,MATCH(F85,indicep01,0),7)</f>
        <v>15295.368</v>
      </c>
      <c r="M85" s="240">
        <f t="shared" si="25"/>
        <v>0.84974266666666665</v>
      </c>
      <c r="N85" s="305">
        <f>INDEX(coincidenciaP01,MATCH(F85,indicep01,0),9)</f>
        <v>2704.6319999999996</v>
      </c>
      <c r="O85" s="240">
        <f t="shared" si="26"/>
        <v>0.1502573333333333</v>
      </c>
      <c r="P85" s="27">
        <f>+'Prog 01'!Q85</f>
        <v>22438.064342000001</v>
      </c>
      <c r="Q85" s="27">
        <f ca="1">+'Prog 01'!R85</f>
        <v>10876.214692</v>
      </c>
      <c r="R85" s="240">
        <f t="shared" ca="1" si="18"/>
        <v>0.48472161084063259</v>
      </c>
      <c r="T85" s="858"/>
      <c r="V85" s="859"/>
      <c r="W85" s="109"/>
      <c r="X85" s="109"/>
      <c r="Y85" s="109"/>
      <c r="Z85" s="113"/>
    </row>
    <row r="86" spans="2:26" ht="15" hidden="1" customHeight="1" outlineLevel="2" x14ac:dyDescent="0.2">
      <c r="B86" s="382"/>
      <c r="C86" s="24"/>
      <c r="D86" s="25" t="s">
        <v>162</v>
      </c>
      <c r="E86" s="26"/>
      <c r="F86" s="26" t="str">
        <f>+CONCATENATE($B$80,"",$C$83,"",D86)</f>
        <v>22.02.003</v>
      </c>
      <c r="G86" s="384" t="s">
        <v>125</v>
      </c>
      <c r="H86" s="27">
        <f>+VLOOKUP(F86,matriz01,3,FALSE)</f>
        <v>5000</v>
      </c>
      <c r="I86" s="27">
        <f>+VLOOKUP(F86,matriz01,4,FALSE)</f>
        <v>5000</v>
      </c>
      <c r="J86" s="27">
        <f ca="1">+VLOOKUP(F86,matriz01,5,FALSE)</f>
        <v>2956.377</v>
      </c>
      <c r="K86" s="240">
        <f t="shared" ca="1" si="24"/>
        <v>0.59127540000000001</v>
      </c>
      <c r="L86" s="144">
        <f>INDEX(coincidenciaP01,MATCH(F86,indicep01,0),7)</f>
        <v>2956.377</v>
      </c>
      <c r="M86" s="240">
        <f t="shared" si="25"/>
        <v>0.59127540000000001</v>
      </c>
      <c r="N86" s="27">
        <f>INDEX(coincidenciaP01,MATCH(F86,indicep01,0),9)</f>
        <v>2043.623</v>
      </c>
      <c r="O86" s="240">
        <f t="shared" si="26"/>
        <v>0.40872459999999999</v>
      </c>
      <c r="P86" s="27">
        <f>+'Prog 01'!Q86</f>
        <v>11581.983174000001</v>
      </c>
      <c r="Q86" s="27">
        <f ca="1">+'Prog 01'!R86</f>
        <v>9445.6747739999992</v>
      </c>
      <c r="R86" s="240">
        <f t="shared" ca="1" si="18"/>
        <v>0.81554899813740644</v>
      </c>
      <c r="T86" s="858"/>
      <c r="V86" s="859"/>
      <c r="W86" s="109"/>
      <c r="X86" s="109"/>
      <c r="Y86" s="109"/>
      <c r="Z86" s="113"/>
    </row>
    <row r="87" spans="2:26" s="46" customFormat="1" ht="15" hidden="1" customHeight="1" outlineLevel="1" collapsed="1" x14ac:dyDescent="0.2">
      <c r="B87" s="382"/>
      <c r="C87" s="24" t="s">
        <v>163</v>
      </c>
      <c r="D87" s="25"/>
      <c r="E87" s="26"/>
      <c r="F87" s="26"/>
      <c r="G87" s="383" t="s">
        <v>46</v>
      </c>
      <c r="H87" s="27">
        <f>+H88</f>
        <v>0</v>
      </c>
      <c r="I87" s="27">
        <f>+I88</f>
        <v>30000</v>
      </c>
      <c r="J87" s="27">
        <f ca="1">+J88</f>
        <v>0</v>
      </c>
      <c r="K87" s="240">
        <f t="shared" ca="1" si="24"/>
        <v>0</v>
      </c>
      <c r="L87" s="27">
        <f>+L88</f>
        <v>30000</v>
      </c>
      <c r="M87" s="240">
        <f t="shared" si="25"/>
        <v>1</v>
      </c>
      <c r="N87" s="27">
        <f>+N88</f>
        <v>0</v>
      </c>
      <c r="O87" s="240">
        <f t="shared" si="26"/>
        <v>0</v>
      </c>
      <c r="P87" s="27">
        <f>+P88</f>
        <v>31260</v>
      </c>
      <c r="Q87" s="27">
        <f ca="1">+Q88</f>
        <v>31260</v>
      </c>
      <c r="R87" s="240">
        <f t="shared" ca="1" si="18"/>
        <v>1</v>
      </c>
      <c r="S87" s="20"/>
      <c r="T87" s="858"/>
      <c r="U87" s="110"/>
      <c r="V87" s="859"/>
      <c r="W87" s="109"/>
      <c r="X87" s="109"/>
      <c r="Y87" s="109"/>
      <c r="Z87" s="113"/>
    </row>
    <row r="88" spans="2:26" ht="15" hidden="1" customHeight="1" outlineLevel="2" x14ac:dyDescent="0.2">
      <c r="B88" s="382"/>
      <c r="C88" s="24"/>
      <c r="D88" s="25" t="s">
        <v>165</v>
      </c>
      <c r="E88" s="26"/>
      <c r="F88" s="26" t="str">
        <f>+CONCATENATE($B$80,"",$C$87,"",D88)</f>
        <v>22.03.001</v>
      </c>
      <c r="G88" s="384" t="s">
        <v>103</v>
      </c>
      <c r="H88" s="27">
        <f>+VLOOKUP(F88,matriz01,3,FALSE)</f>
        <v>0</v>
      </c>
      <c r="I88" s="27">
        <f>+VLOOKUP(F88,matriz01,4,FALSE)</f>
        <v>30000</v>
      </c>
      <c r="J88" s="27">
        <f ca="1">+VLOOKUP(F88,matriz01,5,FALSE)</f>
        <v>0</v>
      </c>
      <c r="K88" s="240">
        <f t="shared" ca="1" si="24"/>
        <v>0</v>
      </c>
      <c r="L88" s="27">
        <f>INDEX(coincidenciaP01,MATCH(F88,indicep01,0),7)</f>
        <v>30000</v>
      </c>
      <c r="M88" s="240">
        <f t="shared" si="25"/>
        <v>1</v>
      </c>
      <c r="N88" s="27">
        <f>INDEX(coincidenciaP01,MATCH(F88,indicep01,0),9)</f>
        <v>0</v>
      </c>
      <c r="O88" s="240">
        <f t="shared" si="26"/>
        <v>0</v>
      </c>
      <c r="P88" s="27">
        <f>+'Prog 01'!Q88</f>
        <v>31260</v>
      </c>
      <c r="Q88" s="27">
        <f ca="1">+'Prog 01'!R88</f>
        <v>31260</v>
      </c>
      <c r="R88" s="240">
        <f t="shared" ca="1" si="18"/>
        <v>1</v>
      </c>
      <c r="T88" s="858"/>
      <c r="V88" s="859"/>
      <c r="W88" s="109"/>
      <c r="X88" s="109"/>
      <c r="Y88" s="109"/>
      <c r="Z88" s="113"/>
    </row>
    <row r="89" spans="2:26" s="46" customFormat="1" ht="15" hidden="1" customHeight="1" outlineLevel="1" collapsed="1" x14ac:dyDescent="0.2">
      <c r="B89" s="382"/>
      <c r="C89" s="24" t="s">
        <v>164</v>
      </c>
      <c r="D89" s="25"/>
      <c r="E89" s="26"/>
      <c r="F89" s="26"/>
      <c r="G89" s="383" t="s">
        <v>47</v>
      </c>
      <c r="H89" s="27">
        <f>SUM(H90:H102)</f>
        <v>35764.204000000005</v>
      </c>
      <c r="I89" s="27">
        <f>SUM(I90:I102)</f>
        <v>46411.24</v>
      </c>
      <c r="J89" s="27">
        <f ca="1">SUM(J90:J102)</f>
        <v>36304.665999999997</v>
      </c>
      <c r="K89" s="240">
        <f t="shared" ca="1" si="24"/>
        <v>0.78223865598074949</v>
      </c>
      <c r="L89" s="27">
        <f>SUM(L90:L102)</f>
        <v>45296.348999999995</v>
      </c>
      <c r="M89" s="240">
        <f t="shared" si="25"/>
        <v>0.97597799584755751</v>
      </c>
      <c r="N89" s="27">
        <f>SUM(N90:N102)</f>
        <v>1114.8910000000003</v>
      </c>
      <c r="O89" s="240">
        <f t="shared" si="26"/>
        <v>2.4022004152442392E-2</v>
      </c>
      <c r="P89" s="27">
        <f>SUM(P90:P102)</f>
        <v>61716.733661999999</v>
      </c>
      <c r="Q89" s="27">
        <f ca="1">SUM(Q90:Q102)</f>
        <v>43938.102570000003</v>
      </c>
      <c r="R89" s="240">
        <f t="shared" ca="1" si="18"/>
        <v>0.71193175599073244</v>
      </c>
      <c r="S89" s="20"/>
      <c r="T89" s="858"/>
      <c r="U89" s="110"/>
      <c r="V89" s="859"/>
      <c r="W89" s="109"/>
      <c r="X89" s="109"/>
      <c r="Y89" s="109"/>
      <c r="Z89" s="113"/>
    </row>
    <row r="90" spans="2:26" ht="15" hidden="1" customHeight="1" outlineLevel="2" x14ac:dyDescent="0.2">
      <c r="B90" s="382"/>
      <c r="C90" s="24"/>
      <c r="D90" s="25" t="s">
        <v>165</v>
      </c>
      <c r="E90" s="26"/>
      <c r="F90" s="26" t="str">
        <f>+CONCATENATE($B$80,"",$C$89,"",D90)</f>
        <v>22.04.001</v>
      </c>
      <c r="G90" s="384" t="s">
        <v>104</v>
      </c>
      <c r="H90" s="27">
        <f t="shared" ref="H90:H102" si="27">+VLOOKUP(F90,matriz01,3,FALSE)</f>
        <v>10321.700000000001</v>
      </c>
      <c r="I90" s="27">
        <f t="shared" ref="I90:I102" si="28">+VLOOKUP(F90,matriz01,4,FALSE)</f>
        <v>4356.4859999999999</v>
      </c>
      <c r="J90" s="27">
        <f ca="1">+VLOOKUP(F90,matriz01,5,FALSE)</f>
        <v>3944.7460000000001</v>
      </c>
      <c r="K90" s="240">
        <f t="shared" ca="1" si="24"/>
        <v>0.90548804701771113</v>
      </c>
      <c r="L90" s="27">
        <f t="shared" ref="L90:L102" si="29">INDEX(coincidenciaP01,MATCH(F90,indicep01,0),7)</f>
        <v>4356.4859999999999</v>
      </c>
      <c r="M90" s="240">
        <f t="shared" si="25"/>
        <v>1</v>
      </c>
      <c r="N90" s="27">
        <f t="shared" ref="N90:N102" si="30">INDEX(coincidenciaP01,MATCH(F90,indicep01,0),9)</f>
        <v>0</v>
      </c>
      <c r="O90" s="240">
        <f t="shared" si="26"/>
        <v>0</v>
      </c>
      <c r="P90" s="27">
        <f>+'Prog 01'!Q90</f>
        <v>5865.9765120000002</v>
      </c>
      <c r="Q90" s="27">
        <f ca="1">+'Prog 01'!R90</f>
        <v>4531.3818700000002</v>
      </c>
      <c r="R90" s="240">
        <f t="shared" ca="1" si="18"/>
        <v>0.77248551212746486</v>
      </c>
      <c r="T90" s="858"/>
      <c r="V90" s="859"/>
      <c r="W90" s="109"/>
      <c r="X90" s="109"/>
      <c r="Y90" s="109"/>
      <c r="Z90" s="113"/>
    </row>
    <row r="91" spans="2:26" ht="15" hidden="1" customHeight="1" outlineLevel="2" x14ac:dyDescent="0.2">
      <c r="B91" s="382"/>
      <c r="C91" s="24"/>
      <c r="D91" s="25" t="s">
        <v>161</v>
      </c>
      <c r="E91" s="26"/>
      <c r="F91" s="26" t="str">
        <f>+CONCATENATE($B$80,"",$C$89,"",D91)</f>
        <v>22.04.002</v>
      </c>
      <c r="G91" s="384" t="s">
        <v>986</v>
      </c>
      <c r="H91" s="27">
        <f>+'Prog 01'!I91</f>
        <v>427.21100000000001</v>
      </c>
      <c r="I91" s="27">
        <f>+'Prog 01'!J91</f>
        <v>427.21100000000001</v>
      </c>
      <c r="J91" s="27">
        <f ca="1">+'Prog 01'!K91</f>
        <v>427.21100000000001</v>
      </c>
      <c r="K91" s="240">
        <f t="shared" ca="1" si="24"/>
        <v>1</v>
      </c>
      <c r="L91" s="27">
        <f>+'Prog 01'!M91</f>
        <v>427.21100000000001</v>
      </c>
      <c r="M91" s="240">
        <f t="shared" si="25"/>
        <v>1</v>
      </c>
      <c r="N91" s="27">
        <f>+'Prog 01'!O91</f>
        <v>0</v>
      </c>
      <c r="O91" s="240">
        <f t="shared" si="26"/>
        <v>0</v>
      </c>
      <c r="P91" s="27">
        <v>0</v>
      </c>
      <c r="Q91" s="27">
        <v>0</v>
      </c>
      <c r="R91" s="240" t="str">
        <f t="shared" si="18"/>
        <v>0.00%</v>
      </c>
      <c r="T91" s="858"/>
      <c r="V91" s="859"/>
      <c r="W91" s="109"/>
      <c r="X91" s="109"/>
      <c r="Y91" s="109"/>
      <c r="Z91" s="113"/>
    </row>
    <row r="92" spans="2:26" ht="15" hidden="1" customHeight="1" outlineLevel="2" x14ac:dyDescent="0.2">
      <c r="B92" s="382"/>
      <c r="C92" s="24"/>
      <c r="D92" s="25" t="s">
        <v>162</v>
      </c>
      <c r="E92" s="26"/>
      <c r="F92" s="26" t="str">
        <f>+CONCATENATE($B$80,"",$C$89,"",D92)</f>
        <v>22.04.003</v>
      </c>
      <c r="G92" s="384" t="s">
        <v>203</v>
      </c>
      <c r="H92" s="27">
        <f>+'Prog 01'!I92</f>
        <v>0</v>
      </c>
      <c r="I92" s="27">
        <f t="shared" si="28"/>
        <v>207.214</v>
      </c>
      <c r="J92" s="27">
        <f ca="1">+VLOOKUP(F92,matriz01,5,FALSE)</f>
        <v>207.214</v>
      </c>
      <c r="K92" s="240">
        <f t="shared" ca="1" si="24"/>
        <v>1</v>
      </c>
      <c r="L92" s="27">
        <f t="shared" si="29"/>
        <v>207.214</v>
      </c>
      <c r="M92" s="240">
        <f t="shared" si="25"/>
        <v>1</v>
      </c>
      <c r="N92" s="27">
        <f t="shared" si="30"/>
        <v>0</v>
      </c>
      <c r="O92" s="240">
        <f t="shared" si="26"/>
        <v>0</v>
      </c>
      <c r="P92" s="27">
        <f>+'Prog 01'!Q92</f>
        <v>165.72488999999999</v>
      </c>
      <c r="Q92" s="27">
        <f ca="1">+'Prog 01'!R92</f>
        <v>165.71968000000001</v>
      </c>
      <c r="R92" s="240">
        <f t="shared" ca="1" si="18"/>
        <v>0.99996856235656584</v>
      </c>
      <c r="T92" s="858"/>
      <c r="V92" s="859"/>
      <c r="W92" s="109"/>
      <c r="X92" s="109"/>
      <c r="Y92" s="109"/>
      <c r="Z92" s="113"/>
    </row>
    <row r="93" spans="2:26" ht="15" hidden="1" customHeight="1" outlineLevel="2" x14ac:dyDescent="0.2">
      <c r="B93" s="382"/>
      <c r="C93" s="24"/>
      <c r="D93" s="25" t="s">
        <v>175</v>
      </c>
      <c r="E93" s="26"/>
      <c r="F93" s="26" t="s">
        <v>747</v>
      </c>
      <c r="G93" s="384" t="s">
        <v>748</v>
      </c>
      <c r="H93" s="27">
        <f>+'Prog 01'!I93</f>
        <v>1013.077</v>
      </c>
      <c r="I93" s="27">
        <f t="shared" si="28"/>
        <v>187.90100000000001</v>
      </c>
      <c r="J93" s="27">
        <f ca="1">+VLOOKUP(F93,matriz01,5,FALSE)</f>
        <v>187.90100000000001</v>
      </c>
      <c r="K93" s="240">
        <f t="shared" ca="1" si="24"/>
        <v>1</v>
      </c>
      <c r="L93" s="27">
        <f t="shared" si="29"/>
        <v>187.90100000000001</v>
      </c>
      <c r="M93" s="240">
        <f t="shared" si="25"/>
        <v>1</v>
      </c>
      <c r="N93" s="27">
        <f t="shared" si="30"/>
        <v>0</v>
      </c>
      <c r="O93" s="240">
        <f t="shared" si="26"/>
        <v>0</v>
      </c>
      <c r="P93" s="27">
        <f>+'Prog 01'!Q93</f>
        <v>327.35472000000004</v>
      </c>
      <c r="Q93" s="27">
        <f ca="1">+'Prog 01'!R93</f>
        <v>327.35472000000004</v>
      </c>
      <c r="R93" s="240">
        <f t="shared" ca="1" si="18"/>
        <v>1</v>
      </c>
      <c r="T93" s="858"/>
      <c r="V93" s="859"/>
      <c r="W93" s="109"/>
      <c r="X93" s="109"/>
      <c r="Y93" s="109"/>
      <c r="Z93" s="113"/>
    </row>
    <row r="94" spans="2:26" ht="15" hidden="1" customHeight="1" outlineLevel="2" x14ac:dyDescent="0.2">
      <c r="B94" s="382"/>
      <c r="C94" s="24"/>
      <c r="D94" s="30" t="s">
        <v>176</v>
      </c>
      <c r="E94" s="26"/>
      <c r="F94" s="26" t="str">
        <f t="shared" ref="F94:F102" si="31">+CONCATENATE($B$80,"",$C$89,"",D94)</f>
        <v>22.04.005</v>
      </c>
      <c r="G94" s="385" t="s">
        <v>322</v>
      </c>
      <c r="H94" s="27">
        <f>+'Prog 01'!I94</f>
        <v>0</v>
      </c>
      <c r="I94" s="27">
        <f t="shared" si="28"/>
        <v>0</v>
      </c>
      <c r="J94" s="27">
        <f ca="1">+'Prog 01'!K94</f>
        <v>0</v>
      </c>
      <c r="K94" s="240" t="str">
        <f t="shared" ca="1" si="24"/>
        <v>0.00%</v>
      </c>
      <c r="L94" s="27">
        <f t="shared" si="29"/>
        <v>0</v>
      </c>
      <c r="M94" s="240">
        <f t="shared" si="25"/>
        <v>0</v>
      </c>
      <c r="N94" s="27">
        <f t="shared" si="30"/>
        <v>0</v>
      </c>
      <c r="O94" s="240">
        <f t="shared" si="26"/>
        <v>0</v>
      </c>
      <c r="P94" s="27">
        <f>+'Prog 01'!Q94</f>
        <v>666.59032400000001</v>
      </c>
      <c r="Q94" s="27">
        <f ca="1">+'Prog 01'!R94</f>
        <v>0</v>
      </c>
      <c r="R94" s="240">
        <f t="shared" ca="1" si="18"/>
        <v>0</v>
      </c>
      <c r="T94" s="858"/>
      <c r="V94" s="859"/>
      <c r="W94" s="109"/>
      <c r="X94" s="109"/>
      <c r="Y94" s="109"/>
      <c r="Z94" s="113"/>
    </row>
    <row r="95" spans="2:26" ht="15" hidden="1" customHeight="1" outlineLevel="2" x14ac:dyDescent="0.2">
      <c r="B95" s="382"/>
      <c r="C95" s="24"/>
      <c r="D95" s="25" t="s">
        <v>166</v>
      </c>
      <c r="E95" s="26"/>
      <c r="F95" s="26" t="str">
        <f t="shared" si="31"/>
        <v>22.04.007</v>
      </c>
      <c r="G95" s="384" t="s">
        <v>105</v>
      </c>
      <c r="H95" s="27">
        <f t="shared" si="27"/>
        <v>5015.9799999999996</v>
      </c>
      <c r="I95" s="27">
        <f t="shared" si="28"/>
        <v>10118.829</v>
      </c>
      <c r="J95" s="27">
        <f t="shared" ref="J95:J102" ca="1" si="32">+VLOOKUP(F95,matriz01,5,FALSE)</f>
        <v>10118.829</v>
      </c>
      <c r="K95" s="240">
        <f t="shared" ca="1" si="24"/>
        <v>1</v>
      </c>
      <c r="L95" s="27">
        <f t="shared" si="29"/>
        <v>10118.829</v>
      </c>
      <c r="M95" s="240">
        <f t="shared" si="25"/>
        <v>1</v>
      </c>
      <c r="N95" s="27">
        <f t="shared" si="30"/>
        <v>0</v>
      </c>
      <c r="O95" s="240">
        <f t="shared" si="26"/>
        <v>0</v>
      </c>
      <c r="P95" s="27">
        <f>+'Prog 01'!Q95</f>
        <v>18061.586192000002</v>
      </c>
      <c r="Q95" s="27">
        <f ca="1">+'Prog 01'!R95</f>
        <v>15781.560984</v>
      </c>
      <c r="R95" s="240">
        <f t="shared" ca="1" si="18"/>
        <v>0.87376384422925757</v>
      </c>
      <c r="T95" s="858"/>
      <c r="V95" s="859"/>
      <c r="W95" s="109"/>
      <c r="X95" s="109"/>
      <c r="Y95" s="109"/>
      <c r="Z95" s="113"/>
    </row>
    <row r="96" spans="2:26" ht="15" hidden="1" customHeight="1" outlineLevel="2" x14ac:dyDescent="0.2">
      <c r="B96" s="382"/>
      <c r="C96" s="24"/>
      <c r="D96" s="25" t="s">
        <v>167</v>
      </c>
      <c r="E96" s="26"/>
      <c r="F96" s="26" t="str">
        <f t="shared" si="31"/>
        <v>22.04.008</v>
      </c>
      <c r="G96" s="384" t="s">
        <v>106</v>
      </c>
      <c r="H96" s="27">
        <f t="shared" si="27"/>
        <v>0</v>
      </c>
      <c r="I96" s="27">
        <f t="shared" si="28"/>
        <v>0</v>
      </c>
      <c r="J96" s="27">
        <f t="shared" ca="1" si="32"/>
        <v>0</v>
      </c>
      <c r="K96" s="240" t="str">
        <f t="shared" ca="1" si="24"/>
        <v>0.00%</v>
      </c>
      <c r="L96" s="27">
        <f t="shared" si="29"/>
        <v>0</v>
      </c>
      <c r="M96" s="240">
        <f t="shared" si="25"/>
        <v>0</v>
      </c>
      <c r="N96" s="27">
        <f t="shared" si="30"/>
        <v>0</v>
      </c>
      <c r="O96" s="240">
        <f t="shared" si="26"/>
        <v>0</v>
      </c>
      <c r="P96" s="27">
        <f>+'Prog 01'!Q96</f>
        <v>0</v>
      </c>
      <c r="Q96" s="27">
        <f ca="1">+'Prog 01'!R96</f>
        <v>0</v>
      </c>
      <c r="R96" s="240" t="str">
        <f t="shared" ca="1" si="18"/>
        <v>0.00%</v>
      </c>
      <c r="T96" s="858"/>
      <c r="V96" s="859"/>
      <c r="W96" s="109"/>
      <c r="X96" s="109"/>
      <c r="Y96" s="109"/>
      <c r="Z96" s="113"/>
    </row>
    <row r="97" spans="2:26" ht="15" hidden="1" customHeight="1" outlineLevel="2" x14ac:dyDescent="0.2">
      <c r="B97" s="382"/>
      <c r="C97" s="24"/>
      <c r="D97" s="25" t="s">
        <v>168</v>
      </c>
      <c r="E97" s="26"/>
      <c r="F97" s="26" t="str">
        <f t="shared" si="31"/>
        <v>22.04.009</v>
      </c>
      <c r="G97" s="384" t="s">
        <v>48</v>
      </c>
      <c r="H97" s="27">
        <f t="shared" si="27"/>
        <v>9200</v>
      </c>
      <c r="I97" s="27">
        <f t="shared" si="28"/>
        <v>11211.227999999999</v>
      </c>
      <c r="J97" s="27">
        <f t="shared" ca="1" si="32"/>
        <v>11211.228000000001</v>
      </c>
      <c r="K97" s="240">
        <f t="shared" ca="1" si="24"/>
        <v>1.0000000000000002</v>
      </c>
      <c r="L97" s="27">
        <f t="shared" si="29"/>
        <v>11211.227999999999</v>
      </c>
      <c r="M97" s="240">
        <f t="shared" si="25"/>
        <v>1</v>
      </c>
      <c r="N97" s="27">
        <f t="shared" si="30"/>
        <v>0</v>
      </c>
      <c r="O97" s="240">
        <f t="shared" si="26"/>
        <v>0</v>
      </c>
      <c r="P97" s="27">
        <f>+'Prog 01'!Q97</f>
        <v>13833.060579999999</v>
      </c>
      <c r="Q97" s="27">
        <f ca="1">+'Prog 01'!R97</f>
        <v>5604.1031560000001</v>
      </c>
      <c r="R97" s="240">
        <f t="shared" ca="1" si="18"/>
        <v>0.40512387866662553</v>
      </c>
      <c r="T97" s="858"/>
      <c r="V97" s="859"/>
      <c r="W97" s="109"/>
      <c r="X97" s="109"/>
      <c r="Y97" s="109"/>
      <c r="Z97" s="113"/>
    </row>
    <row r="98" spans="2:26" ht="15" hidden="1" customHeight="1" outlineLevel="2" x14ac:dyDescent="0.2">
      <c r="B98" s="382"/>
      <c r="C98" s="24"/>
      <c r="D98" s="25" t="s">
        <v>169</v>
      </c>
      <c r="E98" s="26"/>
      <c r="F98" s="26" t="str">
        <f t="shared" si="31"/>
        <v>22.04.010</v>
      </c>
      <c r="G98" s="384" t="s">
        <v>49</v>
      </c>
      <c r="H98" s="27">
        <f t="shared" si="27"/>
        <v>2083.8960000000002</v>
      </c>
      <c r="I98" s="27">
        <f t="shared" si="28"/>
        <v>2537.8560000000002</v>
      </c>
      <c r="J98" s="27">
        <f t="shared" ca="1" si="32"/>
        <v>2310.473</v>
      </c>
      <c r="K98" s="240">
        <f t="shared" ca="1" si="24"/>
        <v>0.91040350595148023</v>
      </c>
      <c r="L98" s="27">
        <f t="shared" si="29"/>
        <v>2537.8560000000002</v>
      </c>
      <c r="M98" s="240">
        <f t="shared" si="25"/>
        <v>1</v>
      </c>
      <c r="N98" s="27">
        <f t="shared" si="30"/>
        <v>0</v>
      </c>
      <c r="O98" s="240">
        <f t="shared" si="26"/>
        <v>0</v>
      </c>
      <c r="P98" s="27">
        <f>+'Prog 01'!Q98</f>
        <v>1421.288</v>
      </c>
      <c r="Q98" s="27">
        <f ca="1">+'Prog 01'!R98</f>
        <v>721.66836000000012</v>
      </c>
      <c r="R98" s="240">
        <f t="shared" ca="1" si="18"/>
        <v>0.50775659824046926</v>
      </c>
      <c r="T98" s="858"/>
      <c r="V98" s="859"/>
      <c r="W98" s="109"/>
      <c r="X98" s="109"/>
      <c r="Y98" s="109"/>
      <c r="Z98" s="113"/>
    </row>
    <row r="99" spans="2:26" ht="15" hidden="1" customHeight="1" outlineLevel="2" x14ac:dyDescent="0.2">
      <c r="B99" s="382"/>
      <c r="C99" s="24"/>
      <c r="D99" s="25" t="s">
        <v>170</v>
      </c>
      <c r="E99" s="26"/>
      <c r="F99" s="26" t="str">
        <f t="shared" si="31"/>
        <v>22.04.011</v>
      </c>
      <c r="G99" s="384" t="s">
        <v>50</v>
      </c>
      <c r="H99" s="27">
        <f t="shared" si="27"/>
        <v>1000</v>
      </c>
      <c r="I99" s="27">
        <f t="shared" si="28"/>
        <v>1980.682</v>
      </c>
      <c r="J99" s="27">
        <f t="shared" ca="1" si="32"/>
        <v>1242.7020000000002</v>
      </c>
      <c r="K99" s="240">
        <f t="shared" ca="1" si="24"/>
        <v>0.62741116443729994</v>
      </c>
      <c r="L99" s="27">
        <f t="shared" si="29"/>
        <v>1442.6220000000001</v>
      </c>
      <c r="M99" s="240">
        <f t="shared" si="25"/>
        <v>0.72834609493093794</v>
      </c>
      <c r="N99" s="27">
        <f t="shared" si="30"/>
        <v>538.05999999999995</v>
      </c>
      <c r="O99" s="240">
        <f t="shared" si="26"/>
        <v>0.27165390506906206</v>
      </c>
      <c r="P99" s="27">
        <f>+'Prog 01'!Q99</f>
        <v>3650.4010880000001</v>
      </c>
      <c r="Q99" s="27">
        <f ca="1">+'Prog 01'!R99</f>
        <v>1161.2068839999999</v>
      </c>
      <c r="R99" s="240">
        <f t="shared" ca="1" si="18"/>
        <v>0.31810391680444294</v>
      </c>
      <c r="T99" s="858"/>
      <c r="V99" s="859"/>
      <c r="W99" s="109"/>
      <c r="X99" s="109"/>
      <c r="Y99" s="109"/>
      <c r="Z99" s="113"/>
    </row>
    <row r="100" spans="2:26" ht="15" hidden="1" customHeight="1" outlineLevel="2" x14ac:dyDescent="0.2">
      <c r="B100" s="382"/>
      <c r="C100" s="24"/>
      <c r="D100" s="25" t="s">
        <v>171</v>
      </c>
      <c r="E100" s="26"/>
      <c r="F100" s="26" t="str">
        <f t="shared" si="31"/>
        <v>22.04.012</v>
      </c>
      <c r="G100" s="384" t="s">
        <v>107</v>
      </c>
      <c r="H100" s="27">
        <f t="shared" si="27"/>
        <v>2293.54</v>
      </c>
      <c r="I100" s="27">
        <f t="shared" si="28"/>
        <v>136.68799999999999</v>
      </c>
      <c r="J100" s="27">
        <f t="shared" ca="1" si="32"/>
        <v>136.68799999999999</v>
      </c>
      <c r="K100" s="240">
        <f t="shared" ca="1" si="24"/>
        <v>1</v>
      </c>
      <c r="L100" s="27">
        <f t="shared" si="29"/>
        <v>136.68799999999999</v>
      </c>
      <c r="M100" s="240">
        <f t="shared" si="25"/>
        <v>1</v>
      </c>
      <c r="N100" s="27">
        <f t="shared" si="30"/>
        <v>0</v>
      </c>
      <c r="O100" s="240">
        <f t="shared" si="26"/>
        <v>0</v>
      </c>
      <c r="P100" s="27">
        <f>+'Prog 01'!Q100</f>
        <v>1368.3512739999999</v>
      </c>
      <c r="Q100" s="27">
        <f ca="1">+'Prog 01'!R100</f>
        <v>649.1628740000001</v>
      </c>
      <c r="R100" s="240">
        <f t="shared" ca="1" si="18"/>
        <v>0.47441244535282989</v>
      </c>
      <c r="T100" s="858"/>
      <c r="V100" s="859"/>
      <c r="W100" s="109"/>
      <c r="X100" s="109"/>
      <c r="Y100" s="109"/>
      <c r="Z100" s="113"/>
    </row>
    <row r="101" spans="2:26" ht="15" hidden="1" customHeight="1" outlineLevel="2" x14ac:dyDescent="0.2">
      <c r="B101" s="382"/>
      <c r="C101" s="24"/>
      <c r="D101" s="25" t="s">
        <v>172</v>
      </c>
      <c r="E101" s="26"/>
      <c r="F101" s="26" t="str">
        <f t="shared" si="31"/>
        <v>22.04.013</v>
      </c>
      <c r="G101" s="384" t="s">
        <v>108</v>
      </c>
      <c r="H101" s="27">
        <f t="shared" si="27"/>
        <v>4000</v>
      </c>
      <c r="I101" s="27">
        <f t="shared" si="28"/>
        <v>13578.239</v>
      </c>
      <c r="J101" s="27">
        <f t="shared" ca="1" si="32"/>
        <v>4971.2579999999998</v>
      </c>
      <c r="K101" s="240">
        <f t="shared" ca="1" si="24"/>
        <v>0.36611949458247128</v>
      </c>
      <c r="L101" s="27">
        <f t="shared" si="29"/>
        <v>13026.397999999999</v>
      </c>
      <c r="M101" s="240">
        <f t="shared" si="25"/>
        <v>0.95935842637620383</v>
      </c>
      <c r="N101" s="27">
        <f t="shared" si="30"/>
        <v>551.84100000000035</v>
      </c>
      <c r="O101" s="240">
        <f t="shared" si="26"/>
        <v>4.0641573623796161E-2</v>
      </c>
      <c r="P101" s="27">
        <f>+'Prog 01'!Q101</f>
        <v>15133.029562</v>
      </c>
      <c r="Q101" s="27">
        <f ca="1">+'Prog 01'!R101</f>
        <v>13995.769921999999</v>
      </c>
      <c r="R101" s="240">
        <f t="shared" ca="1" si="18"/>
        <v>0.92484917607934025</v>
      </c>
      <c r="T101" s="858"/>
      <c r="V101" s="859"/>
      <c r="W101" s="109"/>
      <c r="X101" s="109"/>
      <c r="Y101" s="109"/>
      <c r="Z101" s="113"/>
    </row>
    <row r="102" spans="2:26" ht="15" hidden="1" customHeight="1" outlineLevel="2" x14ac:dyDescent="0.2">
      <c r="B102" s="382"/>
      <c r="C102" s="24"/>
      <c r="D102" s="25" t="s">
        <v>173</v>
      </c>
      <c r="E102" s="26"/>
      <c r="F102" s="26" t="str">
        <f t="shared" si="31"/>
        <v>22.04.999</v>
      </c>
      <c r="G102" s="384" t="s">
        <v>109</v>
      </c>
      <c r="H102" s="27">
        <f t="shared" si="27"/>
        <v>408.8</v>
      </c>
      <c r="I102" s="27">
        <f t="shared" si="28"/>
        <v>1668.9059999999999</v>
      </c>
      <c r="J102" s="27">
        <f t="shared" ca="1" si="32"/>
        <v>1546.4159999999999</v>
      </c>
      <c r="K102" s="240">
        <f t="shared" ca="1" si="24"/>
        <v>0.92660461404057504</v>
      </c>
      <c r="L102" s="27">
        <f t="shared" si="29"/>
        <v>1643.9159999999999</v>
      </c>
      <c r="M102" s="240">
        <f t="shared" si="25"/>
        <v>0.98502611890663705</v>
      </c>
      <c r="N102" s="27">
        <f t="shared" si="30"/>
        <v>24.990000000000009</v>
      </c>
      <c r="O102" s="240">
        <f t="shared" si="26"/>
        <v>1.4973881093362963E-2</v>
      </c>
      <c r="P102" s="27">
        <f>+'Prog 01'!Q102</f>
        <v>1223.3705199999999</v>
      </c>
      <c r="Q102" s="27">
        <f ca="1">+'Prog 01'!R102</f>
        <v>1000.17412</v>
      </c>
      <c r="R102" s="240">
        <f t="shared" ca="1" si="18"/>
        <v>0.81755617259765268</v>
      </c>
      <c r="T102" s="858"/>
      <c r="V102" s="859"/>
      <c r="W102" s="109"/>
      <c r="X102" s="109"/>
      <c r="Y102" s="109"/>
      <c r="Z102" s="113"/>
    </row>
    <row r="103" spans="2:26" s="46" customFormat="1" ht="15" hidden="1" customHeight="1" outlineLevel="1" collapsed="1" x14ac:dyDescent="0.2">
      <c r="B103" s="382"/>
      <c r="C103" s="24" t="s">
        <v>174</v>
      </c>
      <c r="D103" s="25"/>
      <c r="E103" s="26"/>
      <c r="F103" s="26"/>
      <c r="G103" s="383" t="s">
        <v>52</v>
      </c>
      <c r="H103" s="27">
        <f>SUM(H104:H111)</f>
        <v>109888.41800000001</v>
      </c>
      <c r="I103" s="27">
        <f>SUM(I104:I111)</f>
        <v>216655.23099999997</v>
      </c>
      <c r="J103" s="27">
        <f ca="1">SUM(J104:J111)</f>
        <v>116929.02499999999</v>
      </c>
      <c r="K103" s="240">
        <f t="shared" ca="1" si="24"/>
        <v>0.53970090849087327</v>
      </c>
      <c r="L103" s="27">
        <f>SUM(L104:L111)</f>
        <v>215758.18099999998</v>
      </c>
      <c r="M103" s="240">
        <f t="shared" si="25"/>
        <v>0.99585955069785514</v>
      </c>
      <c r="N103" s="27">
        <f>SUM(N104:N111)</f>
        <v>897.04999999999927</v>
      </c>
      <c r="O103" s="240">
        <f t="shared" si="26"/>
        <v>4.1404493021449332E-3</v>
      </c>
      <c r="P103" s="27">
        <f>SUM(P104:P111)</f>
        <v>187720.555528</v>
      </c>
      <c r="Q103" s="27">
        <f ca="1">SUM(Q104:Q111)</f>
        <v>67661.449946000008</v>
      </c>
      <c r="R103" s="240">
        <f t="shared" ca="1" si="18"/>
        <v>0.36043708562277171</v>
      </c>
      <c r="S103" s="20"/>
      <c r="T103" s="858"/>
      <c r="U103" s="110"/>
      <c r="V103" s="859"/>
      <c r="W103" s="109"/>
      <c r="X103" s="109"/>
      <c r="Y103" s="109"/>
      <c r="Z103" s="113"/>
    </row>
    <row r="104" spans="2:26" ht="15" hidden="1" customHeight="1" outlineLevel="2" x14ac:dyDescent="0.2">
      <c r="B104" s="382"/>
      <c r="C104" s="24"/>
      <c r="D104" s="25" t="s">
        <v>165</v>
      </c>
      <c r="E104" s="26"/>
      <c r="F104" s="26" t="str">
        <f t="shared" ref="F104:F111" si="33">+CONCATENATE($B$80,"",$C$103,"",D104)</f>
        <v>22.05.001</v>
      </c>
      <c r="G104" s="384" t="s">
        <v>53</v>
      </c>
      <c r="H104" s="27">
        <f t="shared" ref="H104:H111" si="34">+VLOOKUP(F104,matriz01,3,FALSE)</f>
        <v>19300</v>
      </c>
      <c r="I104" s="27">
        <f>+VLOOKUP(F104,matriz01,4,FALSE)</f>
        <v>20500</v>
      </c>
      <c r="J104" s="27">
        <f t="shared" ref="J104:J111" ca="1" si="35">+VLOOKUP(F104,matriz01,5,FALSE)</f>
        <v>13355.470000000001</v>
      </c>
      <c r="K104" s="240">
        <f t="shared" ca="1" si="24"/>
        <v>0.65148634146341466</v>
      </c>
      <c r="L104" s="27">
        <f t="shared" ref="L104:L111" si="36">INDEX(coincidenciaP01,MATCH(F104,indicep01,0),7)</f>
        <v>20500</v>
      </c>
      <c r="M104" s="240">
        <f t="shared" si="25"/>
        <v>1</v>
      </c>
      <c r="N104" s="27">
        <f t="shared" ref="N104:N154" si="37">INDEX(coincidenciaP01,MATCH(F104,indicep01,0),9)</f>
        <v>0</v>
      </c>
      <c r="O104" s="240">
        <f t="shared" si="26"/>
        <v>0</v>
      </c>
      <c r="P104" s="27">
        <f>+'Prog 01'!Q104</f>
        <v>13348.02</v>
      </c>
      <c r="Q104" s="27">
        <f ca="1">+'Prog 01'!R104</f>
        <v>8914.0005259999998</v>
      </c>
      <c r="R104" s="240">
        <f t="shared" ca="1" si="18"/>
        <v>0.66781444184231065</v>
      </c>
      <c r="T104" s="858"/>
      <c r="V104" s="859"/>
      <c r="W104" s="109"/>
      <c r="X104" s="109"/>
      <c r="Y104" s="109"/>
      <c r="Z104" s="113"/>
    </row>
    <row r="105" spans="2:26" ht="15" hidden="1" customHeight="1" outlineLevel="2" x14ac:dyDescent="0.2">
      <c r="B105" s="382"/>
      <c r="C105" s="24"/>
      <c r="D105" s="25" t="s">
        <v>161</v>
      </c>
      <c r="E105" s="26"/>
      <c r="F105" s="26" t="str">
        <f t="shared" si="33"/>
        <v>22.05.002</v>
      </c>
      <c r="G105" s="384" t="s">
        <v>54</v>
      </c>
      <c r="H105" s="27">
        <f t="shared" si="34"/>
        <v>16650</v>
      </c>
      <c r="I105" s="27">
        <f t="shared" ref="I105:I111" si="38">+VLOOKUP(F105,matriz01,4,FALSE)</f>
        <v>19234.635999999999</v>
      </c>
      <c r="J105" s="27">
        <f t="shared" ca="1" si="35"/>
        <v>10836.458000000002</v>
      </c>
      <c r="K105" s="240">
        <f t="shared" ca="1" si="24"/>
        <v>0.56338253554681272</v>
      </c>
      <c r="L105" s="27">
        <f t="shared" si="36"/>
        <v>19110.585999999999</v>
      </c>
      <c r="M105" s="240">
        <f t="shared" si="25"/>
        <v>0.99355069677429819</v>
      </c>
      <c r="N105" s="27">
        <f t="shared" si="37"/>
        <v>124.04999999999927</v>
      </c>
      <c r="O105" s="240">
        <f t="shared" si="26"/>
        <v>6.4493032257017645E-3</v>
      </c>
      <c r="P105" s="27">
        <f>+'Prog 01'!Q105</f>
        <v>24140.525622000001</v>
      </c>
      <c r="Q105" s="27">
        <f ca="1">+'Prog 01'!R105</f>
        <v>8488.4737760000007</v>
      </c>
      <c r="R105" s="240">
        <f t="shared" ca="1" si="18"/>
        <v>0.35162754568459748</v>
      </c>
      <c r="T105" s="858"/>
      <c r="V105" s="859"/>
      <c r="W105" s="109"/>
      <c r="X105" s="109"/>
      <c r="Y105" s="109"/>
      <c r="Z105" s="113"/>
    </row>
    <row r="106" spans="2:26" ht="15" hidden="1" customHeight="1" outlineLevel="2" x14ac:dyDescent="0.2">
      <c r="B106" s="382"/>
      <c r="C106" s="24"/>
      <c r="D106" s="25" t="s">
        <v>162</v>
      </c>
      <c r="E106" s="26"/>
      <c r="F106" s="26" t="str">
        <f t="shared" si="33"/>
        <v>22.05.003</v>
      </c>
      <c r="G106" s="384" t="s">
        <v>55</v>
      </c>
      <c r="H106" s="27">
        <f>+VLOOKUP(F106,matriz01,3,FALSE)</f>
        <v>2500</v>
      </c>
      <c r="I106" s="27">
        <f t="shared" si="38"/>
        <v>2500</v>
      </c>
      <c r="J106" s="27">
        <f t="shared" ca="1" si="35"/>
        <v>922.25</v>
      </c>
      <c r="K106" s="240">
        <f t="shared" ca="1" si="24"/>
        <v>0.36890000000000001</v>
      </c>
      <c r="L106" s="27">
        <f t="shared" si="36"/>
        <v>1800</v>
      </c>
      <c r="M106" s="240">
        <f t="shared" si="25"/>
        <v>0.72</v>
      </c>
      <c r="N106" s="27">
        <f t="shared" si="37"/>
        <v>700</v>
      </c>
      <c r="O106" s="240">
        <f t="shared" si="26"/>
        <v>0.28000000000000003</v>
      </c>
      <c r="P106" s="27">
        <f>+'Prog 01'!Q106</f>
        <v>2492.4639999999999</v>
      </c>
      <c r="Q106" s="27">
        <f ca="1">+'Prog 01'!R106</f>
        <v>1649.7923479999999</v>
      </c>
      <c r="R106" s="240">
        <f t="shared" ca="1" si="18"/>
        <v>0.66191220735785949</v>
      </c>
      <c r="T106" s="858"/>
      <c r="V106" s="859"/>
      <c r="W106" s="109"/>
      <c r="X106" s="109"/>
      <c r="Y106" s="109"/>
      <c r="Z106" s="113"/>
    </row>
    <row r="107" spans="2:26" ht="15" hidden="1" customHeight="1" outlineLevel="2" x14ac:dyDescent="0.2">
      <c r="B107" s="382"/>
      <c r="C107" s="24"/>
      <c r="D107" s="25" t="s">
        <v>175</v>
      </c>
      <c r="E107" s="26"/>
      <c r="F107" s="26" t="str">
        <f t="shared" si="33"/>
        <v>22.05.004</v>
      </c>
      <c r="G107" s="384" t="s">
        <v>56</v>
      </c>
      <c r="H107" s="27">
        <f>+VLOOKUP(F107,matriz01,3,FALSE)</f>
        <v>16572</v>
      </c>
      <c r="I107" s="27">
        <f t="shared" si="38"/>
        <v>18000</v>
      </c>
      <c r="J107" s="27">
        <f t="shared" ca="1" si="35"/>
        <v>9187.1620000000003</v>
      </c>
      <c r="K107" s="240">
        <f t="shared" ca="1" si="24"/>
        <v>0.51039788888888893</v>
      </c>
      <c r="L107" s="27">
        <f t="shared" si="36"/>
        <v>18000</v>
      </c>
      <c r="M107" s="240">
        <f t="shared" si="25"/>
        <v>1</v>
      </c>
      <c r="N107" s="27">
        <f t="shared" si="37"/>
        <v>0</v>
      </c>
      <c r="O107" s="240">
        <f t="shared" si="26"/>
        <v>0</v>
      </c>
      <c r="P107" s="27">
        <f>+'Prog 01'!Q107</f>
        <v>19006.080000000002</v>
      </c>
      <c r="Q107" s="27">
        <f ca="1">+'Prog 01'!R107</f>
        <v>6726.9175500000001</v>
      </c>
      <c r="R107" s="240">
        <f t="shared" ca="1" si="18"/>
        <v>0.35393503289473682</v>
      </c>
      <c r="T107" s="858"/>
      <c r="V107" s="859"/>
      <c r="W107" s="109"/>
      <c r="X107" s="109"/>
      <c r="Y107" s="109"/>
      <c r="Z107" s="113"/>
    </row>
    <row r="108" spans="2:26" ht="15" hidden="1" customHeight="1" outlineLevel="2" x14ac:dyDescent="0.2">
      <c r="B108" s="382"/>
      <c r="C108" s="24"/>
      <c r="D108" s="25" t="s">
        <v>176</v>
      </c>
      <c r="E108" s="26"/>
      <c r="F108" s="26" t="str">
        <f t="shared" si="33"/>
        <v>22.05.005</v>
      </c>
      <c r="G108" s="384" t="s">
        <v>57</v>
      </c>
      <c r="H108" s="27">
        <f t="shared" si="34"/>
        <v>400</v>
      </c>
      <c r="I108" s="27">
        <f t="shared" si="38"/>
        <v>107297.02800000001</v>
      </c>
      <c r="J108" s="27">
        <f t="shared" ca="1" si="35"/>
        <v>49186.353999999999</v>
      </c>
      <c r="K108" s="240">
        <f t="shared" ca="1" si="24"/>
        <v>0.4584130140119072</v>
      </c>
      <c r="L108" s="27">
        <f t="shared" si="36"/>
        <v>107297.02800000001</v>
      </c>
      <c r="M108" s="240">
        <f t="shared" si="25"/>
        <v>1</v>
      </c>
      <c r="N108" s="27">
        <f t="shared" si="37"/>
        <v>0</v>
      </c>
      <c r="O108" s="240">
        <f t="shared" si="26"/>
        <v>0</v>
      </c>
      <c r="P108" s="27">
        <f>+'Prog 01'!Q108</f>
        <v>75030.337444000004</v>
      </c>
      <c r="Q108" s="27">
        <f ca="1">+'Prog 01'!R108</f>
        <v>17084.046395999998</v>
      </c>
      <c r="R108" s="240">
        <f t="shared" ca="1" si="18"/>
        <v>0.22769518274859055</v>
      </c>
      <c r="T108" s="858"/>
      <c r="V108" s="859"/>
      <c r="W108" s="109"/>
      <c r="X108" s="109"/>
      <c r="Y108" s="109"/>
      <c r="Z108" s="113"/>
    </row>
    <row r="109" spans="2:26" ht="15" hidden="1" customHeight="1" outlineLevel="2" x14ac:dyDescent="0.2">
      <c r="B109" s="382"/>
      <c r="C109" s="24"/>
      <c r="D109" s="25" t="s">
        <v>177</v>
      </c>
      <c r="E109" s="26"/>
      <c r="F109" s="26" t="str">
        <f t="shared" si="33"/>
        <v>22.05.006</v>
      </c>
      <c r="G109" s="384" t="s">
        <v>58</v>
      </c>
      <c r="H109" s="27">
        <f>+VLOOKUP(F109,matriz01,3,FALSE)</f>
        <v>1500</v>
      </c>
      <c r="I109" s="27">
        <f t="shared" si="38"/>
        <v>1351.8</v>
      </c>
      <c r="J109" s="27">
        <f t="shared" ca="1" si="35"/>
        <v>675.9</v>
      </c>
      <c r="K109" s="240">
        <f t="shared" ca="1" si="24"/>
        <v>0.5</v>
      </c>
      <c r="L109" s="27">
        <f t="shared" si="36"/>
        <v>1351.8</v>
      </c>
      <c r="M109" s="240">
        <f t="shared" si="25"/>
        <v>1</v>
      </c>
      <c r="N109" s="27">
        <f t="shared" si="37"/>
        <v>0</v>
      </c>
      <c r="O109" s="240">
        <f t="shared" si="26"/>
        <v>0</v>
      </c>
      <c r="P109" s="27">
        <f>+'Prog 01'!Q109</f>
        <v>4574.6540459999997</v>
      </c>
      <c r="Q109" s="27">
        <f ca="1">+'Prog 01'!R109</f>
        <v>0</v>
      </c>
      <c r="R109" s="240">
        <f t="shared" ca="1" si="18"/>
        <v>0</v>
      </c>
      <c r="T109" s="858"/>
      <c r="V109" s="859"/>
      <c r="W109" s="109"/>
      <c r="X109" s="109"/>
      <c r="Y109" s="109"/>
      <c r="Z109" s="113"/>
    </row>
    <row r="110" spans="2:26" ht="15" hidden="1" customHeight="1" outlineLevel="2" x14ac:dyDescent="0.2">
      <c r="B110" s="382"/>
      <c r="C110" s="24"/>
      <c r="D110" s="25" t="s">
        <v>166</v>
      </c>
      <c r="E110" s="26"/>
      <c r="F110" s="26" t="str">
        <f t="shared" si="33"/>
        <v>22.05.007</v>
      </c>
      <c r="G110" s="384" t="s">
        <v>59</v>
      </c>
      <c r="H110" s="27">
        <f t="shared" si="34"/>
        <v>6773</v>
      </c>
      <c r="I110" s="27">
        <f t="shared" si="38"/>
        <v>73</v>
      </c>
      <c r="J110" s="27">
        <f t="shared" ca="1" si="35"/>
        <v>0</v>
      </c>
      <c r="K110" s="240">
        <f t="shared" ca="1" si="24"/>
        <v>0</v>
      </c>
      <c r="L110" s="27">
        <f t="shared" si="36"/>
        <v>0</v>
      </c>
      <c r="M110" s="240">
        <f t="shared" si="25"/>
        <v>0</v>
      </c>
      <c r="N110" s="27">
        <f t="shared" si="37"/>
        <v>73</v>
      </c>
      <c r="O110" s="240">
        <f t="shared" si="26"/>
        <v>1</v>
      </c>
      <c r="P110" s="27">
        <f>+'Prog 01'!Q110</f>
        <v>5585.12</v>
      </c>
      <c r="Q110" s="27">
        <f ca="1">+'Prog 01'!R110</f>
        <v>3459.6681980000003</v>
      </c>
      <c r="R110" s="240">
        <f t="shared" ca="1" si="18"/>
        <v>0.61944384328358215</v>
      </c>
      <c r="T110" s="858"/>
      <c r="V110" s="859"/>
      <c r="W110" s="109"/>
      <c r="X110" s="109"/>
      <c r="Y110" s="109"/>
      <c r="Z110" s="113"/>
    </row>
    <row r="111" spans="2:26" ht="15" hidden="1" customHeight="1" outlineLevel="2" x14ac:dyDescent="0.2">
      <c r="B111" s="382"/>
      <c r="C111" s="24"/>
      <c r="D111" s="25" t="s">
        <v>167</v>
      </c>
      <c r="E111" s="26"/>
      <c r="F111" s="26" t="str">
        <f t="shared" si="33"/>
        <v>22.05.008</v>
      </c>
      <c r="G111" s="384" t="s">
        <v>60</v>
      </c>
      <c r="H111" s="27">
        <f t="shared" si="34"/>
        <v>46193.417999999998</v>
      </c>
      <c r="I111" s="27">
        <f t="shared" si="38"/>
        <v>47698.767</v>
      </c>
      <c r="J111" s="27">
        <f t="shared" ca="1" si="35"/>
        <v>32765.430999999997</v>
      </c>
      <c r="K111" s="240">
        <f t="shared" ca="1" si="24"/>
        <v>0.68692406661161698</v>
      </c>
      <c r="L111" s="27">
        <f t="shared" si="36"/>
        <v>47698.767</v>
      </c>
      <c r="M111" s="240">
        <f t="shared" si="25"/>
        <v>1</v>
      </c>
      <c r="N111" s="27">
        <f t="shared" si="37"/>
        <v>0</v>
      </c>
      <c r="O111" s="240">
        <f t="shared" si="26"/>
        <v>0</v>
      </c>
      <c r="P111" s="27">
        <f>+'Prog 01'!Q111</f>
        <v>43543.354416000002</v>
      </c>
      <c r="Q111" s="27">
        <f ca="1">+'Prog 01'!R111</f>
        <v>21338.551152</v>
      </c>
      <c r="R111" s="240">
        <f t="shared" ca="1" si="18"/>
        <v>0.49005299288929266</v>
      </c>
      <c r="T111" s="858"/>
      <c r="V111" s="859"/>
      <c r="W111" s="109"/>
      <c r="X111" s="109"/>
      <c r="Y111" s="109"/>
      <c r="Z111" s="113"/>
    </row>
    <row r="112" spans="2:26" s="46" customFormat="1" ht="15" hidden="1" customHeight="1" outlineLevel="1" collapsed="1" x14ac:dyDescent="0.2">
      <c r="B112" s="382"/>
      <c r="C112" s="24" t="s">
        <v>178</v>
      </c>
      <c r="D112" s="25"/>
      <c r="E112" s="26"/>
      <c r="F112" s="26"/>
      <c r="G112" s="383" t="s">
        <v>110</v>
      </c>
      <c r="H112" s="27">
        <f>SUM(H113:H119)</f>
        <v>37504.447</v>
      </c>
      <c r="I112" s="27">
        <f>SUM(I113:I119)</f>
        <v>55586.82</v>
      </c>
      <c r="J112" s="27">
        <f ca="1">SUM(J113:J119)</f>
        <v>38286.381999999998</v>
      </c>
      <c r="K112" s="240">
        <f t="shared" ca="1" si="24"/>
        <v>0.68876726533376076</v>
      </c>
      <c r="L112" s="27">
        <f>SUM(L113:L119)</f>
        <v>46148.871999999996</v>
      </c>
      <c r="M112" s="240">
        <f t="shared" si="25"/>
        <v>0.83021248562159156</v>
      </c>
      <c r="N112" s="27">
        <f>SUM(N113:N119)</f>
        <v>9437.9479999999967</v>
      </c>
      <c r="O112" s="240">
        <f t="shared" si="26"/>
        <v>0.16978751437840836</v>
      </c>
      <c r="P112" s="27">
        <f>SUM(P113:P119)</f>
        <v>187074.18521400003</v>
      </c>
      <c r="Q112" s="27">
        <f ca="1">SUM(Q113:Q119)</f>
        <v>17081.174644000002</v>
      </c>
      <c r="R112" s="240">
        <f t="shared" ca="1" si="18"/>
        <v>9.1306957314609236E-2</v>
      </c>
      <c r="S112" s="20"/>
      <c r="T112" s="858"/>
      <c r="U112" s="110"/>
      <c r="V112" s="859"/>
      <c r="W112" s="109"/>
      <c r="X112" s="109"/>
      <c r="Y112" s="109"/>
      <c r="Z112" s="113"/>
    </row>
    <row r="113" spans="2:26" ht="15" hidden="1" customHeight="1" outlineLevel="2" x14ac:dyDescent="0.2">
      <c r="B113" s="382"/>
      <c r="C113" s="24"/>
      <c r="D113" s="25" t="s">
        <v>165</v>
      </c>
      <c r="E113" s="26"/>
      <c r="F113" s="26" t="str">
        <f>+CONCATENATE($B$80,"",$C$112,"",D113)</f>
        <v>22.06.001</v>
      </c>
      <c r="G113" s="384" t="s">
        <v>111</v>
      </c>
      <c r="H113" s="27">
        <f t="shared" ref="H113:H119" si="39">+VLOOKUP(F113,matriz01,3,FALSE)</f>
        <v>17290.246999999999</v>
      </c>
      <c r="I113" s="27">
        <f t="shared" ref="I113:I119" si="40">+VLOOKUP(F113,matriz01,4,FALSE)</f>
        <v>28177.991999999998</v>
      </c>
      <c r="J113" s="27">
        <f t="shared" ref="J113:J118" ca="1" si="41">+VLOOKUP(F113,matriz01,5,FALSE)</f>
        <v>24143.892000000003</v>
      </c>
      <c r="K113" s="240">
        <f t="shared" ca="1" si="24"/>
        <v>0.85683507895097721</v>
      </c>
      <c r="L113" s="27">
        <f>'Prog 01'!M113</f>
        <v>27606.792000000001</v>
      </c>
      <c r="M113" s="240">
        <f t="shared" si="25"/>
        <v>0.97972886073642163</v>
      </c>
      <c r="N113" s="27">
        <f t="shared" si="37"/>
        <v>571.19999999999709</v>
      </c>
      <c r="O113" s="240">
        <f t="shared" si="26"/>
        <v>2.0271139263578368E-2</v>
      </c>
      <c r="P113" s="27">
        <f>+'Prog 01'!Q113</f>
        <v>151854.33826000002</v>
      </c>
      <c r="Q113" s="27">
        <f ca="1">+'Prog 01'!R113</f>
        <v>5809.0770600000014</v>
      </c>
      <c r="R113" s="240">
        <f t="shared" ca="1" si="18"/>
        <v>3.8254271340301717E-2</v>
      </c>
      <c r="T113" s="858"/>
      <c r="V113" s="859"/>
      <c r="W113" s="109"/>
      <c r="X113" s="109"/>
      <c r="Y113" s="109"/>
      <c r="Z113" s="113"/>
    </row>
    <row r="114" spans="2:26" ht="15" hidden="1" customHeight="1" outlineLevel="2" x14ac:dyDescent="0.2">
      <c r="B114" s="382"/>
      <c r="C114" s="24"/>
      <c r="D114" s="25" t="s">
        <v>161</v>
      </c>
      <c r="E114" s="26"/>
      <c r="F114" s="26" t="str">
        <f>+CONCATENATE($B$80,"",$C$112,"",D114)</f>
        <v>22.06.002</v>
      </c>
      <c r="G114" s="384" t="s">
        <v>61</v>
      </c>
      <c r="H114" s="27">
        <f t="shared" si="39"/>
        <v>14000</v>
      </c>
      <c r="I114" s="27">
        <f t="shared" si="40"/>
        <v>13847.65</v>
      </c>
      <c r="J114" s="27">
        <f t="shared" ca="1" si="41"/>
        <v>9480.5990000000002</v>
      </c>
      <c r="K114" s="240">
        <f t="shared" ca="1" si="24"/>
        <v>0.68463594905994885</v>
      </c>
      <c r="L114" s="27">
        <f>'Prog 01'!M114</f>
        <v>10759.397000000001</v>
      </c>
      <c r="M114" s="240">
        <f t="shared" si="25"/>
        <v>0.77698360371615405</v>
      </c>
      <c r="N114" s="27">
        <f t="shared" si="37"/>
        <v>3088.2529999999988</v>
      </c>
      <c r="O114" s="240">
        <f t="shared" si="26"/>
        <v>0.22301639628384592</v>
      </c>
      <c r="P114" s="27">
        <f>+'Prog 01'!Q114</f>
        <v>19005.159914</v>
      </c>
      <c r="Q114" s="27">
        <f ca="1">+'Prog 01'!R114</f>
        <v>8366.4399460000004</v>
      </c>
      <c r="R114" s="240">
        <f t="shared" ca="1" si="18"/>
        <v>0.44021939219974304</v>
      </c>
      <c r="T114" s="858"/>
      <c r="V114" s="859"/>
      <c r="W114" s="109"/>
      <c r="X114" s="109"/>
      <c r="Y114" s="109"/>
      <c r="Z114" s="113"/>
    </row>
    <row r="115" spans="2:26" ht="15" hidden="1" customHeight="1" outlineLevel="2" x14ac:dyDescent="0.2">
      <c r="B115" s="382"/>
      <c r="C115" s="24"/>
      <c r="D115" s="25" t="s">
        <v>175</v>
      </c>
      <c r="E115" s="26"/>
      <c r="F115" s="26" t="s">
        <v>744</v>
      </c>
      <c r="G115" s="397" t="str">
        <f>+'Prog 01'!H116</f>
        <v>Mantenimiento y Reparación de Máquinas y Equipos d</v>
      </c>
      <c r="H115" s="27">
        <f>+VLOOKUP(F115,matriz01,3,FALSE)</f>
        <v>214.2</v>
      </c>
      <c r="I115" s="27">
        <f t="shared" si="40"/>
        <v>2290.8690000000001</v>
      </c>
      <c r="J115" s="27">
        <f t="shared" ca="1" si="41"/>
        <v>1904.1189999999999</v>
      </c>
      <c r="K115" s="240">
        <f t="shared" ca="1" si="24"/>
        <v>0.83117760116357586</v>
      </c>
      <c r="L115" s="27">
        <f>'Prog 01'!M115</f>
        <v>1560.2090000000001</v>
      </c>
      <c r="M115" s="240">
        <f t="shared" si="25"/>
        <v>0.68105552958287885</v>
      </c>
      <c r="N115" s="27">
        <f>INDEX(coincidenciaP01,MATCH(F115,indicep01,0),9)</f>
        <v>0</v>
      </c>
      <c r="O115" s="240">
        <f t="shared" si="26"/>
        <v>0</v>
      </c>
      <c r="P115" s="27">
        <f>+'Prog 01'!Q116</f>
        <v>640.38715000000002</v>
      </c>
      <c r="Q115" s="27">
        <f ca="1">+'Prog 01'!R116</f>
        <v>640.38715000000013</v>
      </c>
      <c r="R115" s="240">
        <f t="shared" ca="1" si="18"/>
        <v>1.0000000000000002</v>
      </c>
      <c r="T115" s="858"/>
      <c r="V115" s="859"/>
      <c r="W115" s="109"/>
      <c r="X115" s="109"/>
      <c r="Y115" s="109"/>
      <c r="Z115" s="113"/>
    </row>
    <row r="116" spans="2:26" ht="15" hidden="1" customHeight="1" outlineLevel="2" x14ac:dyDescent="0.2">
      <c r="B116" s="382"/>
      <c r="C116" s="24"/>
      <c r="D116" s="25" t="s">
        <v>162</v>
      </c>
      <c r="E116" s="26"/>
      <c r="F116" s="26" t="str">
        <f>+CONCATENATE($B$80,"",$C$112,"",D116)</f>
        <v>22.06.003</v>
      </c>
      <c r="G116" s="384" t="s">
        <v>112</v>
      </c>
      <c r="H116" s="27">
        <f>+VLOOKUP(F116,matriz01,3,FALSE)</f>
        <v>0</v>
      </c>
      <c r="I116" s="27">
        <f t="shared" si="40"/>
        <v>1560.2090000000001</v>
      </c>
      <c r="J116" s="27">
        <f t="shared" ca="1" si="41"/>
        <v>0</v>
      </c>
      <c r="K116" s="240">
        <f t="shared" ca="1" si="24"/>
        <v>0</v>
      </c>
      <c r="L116" s="27">
        <f>'Prog 01'!M116</f>
        <v>2290.8690000000001</v>
      </c>
      <c r="M116" s="240">
        <f t="shared" si="25"/>
        <v>1.4683090534665548</v>
      </c>
      <c r="N116" s="27">
        <f t="shared" si="37"/>
        <v>0</v>
      </c>
      <c r="O116" s="240">
        <f t="shared" si="26"/>
        <v>0</v>
      </c>
      <c r="P116" s="27">
        <f>+'Prog 01'!Q115</f>
        <v>0</v>
      </c>
      <c r="Q116" s="27">
        <f ca="1">+'Prog 01'!R115</f>
        <v>0</v>
      </c>
      <c r="R116" s="240" t="str">
        <f t="shared" ca="1" si="18"/>
        <v>0.00%</v>
      </c>
      <c r="T116" s="858"/>
      <c r="V116" s="859"/>
      <c r="W116" s="109"/>
      <c r="X116" s="109"/>
      <c r="Y116" s="109"/>
      <c r="Z116" s="113"/>
    </row>
    <row r="117" spans="2:26" ht="15" hidden="1" customHeight="1" outlineLevel="2" x14ac:dyDescent="0.2">
      <c r="B117" s="382"/>
      <c r="C117" s="24"/>
      <c r="D117" s="25" t="s">
        <v>177</v>
      </c>
      <c r="E117" s="26"/>
      <c r="F117" s="26" t="str">
        <f>+CONCATENATE($B$80,"",$C$112,"",D117)</f>
        <v>22.06.006</v>
      </c>
      <c r="G117" s="384" t="s">
        <v>62</v>
      </c>
      <c r="H117" s="27">
        <f t="shared" si="39"/>
        <v>0</v>
      </c>
      <c r="I117" s="27">
        <f t="shared" si="40"/>
        <v>0</v>
      </c>
      <c r="J117" s="27">
        <f t="shared" ca="1" si="41"/>
        <v>0</v>
      </c>
      <c r="K117" s="240" t="str">
        <f t="shared" ca="1" si="24"/>
        <v>0.00%</v>
      </c>
      <c r="L117" s="27">
        <f>'Prog 01'!M117</f>
        <v>0</v>
      </c>
      <c r="M117" s="240">
        <f t="shared" si="25"/>
        <v>0</v>
      </c>
      <c r="N117" s="27">
        <f t="shared" si="37"/>
        <v>0</v>
      </c>
      <c r="O117" s="240">
        <f t="shared" si="26"/>
        <v>0</v>
      </c>
      <c r="P117" s="27">
        <f>+'Prog 01'!Q117</f>
        <v>0</v>
      </c>
      <c r="Q117" s="27">
        <f ca="1">+'Prog 01'!R117</f>
        <v>0</v>
      </c>
      <c r="R117" s="240" t="str">
        <f t="shared" ca="1" si="18"/>
        <v>0.00%</v>
      </c>
      <c r="T117" s="858"/>
      <c r="V117" s="859"/>
      <c r="W117" s="109"/>
      <c r="X117" s="109"/>
      <c r="Y117" s="109"/>
      <c r="Z117" s="113"/>
    </row>
    <row r="118" spans="2:26" ht="15" hidden="1" customHeight="1" outlineLevel="2" x14ac:dyDescent="0.2">
      <c r="B118" s="382"/>
      <c r="C118" s="24"/>
      <c r="D118" s="25" t="s">
        <v>166</v>
      </c>
      <c r="E118" s="26"/>
      <c r="F118" s="26" t="str">
        <f>+CONCATENATE($B$80,"",$C$112,"",D118)</f>
        <v>22.06.007</v>
      </c>
      <c r="G118" s="384" t="s">
        <v>63</v>
      </c>
      <c r="H118" s="27">
        <f t="shared" si="39"/>
        <v>6000</v>
      </c>
      <c r="I118" s="27">
        <f t="shared" si="40"/>
        <v>9300</v>
      </c>
      <c r="J118" s="27">
        <f t="shared" ca="1" si="41"/>
        <v>2347.672</v>
      </c>
      <c r="K118" s="240">
        <f t="shared" ca="1" si="24"/>
        <v>0.25243784946236558</v>
      </c>
      <c r="L118" s="27">
        <f>'Prog 01'!M118</f>
        <v>3521.5050000000001</v>
      </c>
      <c r="M118" s="240">
        <f t="shared" si="25"/>
        <v>0.37865645161290323</v>
      </c>
      <c r="N118" s="27">
        <f t="shared" si="37"/>
        <v>5778.4949999999999</v>
      </c>
      <c r="O118" s="240">
        <f t="shared" si="26"/>
        <v>0.62134354838709671</v>
      </c>
      <c r="P118" s="27">
        <f>+'Prog 01'!Q118</f>
        <v>15276.70469</v>
      </c>
      <c r="Q118" s="27">
        <f ca="1">+'Prog 01'!R118</f>
        <v>2265.2704880000001</v>
      </c>
      <c r="R118" s="240">
        <f t="shared" ca="1" si="18"/>
        <v>0.14828266527157696</v>
      </c>
      <c r="T118" s="858"/>
      <c r="V118" s="859"/>
      <c r="W118" s="109"/>
      <c r="X118" s="109"/>
      <c r="Y118" s="109"/>
      <c r="Z118" s="113"/>
    </row>
    <row r="119" spans="2:26" ht="15" hidden="1" customHeight="1" outlineLevel="2" x14ac:dyDescent="0.2">
      <c r="B119" s="382"/>
      <c r="C119" s="24"/>
      <c r="D119" s="25" t="s">
        <v>173</v>
      </c>
      <c r="E119" s="26"/>
      <c r="F119" s="26" t="str">
        <f>+CONCATENATE($B$80,"",$C$112,"",D119)</f>
        <v>22.06.999</v>
      </c>
      <c r="G119" s="384" t="s">
        <v>51</v>
      </c>
      <c r="H119" s="27">
        <f t="shared" si="39"/>
        <v>0</v>
      </c>
      <c r="I119" s="27">
        <f t="shared" si="40"/>
        <v>410.1</v>
      </c>
      <c r="J119" s="27">
        <f ca="1">+VLOOKUP(F119,matriz01,5,FALSE)</f>
        <v>410.1</v>
      </c>
      <c r="K119" s="240">
        <f t="shared" ca="1" si="24"/>
        <v>1</v>
      </c>
      <c r="L119" s="27">
        <f>'Prog 01'!M119</f>
        <v>410.1</v>
      </c>
      <c r="M119" s="240">
        <f t="shared" si="25"/>
        <v>1</v>
      </c>
      <c r="N119" s="27">
        <f t="shared" si="37"/>
        <v>0</v>
      </c>
      <c r="O119" s="240">
        <f t="shared" si="26"/>
        <v>0</v>
      </c>
      <c r="P119" s="27">
        <f>+'Prog 01'!Q119</f>
        <v>297.59520000000003</v>
      </c>
      <c r="Q119" s="27">
        <f ca="1">+'Prog 01'!R119</f>
        <v>0</v>
      </c>
      <c r="R119" s="240">
        <f t="shared" ca="1" si="18"/>
        <v>0</v>
      </c>
      <c r="T119" s="858"/>
      <c r="V119" s="859"/>
      <c r="W119" s="109"/>
      <c r="X119" s="109"/>
      <c r="Y119" s="109"/>
      <c r="Z119" s="113"/>
    </row>
    <row r="120" spans="2:26" s="46" customFormat="1" ht="15" hidden="1" customHeight="1" outlineLevel="1" collapsed="1" x14ac:dyDescent="0.2">
      <c r="B120" s="382"/>
      <c r="C120" s="24" t="s">
        <v>179</v>
      </c>
      <c r="D120" s="25"/>
      <c r="E120" s="26"/>
      <c r="F120" s="26"/>
      <c r="G120" s="383" t="s">
        <v>64</v>
      </c>
      <c r="H120" s="27">
        <f>SUM(H121:H123)</f>
        <v>16010</v>
      </c>
      <c r="I120" s="27">
        <f t="shared" ref="I120:J120" si="42">SUM(I121:I123)</f>
        <v>161423.94999999998</v>
      </c>
      <c r="J120" s="27">
        <f t="shared" ca="1" si="42"/>
        <v>8218.9990000000016</v>
      </c>
      <c r="K120" s="240">
        <f t="shared" ca="1" si="24"/>
        <v>5.0915610725669906E-2</v>
      </c>
      <c r="L120" s="27">
        <f>SUM(L121:L123)</f>
        <v>160700.14899999998</v>
      </c>
      <c r="M120" s="240">
        <f t="shared" si="25"/>
        <v>0.99551614862602478</v>
      </c>
      <c r="N120" s="27">
        <f>SUM(N121:N123)</f>
        <v>723.80100000000675</v>
      </c>
      <c r="O120" s="240">
        <f t="shared" si="26"/>
        <v>4.4838513739752176E-3</v>
      </c>
      <c r="P120" s="27">
        <f>SUM(P121:P123)</f>
        <v>285652.993258</v>
      </c>
      <c r="Q120" s="27">
        <f ca="1">SUM(Q121:Q122)</f>
        <v>52730.592350000006</v>
      </c>
      <c r="R120" s="240">
        <f t="shared" ca="1" si="18"/>
        <v>0.18459667356740794</v>
      </c>
      <c r="S120" s="20"/>
      <c r="T120" s="858"/>
      <c r="U120" s="110"/>
      <c r="V120" s="859"/>
      <c r="W120" s="109"/>
      <c r="X120" s="109"/>
      <c r="Y120" s="109"/>
      <c r="Z120" s="113"/>
    </row>
    <row r="121" spans="2:26" ht="15" hidden="1" customHeight="1" outlineLevel="2" x14ac:dyDescent="0.2">
      <c r="B121" s="382"/>
      <c r="C121" s="24"/>
      <c r="D121" s="25" t="s">
        <v>165</v>
      </c>
      <c r="E121" s="26"/>
      <c r="F121" s="26" t="str">
        <f>+CONCATENATE($B$80,"",$C$120,"",D121)</f>
        <v>22.07.001</v>
      </c>
      <c r="G121" s="384" t="s">
        <v>65</v>
      </c>
      <c r="H121" s="27">
        <f>+VLOOKUP(F121,matriz01,3,FALSE)</f>
        <v>9000</v>
      </c>
      <c r="I121" s="27">
        <f>+VLOOKUP(F121,matriz01,4,FALSE)</f>
        <v>158654.9</v>
      </c>
      <c r="J121" s="27">
        <f ca="1">+VLOOKUP(F121,matriz01,5,FALSE)</f>
        <v>7932.0990000000011</v>
      </c>
      <c r="K121" s="240">
        <f t="shared" ca="1" si="24"/>
        <v>4.9995928269470413E-2</v>
      </c>
      <c r="L121" s="27">
        <f>INDEX(coincidenciaP01,MATCH(F121,indicep01,0),7)</f>
        <v>157932.09899999999</v>
      </c>
      <c r="M121" s="240">
        <f t="shared" si="25"/>
        <v>0.99544419365553782</v>
      </c>
      <c r="N121" s="27">
        <f t="shared" si="37"/>
        <v>722.80100000000675</v>
      </c>
      <c r="O121" s="240">
        <f t="shared" si="26"/>
        <v>4.5558063444621428E-3</v>
      </c>
      <c r="P121" s="27">
        <f>+'Prog 01'!Q121</f>
        <v>277083.87493400002</v>
      </c>
      <c r="Q121" s="27">
        <f ca="1">+'Prog 01'!R121</f>
        <v>46141.274026000006</v>
      </c>
      <c r="R121" s="240">
        <f t="shared" ca="1" si="18"/>
        <v>0.16652457324335682</v>
      </c>
      <c r="T121" s="858"/>
      <c r="V121" s="859"/>
      <c r="W121" s="109"/>
      <c r="X121" s="109"/>
      <c r="Y121" s="109"/>
      <c r="Z121" s="113"/>
    </row>
    <row r="122" spans="2:26" ht="15" hidden="1" customHeight="1" outlineLevel="2" x14ac:dyDescent="0.2">
      <c r="B122" s="382"/>
      <c r="C122" s="24"/>
      <c r="D122" s="25" t="s">
        <v>161</v>
      </c>
      <c r="E122" s="26"/>
      <c r="F122" s="26" t="str">
        <f>+CONCATENATE($B$80,"",$C$120,"",D122)</f>
        <v>22.07.002</v>
      </c>
      <c r="G122" s="384" t="s">
        <v>66</v>
      </c>
      <c r="H122" s="27">
        <f>+VLOOKUP(F122,matriz01,3,FALSE)</f>
        <v>7010</v>
      </c>
      <c r="I122" s="27">
        <f>+VLOOKUP(F122,matriz01,4,FALSE)</f>
        <v>287.89999999999998</v>
      </c>
      <c r="J122" s="27">
        <f ca="1">+VLOOKUP(F122,matriz01,5,FALSE)</f>
        <v>286.89999999999998</v>
      </c>
      <c r="K122" s="240">
        <f t="shared" ref="K122:K190" ca="1" si="43">IFERROR(J122/I122,"0.00%")</f>
        <v>0.99652657172629389</v>
      </c>
      <c r="L122" s="27">
        <f>INDEX(coincidenciaP01,MATCH(F122,indicep01,0),7)</f>
        <v>286.89999999999998</v>
      </c>
      <c r="M122" s="240">
        <f t="shared" si="25"/>
        <v>0.99652657172629389</v>
      </c>
      <c r="N122" s="27">
        <f t="shared" si="37"/>
        <v>1</v>
      </c>
      <c r="O122" s="240">
        <f t="shared" si="26"/>
        <v>3.4734282737061482E-3</v>
      </c>
      <c r="P122" s="27">
        <f>+'Prog 01'!Q122</f>
        <v>8569.1183240000009</v>
      </c>
      <c r="Q122" s="27">
        <f ca="1">+'Prog 01'!R122</f>
        <v>6589.3183240000008</v>
      </c>
      <c r="R122" s="240">
        <f t="shared" ca="1" si="18"/>
        <v>0.76896106167012945</v>
      </c>
      <c r="T122" s="858"/>
      <c r="V122" s="859"/>
      <c r="W122" s="109"/>
      <c r="X122" s="109"/>
      <c r="Y122" s="109"/>
      <c r="Z122" s="113"/>
    </row>
    <row r="123" spans="2:26" ht="15" hidden="1" customHeight="1" outlineLevel="2" x14ac:dyDescent="0.2">
      <c r="B123" s="382"/>
      <c r="C123" s="24"/>
      <c r="D123" s="25" t="s">
        <v>162</v>
      </c>
      <c r="E123" s="26"/>
      <c r="F123" s="26" t="str">
        <f>+CONCATENATE($B$80,"",$C$120,"",D123)</f>
        <v>22.07.003</v>
      </c>
      <c r="G123" s="384" t="s">
        <v>1157</v>
      </c>
      <c r="H123" s="27">
        <f>+'Prog 01'!I123</f>
        <v>0</v>
      </c>
      <c r="I123" s="27">
        <f>+'Prog 01'!J123</f>
        <v>2481.15</v>
      </c>
      <c r="J123" s="27">
        <f ca="1">+'Prog 01'!K123</f>
        <v>0</v>
      </c>
      <c r="K123" s="240">
        <f ca="1">+'Prog 01'!L123</f>
        <v>0</v>
      </c>
      <c r="L123" s="27">
        <f>+'Prog 01'!M123</f>
        <v>2481.15</v>
      </c>
      <c r="M123" s="240">
        <f>+'Prog 01'!N123</f>
        <v>1</v>
      </c>
      <c r="N123" s="27">
        <f>+'Prog 01'!O123</f>
        <v>0</v>
      </c>
      <c r="O123" s="240">
        <f>+'Prog 01'!P123</f>
        <v>0</v>
      </c>
      <c r="P123" s="27">
        <f>+'Prog 01'!Q123</f>
        <v>0</v>
      </c>
      <c r="Q123" s="27">
        <f>+'Prog 01'!R123</f>
        <v>0</v>
      </c>
      <c r="R123" s="240" t="str">
        <f>+'Prog 01'!S123</f>
        <v>0,00%</v>
      </c>
      <c r="T123" s="858"/>
      <c r="V123" s="859"/>
      <c r="W123" s="109"/>
      <c r="X123" s="109"/>
      <c r="Y123" s="109"/>
      <c r="Z123" s="113"/>
    </row>
    <row r="124" spans="2:26" s="46" customFormat="1" ht="15" hidden="1" customHeight="1" outlineLevel="1" collapsed="1" x14ac:dyDescent="0.2">
      <c r="B124" s="382"/>
      <c r="C124" s="24" t="s">
        <v>180</v>
      </c>
      <c r="D124" s="25"/>
      <c r="E124" s="26"/>
      <c r="F124" s="26"/>
      <c r="G124" s="383" t="s">
        <v>67</v>
      </c>
      <c r="H124" s="27">
        <f>SUM(H125:H131)</f>
        <v>433516.47200000001</v>
      </c>
      <c r="I124" s="27">
        <f>SUM(I125:I131)</f>
        <v>781249.45200000005</v>
      </c>
      <c r="J124" s="27">
        <f ca="1">SUM(J125:J131)</f>
        <v>424464.06</v>
      </c>
      <c r="K124" s="240">
        <f t="shared" ca="1" si="43"/>
        <v>0.5433143779024372</v>
      </c>
      <c r="L124" s="27">
        <f>SUM(L125:L131)</f>
        <v>651772.13899999997</v>
      </c>
      <c r="M124" s="240">
        <f t="shared" si="25"/>
        <v>0.83426892310959333</v>
      </c>
      <c r="N124" s="27">
        <f>SUM(N125:N131)</f>
        <v>129477.31300000001</v>
      </c>
      <c r="O124" s="240">
        <f t="shared" si="26"/>
        <v>0.16573107689040659</v>
      </c>
      <c r="P124" s="27">
        <f>+P125+P126+P128+P129+P130+P131</f>
        <v>854657.774874</v>
      </c>
      <c r="Q124" s="27">
        <f ca="1">SUM(Q125:Q131)</f>
        <v>541280.89197600004</v>
      </c>
      <c r="R124" s="240">
        <f t="shared" ca="1" si="18"/>
        <v>0.63333056562411749</v>
      </c>
      <c r="S124" s="20"/>
      <c r="T124" s="858"/>
      <c r="U124" s="110"/>
      <c r="V124" s="859"/>
      <c r="W124" s="109"/>
      <c r="X124" s="109"/>
      <c r="Y124" s="109"/>
      <c r="Z124" s="113"/>
    </row>
    <row r="125" spans="2:26" ht="15" hidden="1" customHeight="1" outlineLevel="2" x14ac:dyDescent="0.2">
      <c r="B125" s="382"/>
      <c r="C125" s="24"/>
      <c r="D125" s="25" t="s">
        <v>165</v>
      </c>
      <c r="E125" s="26"/>
      <c r="F125" s="26" t="str">
        <f t="shared" ref="F125:F131" si="44">+CONCATENATE($B$80,"",$C$124,"",D125)</f>
        <v>22.08.001</v>
      </c>
      <c r="G125" s="384" t="s">
        <v>68</v>
      </c>
      <c r="H125" s="27">
        <f t="shared" ref="H125:H131" si="45">+VLOOKUP(F125,matriz01,3,FALSE)</f>
        <v>118014.527</v>
      </c>
      <c r="I125" s="27">
        <f t="shared" ref="I125:I131" si="46">+VLOOKUP(F125,matriz01,4,FALSE)</f>
        <v>121752.088</v>
      </c>
      <c r="J125" s="27">
        <f t="shared" ref="J125:J131" ca="1" si="47">+VLOOKUP(F125,matriz01,5,FALSE)</f>
        <v>68704.842000000004</v>
      </c>
      <c r="K125" s="240">
        <f t="shared" ca="1" si="43"/>
        <v>0.56430113954185335</v>
      </c>
      <c r="L125" s="27">
        <f t="shared" ref="L125:L131" si="48">INDEX(coincidenciaP01,MATCH(F125,indicep01,0),7)</f>
        <v>110080.34699999999</v>
      </c>
      <c r="M125" s="240">
        <f t="shared" si="25"/>
        <v>0.90413518821952354</v>
      </c>
      <c r="N125" s="27">
        <f t="shared" si="37"/>
        <v>11671.741000000009</v>
      </c>
      <c r="O125" s="240">
        <f t="shared" si="26"/>
        <v>9.5864811780476483E-2</v>
      </c>
      <c r="P125" s="27">
        <f>+'Prog 01'!Q125</f>
        <v>129291.58194600001</v>
      </c>
      <c r="Q125" s="27">
        <f ca="1">+'Prog 01'!R125</f>
        <v>57086.938018000001</v>
      </c>
      <c r="R125" s="240">
        <f t="shared" ca="1" si="18"/>
        <v>0.44153638743350643</v>
      </c>
      <c r="T125" s="858"/>
      <c r="V125" s="859"/>
      <c r="W125" s="109"/>
      <c r="X125" s="109"/>
      <c r="Y125" s="109"/>
      <c r="Z125" s="113"/>
    </row>
    <row r="126" spans="2:26" ht="15" hidden="1" customHeight="1" outlineLevel="2" x14ac:dyDescent="0.2">
      <c r="B126" s="382"/>
      <c r="C126" s="24"/>
      <c r="D126" s="30" t="s">
        <v>161</v>
      </c>
      <c r="E126" s="26"/>
      <c r="F126" s="26" t="str">
        <f t="shared" si="44"/>
        <v>22.08.002</v>
      </c>
      <c r="G126" s="384" t="s">
        <v>69</v>
      </c>
      <c r="H126" s="27">
        <f t="shared" si="45"/>
        <v>500</v>
      </c>
      <c r="I126" s="27">
        <f t="shared" si="46"/>
        <v>13342.777</v>
      </c>
      <c r="J126" s="27">
        <f t="shared" ca="1" si="47"/>
        <v>6804.3850000000002</v>
      </c>
      <c r="K126" s="240">
        <f t="shared" ca="1" si="43"/>
        <v>0.50996767764311735</v>
      </c>
      <c r="L126" s="27">
        <f t="shared" si="48"/>
        <v>12775.58</v>
      </c>
      <c r="M126" s="240">
        <f t="shared" si="25"/>
        <v>0.95749033353401614</v>
      </c>
      <c r="N126" s="27">
        <f t="shared" si="37"/>
        <v>567.19700000000012</v>
      </c>
      <c r="O126" s="240">
        <f t="shared" si="26"/>
        <v>4.2509666465983816E-2</v>
      </c>
      <c r="P126" s="27">
        <f>+'Prog 01'!Q126</f>
        <v>33228.329663999997</v>
      </c>
      <c r="Q126" s="27">
        <f ca="1">+'Prog 01'!R126</f>
        <v>18824.171808000003</v>
      </c>
      <c r="R126" s="240">
        <f t="shared" ca="1" si="18"/>
        <v>0.5665097222264035</v>
      </c>
      <c r="T126" s="858"/>
      <c r="V126" s="859"/>
      <c r="W126" s="109"/>
      <c r="X126" s="109"/>
      <c r="Y126" s="109"/>
      <c r="Z126" s="113"/>
    </row>
    <row r="127" spans="2:26" ht="15" hidden="1" customHeight="1" outlineLevel="2" x14ac:dyDescent="0.2">
      <c r="B127" s="382"/>
      <c r="C127" s="24"/>
      <c r="D127" s="30" t="s">
        <v>162</v>
      </c>
      <c r="E127" s="26"/>
      <c r="F127" s="26" t="str">
        <f t="shared" si="44"/>
        <v>22.08.003</v>
      </c>
      <c r="G127" s="384" t="s">
        <v>985</v>
      </c>
      <c r="H127" s="27">
        <v>0</v>
      </c>
      <c r="I127" s="27">
        <f>+'Prog 01'!J127</f>
        <v>0</v>
      </c>
      <c r="J127" s="27">
        <f ca="1">+'Prog 01'!K127</f>
        <v>0</v>
      </c>
      <c r="K127" s="240" t="str">
        <f t="shared" ca="1" si="43"/>
        <v>0.00%</v>
      </c>
      <c r="L127" s="27">
        <f>+'Prog 01'!M127</f>
        <v>0</v>
      </c>
      <c r="M127" s="240">
        <f t="shared" si="25"/>
        <v>0</v>
      </c>
      <c r="N127" s="27">
        <f>+'Prog 01'!O127</f>
        <v>0</v>
      </c>
      <c r="O127" s="240">
        <f t="shared" si="26"/>
        <v>0</v>
      </c>
      <c r="P127" s="27">
        <v>0</v>
      </c>
      <c r="Q127" s="27">
        <v>0</v>
      </c>
      <c r="R127" s="240" t="str">
        <f t="shared" si="18"/>
        <v>0.00%</v>
      </c>
      <c r="T127" s="858"/>
      <c r="V127" s="859"/>
      <c r="W127" s="109"/>
      <c r="X127" s="109"/>
      <c r="Y127" s="109"/>
      <c r="Z127" s="113"/>
    </row>
    <row r="128" spans="2:26" ht="15" hidden="1" customHeight="1" outlineLevel="2" x14ac:dyDescent="0.2">
      <c r="B128" s="382"/>
      <c r="C128" s="24"/>
      <c r="D128" s="25" t="s">
        <v>166</v>
      </c>
      <c r="E128" s="26"/>
      <c r="F128" s="26" t="str">
        <f t="shared" si="44"/>
        <v>22.08.007</v>
      </c>
      <c r="G128" s="398" t="s">
        <v>113</v>
      </c>
      <c r="H128" s="399">
        <f>+VLOOKUP(F128,matriz01,3,FALSE)+147200</f>
        <v>195703.899</v>
      </c>
      <c r="I128" s="399">
        <f>+VLOOKUP(F128,matriz01,4,FALSE)</f>
        <v>170112.65599999999</v>
      </c>
      <c r="J128" s="399">
        <f t="shared" ca="1" si="47"/>
        <v>109083.47</v>
      </c>
      <c r="K128" s="240">
        <f t="shared" ca="1" si="43"/>
        <v>0.64124253047933133</v>
      </c>
      <c r="L128" s="399">
        <f t="shared" si="48"/>
        <v>140358.43100000001</v>
      </c>
      <c r="M128" s="240">
        <f t="shared" si="25"/>
        <v>0.82509105612929834</v>
      </c>
      <c r="N128" s="399">
        <f t="shared" si="37"/>
        <v>29754.224999999977</v>
      </c>
      <c r="O128" s="240">
        <f t="shared" si="26"/>
        <v>0.17490894387070166</v>
      </c>
      <c r="P128" s="27">
        <f>+'Prog 01'!Q128</f>
        <v>162738.35023800001</v>
      </c>
      <c r="Q128" s="27">
        <f ca="1">+'Prog 01'!R128</f>
        <v>119647.297804</v>
      </c>
      <c r="R128" s="240">
        <f t="shared" ca="1" si="18"/>
        <v>0.73521267500266152</v>
      </c>
      <c r="T128" s="858"/>
      <c r="V128" s="859"/>
      <c r="W128" s="109"/>
      <c r="X128" s="109"/>
      <c r="Y128" s="109"/>
      <c r="Z128" s="113"/>
    </row>
    <row r="129" spans="2:26" ht="15" hidden="1" customHeight="1" outlineLevel="2" x14ac:dyDescent="0.2">
      <c r="B129" s="382"/>
      <c r="C129" s="24"/>
      <c r="D129" s="25" t="s">
        <v>167</v>
      </c>
      <c r="E129" s="26"/>
      <c r="F129" s="26" t="str">
        <f t="shared" si="44"/>
        <v>22.08.008</v>
      </c>
      <c r="G129" s="384" t="s">
        <v>114</v>
      </c>
      <c r="H129" s="27">
        <f t="shared" si="45"/>
        <v>41983.249000000003</v>
      </c>
      <c r="I129" s="27">
        <f t="shared" si="46"/>
        <v>84496.68</v>
      </c>
      <c r="J129" s="27">
        <f t="shared" ca="1" si="47"/>
        <v>41539.165000000001</v>
      </c>
      <c r="K129" s="240">
        <f t="shared" ca="1" si="43"/>
        <v>0.49160706669185111</v>
      </c>
      <c r="L129" s="27">
        <f t="shared" si="48"/>
        <v>70633.519</v>
      </c>
      <c r="M129" s="240">
        <f t="shared" si="25"/>
        <v>0.83593247687364769</v>
      </c>
      <c r="N129" s="27">
        <f t="shared" si="37"/>
        <v>13863.160999999993</v>
      </c>
      <c r="O129" s="240">
        <f t="shared" si="26"/>
        <v>0.16406752312635234</v>
      </c>
      <c r="P129" s="27">
        <f>+'Prog 01'!Q129</f>
        <v>80244.421042000002</v>
      </c>
      <c r="Q129" s="27">
        <f ca="1">+'Prog 01'!R129</f>
        <v>43364.270044000004</v>
      </c>
      <c r="R129" s="240">
        <f t="shared" ca="1" si="18"/>
        <v>0.54040230437083103</v>
      </c>
      <c r="T129" s="858"/>
      <c r="V129" s="859"/>
      <c r="W129" s="109"/>
      <c r="X129" s="109"/>
      <c r="Y129" s="109"/>
      <c r="Z129" s="113"/>
    </row>
    <row r="130" spans="2:26" ht="15" hidden="1" customHeight="1" outlineLevel="2" x14ac:dyDescent="0.2">
      <c r="B130" s="382"/>
      <c r="C130" s="24"/>
      <c r="D130" s="25" t="s">
        <v>169</v>
      </c>
      <c r="E130" s="26"/>
      <c r="F130" s="26" t="str">
        <f t="shared" si="44"/>
        <v>22.08.010</v>
      </c>
      <c r="G130" s="384" t="s">
        <v>70</v>
      </c>
      <c r="H130" s="27">
        <f t="shared" si="45"/>
        <v>3000</v>
      </c>
      <c r="I130" s="27">
        <f t="shared" si="46"/>
        <v>2793.7750000000001</v>
      </c>
      <c r="J130" s="27">
        <f t="shared" ca="1" si="47"/>
        <v>2515.62</v>
      </c>
      <c r="K130" s="240">
        <f t="shared" ca="1" si="43"/>
        <v>0.90043757997691287</v>
      </c>
      <c r="L130" s="27">
        <f t="shared" si="48"/>
        <v>2649.31</v>
      </c>
      <c r="M130" s="240">
        <f t="shared" si="25"/>
        <v>0.94829039561167228</v>
      </c>
      <c r="N130" s="27">
        <f t="shared" si="37"/>
        <v>144.46500000000015</v>
      </c>
      <c r="O130" s="240">
        <f t="shared" si="26"/>
        <v>5.1709604388327675E-2</v>
      </c>
      <c r="P130" s="27">
        <f>+'Prog 01'!Q130</f>
        <v>2904.9709600000001</v>
      </c>
      <c r="Q130" s="27">
        <f ca="1">+'Prog 01'!R130</f>
        <v>2214.6428339999998</v>
      </c>
      <c r="R130" s="240">
        <f t="shared" ca="1" si="18"/>
        <v>0.76236315766819218</v>
      </c>
      <c r="T130" s="858"/>
      <c r="V130" s="859"/>
      <c r="W130" s="109"/>
      <c r="X130" s="109"/>
      <c r="Y130" s="109"/>
      <c r="Z130" s="113"/>
    </row>
    <row r="131" spans="2:26" ht="15" hidden="1" customHeight="1" outlineLevel="2" x14ac:dyDescent="0.2">
      <c r="B131" s="382"/>
      <c r="C131" s="24"/>
      <c r="D131" s="25" t="s">
        <v>173</v>
      </c>
      <c r="E131" s="26"/>
      <c r="F131" s="26" t="str">
        <f t="shared" si="44"/>
        <v>22.08.999</v>
      </c>
      <c r="G131" s="384" t="s">
        <v>109</v>
      </c>
      <c r="H131" s="27">
        <f t="shared" si="45"/>
        <v>74314.797000000006</v>
      </c>
      <c r="I131" s="27">
        <f t="shared" si="46"/>
        <v>388751.47600000002</v>
      </c>
      <c r="J131" s="27">
        <f t="shared" ca="1" si="47"/>
        <v>195816.57800000001</v>
      </c>
      <c r="K131" s="240">
        <f t="shared" ca="1" si="43"/>
        <v>0.5037063267638886</v>
      </c>
      <c r="L131" s="27">
        <f t="shared" si="48"/>
        <v>315274.95199999999</v>
      </c>
      <c r="M131" s="240">
        <f t="shared" si="25"/>
        <v>0.81099358192533255</v>
      </c>
      <c r="N131" s="27">
        <f t="shared" si="37"/>
        <v>73476.524000000034</v>
      </c>
      <c r="O131" s="240">
        <f t="shared" si="26"/>
        <v>0.18900641807466739</v>
      </c>
      <c r="P131" s="27">
        <f>+'Prog 01'!Q131</f>
        <v>446250.12102399999</v>
      </c>
      <c r="Q131" s="27">
        <f ca="1">+'Prog 01'!R131</f>
        <v>300143.57146800007</v>
      </c>
      <c r="R131" s="240">
        <f t="shared" ca="1" si="18"/>
        <v>0.67259045393481898</v>
      </c>
      <c r="T131" s="858"/>
      <c r="V131" s="859"/>
      <c r="W131" s="109"/>
      <c r="X131" s="109"/>
      <c r="Y131" s="109"/>
      <c r="Z131" s="113"/>
    </row>
    <row r="132" spans="2:26" s="46" customFormat="1" ht="15" hidden="1" customHeight="1" outlineLevel="1" collapsed="1" x14ac:dyDescent="0.2">
      <c r="B132" s="382"/>
      <c r="C132" s="24" t="s">
        <v>181</v>
      </c>
      <c r="D132" s="25"/>
      <c r="E132" s="26"/>
      <c r="F132" s="26"/>
      <c r="G132" s="383" t="s">
        <v>115</v>
      </c>
      <c r="H132" s="27">
        <f>SUM(H133:H136)</f>
        <v>1017845.671</v>
      </c>
      <c r="I132" s="27">
        <f>SUM(I133:I136)</f>
        <v>1014324.047</v>
      </c>
      <c r="J132" s="27">
        <f ca="1">SUM(J133:J136)</f>
        <v>557267.54200000013</v>
      </c>
      <c r="K132" s="240">
        <f t="shared" ca="1" si="43"/>
        <v>0.54939794008452614</v>
      </c>
      <c r="L132" s="27">
        <f>SUM(L133:L136)</f>
        <v>1014323.6849999999</v>
      </c>
      <c r="M132" s="240">
        <f t="shared" si="25"/>
        <v>0.99999964311207923</v>
      </c>
      <c r="N132" s="27">
        <f>SUM(N133:N136)</f>
        <v>0.36200000000098953</v>
      </c>
      <c r="O132" s="240">
        <f t="shared" si="26"/>
        <v>3.5688792065184028E-7</v>
      </c>
      <c r="P132" s="27">
        <f>SUM(P133:P136)</f>
        <v>1107110.211936</v>
      </c>
      <c r="Q132" s="27">
        <f ca="1">SUM(Q133:Q136)</f>
        <v>524992.59909800009</v>
      </c>
      <c r="R132" s="240">
        <f t="shared" ca="1" si="18"/>
        <v>0.47420084598438239</v>
      </c>
      <c r="S132" s="20"/>
      <c r="T132" s="858"/>
      <c r="U132" s="110"/>
      <c r="V132" s="859"/>
      <c r="W132" s="109"/>
      <c r="X132" s="109"/>
      <c r="Y132" s="109"/>
      <c r="Z132" s="113"/>
    </row>
    <row r="133" spans="2:26" ht="15" hidden="1" customHeight="1" outlineLevel="2" x14ac:dyDescent="0.2">
      <c r="B133" s="382"/>
      <c r="C133" s="24"/>
      <c r="D133" s="25" t="s">
        <v>161</v>
      </c>
      <c r="E133" s="26"/>
      <c r="F133" s="26" t="str">
        <f>+CONCATENATE($B$80,"",$C$132,"",D133)</f>
        <v>22.09.002</v>
      </c>
      <c r="G133" s="384" t="s">
        <v>71</v>
      </c>
      <c r="H133" s="27">
        <f>+VLOOKUP(F133,matriz01,3,FALSE)</f>
        <v>874508.88199999998</v>
      </c>
      <c r="I133" s="27">
        <f>+VLOOKUP(F133,matriz01,4,FALSE)</f>
        <v>845657.38899999997</v>
      </c>
      <c r="J133" s="27">
        <f ca="1">+VLOOKUP(F133,matriz01,5,FALSE)</f>
        <v>453954.63</v>
      </c>
      <c r="K133" s="240">
        <f t="shared" ca="1" si="43"/>
        <v>0.5368067918578785</v>
      </c>
      <c r="L133" s="27">
        <f>INDEX(coincidenciaP01,MATCH(F133,indicep01,0),7)</f>
        <v>845657.38899999997</v>
      </c>
      <c r="M133" s="240">
        <f t="shared" si="25"/>
        <v>1</v>
      </c>
      <c r="N133" s="27">
        <f t="shared" si="37"/>
        <v>0</v>
      </c>
      <c r="O133" s="240">
        <f t="shared" si="26"/>
        <v>0</v>
      </c>
      <c r="P133" s="27">
        <f>+'Prog 01'!Q133</f>
        <v>926670.19793599995</v>
      </c>
      <c r="Q133" s="27">
        <f ca="1">+'Prog 01'!R133</f>
        <v>423388.13357000006</v>
      </c>
      <c r="R133" s="240">
        <f t="shared" ca="1" si="18"/>
        <v>0.4568919282318834</v>
      </c>
      <c r="T133" s="858"/>
      <c r="V133" s="859"/>
      <c r="W133" s="109"/>
      <c r="X133" s="109"/>
      <c r="Y133" s="109"/>
      <c r="Z133" s="113"/>
    </row>
    <row r="134" spans="2:26" ht="15" hidden="1" customHeight="1" outlineLevel="2" x14ac:dyDescent="0.2">
      <c r="B134" s="382"/>
      <c r="C134" s="24"/>
      <c r="D134" s="25" t="s">
        <v>176</v>
      </c>
      <c r="E134" s="26"/>
      <c r="F134" s="26" t="str">
        <f>+CONCATENATE($B$80,"",$C$132,"",D134)</f>
        <v>22.09.005</v>
      </c>
      <c r="G134" s="384" t="s">
        <v>116</v>
      </c>
      <c r="H134" s="27">
        <f>+VLOOKUP(F134,matriz01,3,FALSE)</f>
        <v>28000</v>
      </c>
      <c r="I134" s="27">
        <f>+VLOOKUP(F134,matriz01,4,FALSE)</f>
        <v>28000</v>
      </c>
      <c r="J134" s="27">
        <f ca="1">+VLOOKUP(F134,matriz01,5,FALSE)</f>
        <v>13717.465</v>
      </c>
      <c r="K134" s="240">
        <f t="shared" ca="1" si="43"/>
        <v>0.4899094642857143</v>
      </c>
      <c r="L134" s="27">
        <f>INDEX(coincidenciaP01,MATCH(F134,indicep01,0),7)</f>
        <v>28000</v>
      </c>
      <c r="M134" s="240">
        <f t="shared" si="25"/>
        <v>1</v>
      </c>
      <c r="N134" s="27">
        <f t="shared" si="37"/>
        <v>0</v>
      </c>
      <c r="O134" s="240">
        <f t="shared" si="26"/>
        <v>0</v>
      </c>
      <c r="P134" s="27">
        <f>+'Prog 01'!Q134</f>
        <v>28134</v>
      </c>
      <c r="Q134" s="27">
        <f ca="1">+'Prog 01'!R134</f>
        <v>14363.277070000002</v>
      </c>
      <c r="R134" s="240">
        <f t="shared" ca="1" si="18"/>
        <v>0.51053092592592597</v>
      </c>
      <c r="T134" s="858"/>
      <c r="V134" s="859"/>
      <c r="W134" s="109"/>
      <c r="X134" s="109"/>
      <c r="Y134" s="109"/>
      <c r="Z134" s="113"/>
    </row>
    <row r="135" spans="2:26" ht="15" hidden="1" customHeight="1" outlineLevel="2" x14ac:dyDescent="0.2">
      <c r="B135" s="382"/>
      <c r="C135" s="24"/>
      <c r="D135" s="25" t="s">
        <v>177</v>
      </c>
      <c r="E135" s="26"/>
      <c r="F135" s="26" t="str">
        <f>+CONCATENATE($B$80,"",$C$132,"",D135)</f>
        <v>22.09.006</v>
      </c>
      <c r="G135" s="384" t="s">
        <v>117</v>
      </c>
      <c r="H135" s="27">
        <f>+VLOOKUP(F135,matriz01,3,FALSE)</f>
        <v>112000</v>
      </c>
      <c r="I135" s="27">
        <f>+VLOOKUP(F135,matriz01,4,FALSE)</f>
        <v>112000</v>
      </c>
      <c r="J135" s="27">
        <f ca="1">+VLOOKUP(F135,matriz01,5,FALSE)</f>
        <v>72873.441000000006</v>
      </c>
      <c r="K135" s="240">
        <f t="shared" ca="1" si="43"/>
        <v>0.65065572321428577</v>
      </c>
      <c r="L135" s="27">
        <f>INDEX(coincidenciaP01,MATCH(F135,indicep01,0),7)</f>
        <v>112000</v>
      </c>
      <c r="M135" s="240">
        <f t="shared" si="25"/>
        <v>1</v>
      </c>
      <c r="N135" s="27">
        <f t="shared" si="37"/>
        <v>0</v>
      </c>
      <c r="O135" s="240">
        <f t="shared" si="26"/>
        <v>0</v>
      </c>
      <c r="P135" s="27">
        <f>+'Prog 01'!Q135</f>
        <v>122057.796</v>
      </c>
      <c r="Q135" s="27">
        <f ca="1">+'Prog 01'!R135</f>
        <v>69444.864205999998</v>
      </c>
      <c r="R135" s="240">
        <f t="shared" ca="1" si="18"/>
        <v>0.5689506650275743</v>
      </c>
      <c r="T135" s="858"/>
      <c r="V135" s="859"/>
      <c r="W135" s="109"/>
      <c r="X135" s="109"/>
      <c r="Y135" s="109"/>
      <c r="Z135" s="113"/>
    </row>
    <row r="136" spans="2:26" ht="15" hidden="1" customHeight="1" outlineLevel="2" x14ac:dyDescent="0.2">
      <c r="B136" s="382"/>
      <c r="C136" s="24"/>
      <c r="D136" s="25" t="s">
        <v>173</v>
      </c>
      <c r="E136" s="26"/>
      <c r="F136" s="26" t="str">
        <f>+CONCATENATE($B$80,"",$C$132,"",D136)</f>
        <v>22.09.999</v>
      </c>
      <c r="G136" s="384" t="s">
        <v>109</v>
      </c>
      <c r="H136" s="27">
        <f>+VLOOKUP(F136,matriz01,3,FALSE)</f>
        <v>3336.7890000000002</v>
      </c>
      <c r="I136" s="27">
        <f>+VLOOKUP(F136,matriz01,4,FALSE)</f>
        <v>28666.657999999999</v>
      </c>
      <c r="J136" s="27">
        <f ca="1">+VLOOKUP(F136,matriz01,5,FALSE)</f>
        <v>16722.006000000001</v>
      </c>
      <c r="K136" s="240">
        <f t="shared" ca="1" si="43"/>
        <v>0.58332596705203665</v>
      </c>
      <c r="L136" s="27">
        <f>INDEX(coincidenciaP01,MATCH(F136,indicep01,0),7)</f>
        <v>28666.295999999998</v>
      </c>
      <c r="M136" s="240">
        <f t="shared" si="25"/>
        <v>0.99998737208920552</v>
      </c>
      <c r="N136" s="27">
        <f t="shared" si="37"/>
        <v>0.36200000000098953</v>
      </c>
      <c r="O136" s="240">
        <f t="shared" si="26"/>
        <v>1.2627910794519177E-5</v>
      </c>
      <c r="P136" s="27">
        <f>+'Prog 01'!Q136</f>
        <v>30248.218000000001</v>
      </c>
      <c r="Q136" s="27">
        <f ca="1">+'Prog 01'!R136</f>
        <v>17796.324252000002</v>
      </c>
      <c r="R136" s="240">
        <f t="shared" ca="1" si="18"/>
        <v>0.58834289848082955</v>
      </c>
      <c r="T136" s="858"/>
      <c r="V136" s="859"/>
      <c r="W136" s="109"/>
      <c r="X136" s="109"/>
      <c r="Y136" s="109"/>
      <c r="Z136" s="113"/>
    </row>
    <row r="137" spans="2:26" s="46" customFormat="1" ht="15" hidden="1" customHeight="1" outlineLevel="1" collapsed="1" x14ac:dyDescent="0.2">
      <c r="B137" s="382"/>
      <c r="C137" s="24" t="s">
        <v>182</v>
      </c>
      <c r="D137" s="25"/>
      <c r="E137" s="26"/>
      <c r="F137" s="26"/>
      <c r="G137" s="383" t="s">
        <v>118</v>
      </c>
      <c r="H137" s="27">
        <f>SUM(H138:H139)</f>
        <v>5000</v>
      </c>
      <c r="I137" s="27">
        <f>SUM(I138:I139)</f>
        <v>19931.522000000001</v>
      </c>
      <c r="J137" s="27">
        <f ca="1">SUM(J138:J139)</f>
        <v>7431.521999999999</v>
      </c>
      <c r="K137" s="240">
        <f t="shared" ca="1" si="43"/>
        <v>0.3728527103951218</v>
      </c>
      <c r="L137" s="27">
        <f>SUM(L138:L139)</f>
        <v>7431.5219999999999</v>
      </c>
      <c r="M137" s="240">
        <f t="shared" si="25"/>
        <v>0.37285271039512186</v>
      </c>
      <c r="N137" s="27">
        <f>SUM(N138:N138)</f>
        <v>12500</v>
      </c>
      <c r="O137" s="240">
        <f t="shared" si="26"/>
        <v>0.62714728960487809</v>
      </c>
      <c r="P137" s="27">
        <f>SUM(P138:P139)</f>
        <v>15268.373900000001</v>
      </c>
      <c r="Q137" s="27">
        <f ca="1">+Q139+Q138</f>
        <v>14644.359696000001</v>
      </c>
      <c r="R137" s="240">
        <f t="shared" ca="1" si="18"/>
        <v>0.95913027752090885</v>
      </c>
      <c r="S137" s="20"/>
      <c r="T137" s="858"/>
      <c r="U137" s="110"/>
      <c r="V137" s="859"/>
      <c r="W137" s="109"/>
      <c r="X137" s="109"/>
      <c r="Y137" s="109"/>
      <c r="Z137" s="113"/>
    </row>
    <row r="138" spans="2:26" ht="15" hidden="1" customHeight="1" outlineLevel="2" x14ac:dyDescent="0.2">
      <c r="B138" s="382"/>
      <c r="C138" s="24"/>
      <c r="D138" s="25" t="s">
        <v>161</v>
      </c>
      <c r="E138" s="26"/>
      <c r="F138" s="26" t="str">
        <f>+CONCATENATE($B$80,"",$C$137,"",D138)</f>
        <v>22.10.002</v>
      </c>
      <c r="G138" s="384" t="s">
        <v>119</v>
      </c>
      <c r="H138" s="27">
        <f>+VLOOKUP(F138,matriz01,3,FALSE)</f>
        <v>5000</v>
      </c>
      <c r="I138" s="27">
        <f>+VLOOKUP(F138,matriz01,4,FALSE)</f>
        <v>19911.434000000001</v>
      </c>
      <c r="J138" s="27">
        <f ca="1">+VLOOKUP(F138,matriz01,5,FALSE)</f>
        <v>7411.4339999999993</v>
      </c>
      <c r="K138" s="240">
        <f t="shared" ca="1" si="43"/>
        <v>0.37222000183412196</v>
      </c>
      <c r="L138" s="27">
        <f>INDEX(coincidenciaP01,MATCH(F138,indicep01,0),7)</f>
        <v>7411.4340000000002</v>
      </c>
      <c r="M138" s="240">
        <f t="shared" si="25"/>
        <v>0.37222000183412202</v>
      </c>
      <c r="N138" s="27">
        <f t="shared" si="37"/>
        <v>12500</v>
      </c>
      <c r="O138" s="240">
        <f t="shared" si="26"/>
        <v>0.62777999816587793</v>
      </c>
      <c r="P138" s="27">
        <f>+'Prog 01'!Q138</f>
        <v>15227.26179</v>
      </c>
      <c r="Q138" s="27">
        <f ca="1">+'Prog 01'!R138</f>
        <v>14603.247586000001</v>
      </c>
      <c r="R138" s="240">
        <f t="shared" ca="1" si="18"/>
        <v>0.95901993328769064</v>
      </c>
      <c r="T138" s="858"/>
      <c r="V138" s="859"/>
      <c r="W138" s="109"/>
      <c r="X138" s="109"/>
      <c r="Y138" s="109"/>
      <c r="Z138" s="113"/>
    </row>
    <row r="139" spans="2:26" ht="15" hidden="1" customHeight="1" outlineLevel="2" x14ac:dyDescent="0.2">
      <c r="B139" s="382"/>
      <c r="C139" s="24"/>
      <c r="D139" s="25" t="s">
        <v>175</v>
      </c>
      <c r="E139" s="26"/>
      <c r="F139" s="26" t="str">
        <f>+CONCATENATE($B$80,"",$C$137,"",D139)</f>
        <v>22.10.004</v>
      </c>
      <c r="G139" s="385" t="s">
        <v>72</v>
      </c>
      <c r="H139" s="27">
        <f>+'Prog 01'!I139</f>
        <v>0</v>
      </c>
      <c r="I139" s="27">
        <f>+VLOOKUP(F139,matriz01,4,FALSE)</f>
        <v>20.088000000000001</v>
      </c>
      <c r="J139" s="27">
        <f ca="1">+'Prog 01'!K139</f>
        <v>20.088000000000001</v>
      </c>
      <c r="K139" s="240">
        <f t="shared" ca="1" si="43"/>
        <v>1</v>
      </c>
      <c r="L139" s="27">
        <f>INDEX(coincidenciaP01,MATCH(F139,indicep01,0),7)</f>
        <v>20.088000000000001</v>
      </c>
      <c r="M139" s="240">
        <f t="shared" si="25"/>
        <v>1</v>
      </c>
      <c r="N139" s="27">
        <f t="shared" si="37"/>
        <v>0</v>
      </c>
      <c r="O139" s="240">
        <f t="shared" si="26"/>
        <v>0</v>
      </c>
      <c r="P139" s="27">
        <f>+'Prog 01'!Q139</f>
        <v>41.112110000000001</v>
      </c>
      <c r="Q139" s="27">
        <f ca="1">+'Prog 01'!R139</f>
        <v>41.112110000000001</v>
      </c>
      <c r="R139" s="240">
        <f t="shared" ca="1" si="18"/>
        <v>1</v>
      </c>
      <c r="T139" s="858"/>
      <c r="V139" s="859"/>
      <c r="W139" s="109"/>
      <c r="X139" s="109"/>
      <c r="Y139" s="109"/>
      <c r="Z139" s="113"/>
    </row>
    <row r="140" spans="2:26" s="46" customFormat="1" ht="15" hidden="1" customHeight="1" outlineLevel="1" collapsed="1" x14ac:dyDescent="0.2">
      <c r="B140" s="382"/>
      <c r="C140" s="24" t="s">
        <v>183</v>
      </c>
      <c r="D140" s="25"/>
      <c r="E140" s="26"/>
      <c r="F140" s="26"/>
      <c r="G140" s="383" t="s">
        <v>73</v>
      </c>
      <c r="H140" s="27">
        <f>SUM(H141:H144)</f>
        <v>1263759.7879999999</v>
      </c>
      <c r="I140" s="27">
        <f>SUM(I141:I144)</f>
        <v>2190322.87</v>
      </c>
      <c r="J140" s="27">
        <f ca="1">SUM(J141:J144)</f>
        <v>900083.72</v>
      </c>
      <c r="K140" s="240">
        <f t="shared" ca="1" si="43"/>
        <v>0.41093654836375787</v>
      </c>
      <c r="L140" s="27">
        <f>SUM(L141:L144)</f>
        <v>1411445.895</v>
      </c>
      <c r="M140" s="240">
        <f t="shared" si="25"/>
        <v>0.64440083895028677</v>
      </c>
      <c r="N140" s="27">
        <f>SUM(N141:N144)</f>
        <v>778876.97499999986</v>
      </c>
      <c r="O140" s="240">
        <f t="shared" si="26"/>
        <v>0.35559916104971312</v>
      </c>
      <c r="P140" s="27">
        <f>+'Prog 01'!Q140</f>
        <v>2212803.387232</v>
      </c>
      <c r="Q140" s="27">
        <f ca="1">SUM(Q141:Q144)</f>
        <v>1057610.5271039999</v>
      </c>
      <c r="R140" s="240">
        <f t="shared" ref="R140:R208" ca="1" si="49">IFERROR(Q140/P140,"0.00%")</f>
        <v>0.47795051887866408</v>
      </c>
      <c r="S140" s="20"/>
      <c r="T140" s="858"/>
      <c r="U140" s="110"/>
      <c r="V140" s="859"/>
      <c r="W140" s="109"/>
      <c r="X140" s="109"/>
      <c r="Y140" s="109"/>
      <c r="Z140" s="113"/>
    </row>
    <row r="141" spans="2:26" ht="15" hidden="1" customHeight="1" outlineLevel="2" x14ac:dyDescent="0.2">
      <c r="B141" s="382"/>
      <c r="C141" s="24"/>
      <c r="D141" s="25" t="s">
        <v>165</v>
      </c>
      <c r="E141" s="26"/>
      <c r="F141" s="26" t="str">
        <f>+CONCATENATE($B$80,"",$C$140,"",D141)</f>
        <v>22.11.001</v>
      </c>
      <c r="G141" s="384" t="s">
        <v>74</v>
      </c>
      <c r="H141" s="27">
        <f>+VLOOKUP(F141,matriz01,3,FALSE)</f>
        <v>311405.04100000003</v>
      </c>
      <c r="I141" s="27">
        <f>+VLOOKUP(F141,matriz01,4,FALSE)</f>
        <v>1115088.5149999999</v>
      </c>
      <c r="J141" s="27">
        <f ca="1">+VLOOKUP(F141,matriz01,5,FALSE)</f>
        <v>397693.40900000004</v>
      </c>
      <c r="K141" s="240">
        <f t="shared" ca="1" si="43"/>
        <v>0.35664739045402155</v>
      </c>
      <c r="L141" s="27">
        <f>INDEX(coincidenciaP01,MATCH(F141,indicep01,0),7)</f>
        <v>699519.91</v>
      </c>
      <c r="M141" s="240">
        <f t="shared" si="25"/>
        <v>0.62732231620195644</v>
      </c>
      <c r="N141" s="27">
        <f t="shared" si="37"/>
        <v>415568.60499999986</v>
      </c>
      <c r="O141" s="240">
        <f t="shared" si="26"/>
        <v>0.3726776837980435</v>
      </c>
      <c r="P141" s="27">
        <f>+'Prog 01'!Q141</f>
        <v>1469959.6772459999</v>
      </c>
      <c r="Q141" s="27">
        <f ca="1">+'Prog 01'!R141</f>
        <v>637367.31000199995</v>
      </c>
      <c r="R141" s="240">
        <f t="shared" ca="1" si="49"/>
        <v>0.43359509778943112</v>
      </c>
      <c r="T141" s="858"/>
      <c r="V141" s="859"/>
      <c r="W141" s="109"/>
      <c r="X141" s="109"/>
      <c r="Y141" s="109"/>
      <c r="Z141" s="113"/>
    </row>
    <row r="142" spans="2:26" ht="15" hidden="1" customHeight="1" outlineLevel="2" collapsed="1" x14ac:dyDescent="0.2">
      <c r="B142" s="382"/>
      <c r="C142" s="24"/>
      <c r="D142" s="25" t="s">
        <v>161</v>
      </c>
      <c r="E142" s="26"/>
      <c r="F142" s="26" t="str">
        <f>+CONCATENATE($B$80,"",$C$140,"",D142)</f>
        <v>22.11.002</v>
      </c>
      <c r="G142" s="384" t="s">
        <v>75</v>
      </c>
      <c r="H142" s="27">
        <f>+VLOOKUP(F142,matriz01,3,FALSE)</f>
        <v>48560</v>
      </c>
      <c r="I142" s="27">
        <f>+VLOOKUP(F142,matriz01,4,FALSE)</f>
        <v>48560</v>
      </c>
      <c r="J142" s="27">
        <f ca="1">+VLOOKUP(F142,matriz01,5,FALSE)</f>
        <v>3950</v>
      </c>
      <c r="K142" s="240">
        <f t="shared" ca="1" si="43"/>
        <v>8.1342668863261941E-2</v>
      </c>
      <c r="L142" s="27">
        <f>INDEX(coincidenciaP01,MATCH(F142,indicep01,0),7)</f>
        <v>33540</v>
      </c>
      <c r="M142" s="240">
        <f t="shared" ref="M142:M210" si="50">+IFERROR(L142/I142,0)</f>
        <v>0.69069192751235586</v>
      </c>
      <c r="N142" s="27">
        <f t="shared" si="37"/>
        <v>15020</v>
      </c>
      <c r="O142" s="240">
        <f t="shared" ref="O142:O210" si="51">+IFERROR(N142/I142,0)</f>
        <v>0.30930807248764414</v>
      </c>
      <c r="P142" s="27">
        <f>+'Prog 01'!Q142</f>
        <v>51644.211486</v>
      </c>
      <c r="Q142" s="27">
        <f ca="1">+'Prog 01'!R142</f>
        <v>3209.36</v>
      </c>
      <c r="R142" s="240">
        <f t="shared" ca="1" si="49"/>
        <v>6.2143653812393111E-2</v>
      </c>
      <c r="T142" s="858"/>
      <c r="V142" s="859"/>
      <c r="W142" s="109"/>
      <c r="X142" s="109"/>
      <c r="Y142" s="109"/>
      <c r="Z142" s="113"/>
    </row>
    <row r="143" spans="2:26" ht="15" hidden="1" customHeight="1" outlineLevel="2" x14ac:dyDescent="0.2">
      <c r="B143" s="382"/>
      <c r="C143" s="24"/>
      <c r="D143" s="25" t="s">
        <v>162</v>
      </c>
      <c r="E143" s="26"/>
      <c r="F143" s="26" t="str">
        <f>+CONCATENATE($B$80,"",$C$140,"",D143)</f>
        <v>22.11.003</v>
      </c>
      <c r="G143" s="384" t="s">
        <v>120</v>
      </c>
      <c r="H143" s="27">
        <f>+VLOOKUP(F143,matriz01,3,FALSE)</f>
        <v>898671.52599999995</v>
      </c>
      <c r="I143" s="27">
        <f>+VLOOKUP(F143,matriz01,4,FALSE)</f>
        <v>1026654.772</v>
      </c>
      <c r="J143" s="27">
        <f ca="1">+VLOOKUP(F143,matriz01,5,FALSE)</f>
        <v>498440.31099999999</v>
      </c>
      <c r="K143" s="240">
        <f t="shared" ca="1" si="43"/>
        <v>0.48549943427331577</v>
      </c>
      <c r="L143" s="27">
        <f>INDEX(coincidenciaP01,MATCH(F143,indicep01,0),7)</f>
        <v>678385.98499999999</v>
      </c>
      <c r="M143" s="240">
        <f t="shared" si="50"/>
        <v>0.66077322533499117</v>
      </c>
      <c r="N143" s="27">
        <f t="shared" si="37"/>
        <v>348268.78700000001</v>
      </c>
      <c r="O143" s="240">
        <f t="shared" si="51"/>
        <v>0.33922677466500883</v>
      </c>
      <c r="P143" s="27">
        <f>+'Prog 01'!Q143</f>
        <v>590616.80150000006</v>
      </c>
      <c r="Q143" s="27">
        <f ca="1">+'Prog 01'!R143</f>
        <v>373981.02314400004</v>
      </c>
      <c r="R143" s="240">
        <f t="shared" ca="1" si="49"/>
        <v>0.63320417264492601</v>
      </c>
      <c r="T143" s="858"/>
      <c r="V143" s="859"/>
      <c r="W143" s="109"/>
      <c r="X143" s="109"/>
      <c r="Y143" s="109"/>
      <c r="Z143" s="113"/>
    </row>
    <row r="144" spans="2:26" ht="15" hidden="1" customHeight="1" outlineLevel="2" x14ac:dyDescent="0.2">
      <c r="B144" s="382"/>
      <c r="C144" s="24"/>
      <c r="D144" s="25" t="s">
        <v>173</v>
      </c>
      <c r="E144" s="26"/>
      <c r="F144" s="26" t="str">
        <f>+CONCATENATE($B$80,"",$C$140,"",D144)</f>
        <v>22.11.999</v>
      </c>
      <c r="G144" s="384" t="s">
        <v>109</v>
      </c>
      <c r="H144" s="27">
        <f>+VLOOKUP(F144,matriz01,3,FALSE)</f>
        <v>5123.2209999999995</v>
      </c>
      <c r="I144" s="27">
        <f>+VLOOKUP(F144,matriz01,4,FALSE)</f>
        <v>19.582999999999998</v>
      </c>
      <c r="J144" s="27">
        <f ca="1">+VLOOKUP(F144,matriz01,5,FALSE)</f>
        <v>0</v>
      </c>
      <c r="K144" s="240">
        <f t="shared" ca="1" si="43"/>
        <v>0</v>
      </c>
      <c r="L144" s="27">
        <f>INDEX(coincidenciaP01,MATCH(F144,indicep01,0),7)</f>
        <v>0</v>
      </c>
      <c r="M144" s="240">
        <f t="shared" si="50"/>
        <v>0</v>
      </c>
      <c r="N144" s="27">
        <f t="shared" si="37"/>
        <v>19.582999999999998</v>
      </c>
      <c r="O144" s="240">
        <f t="shared" si="51"/>
        <v>1</v>
      </c>
      <c r="P144" s="27">
        <f>+'Prog 01'!Q144</f>
        <v>100582.697</v>
      </c>
      <c r="Q144" s="27">
        <f ca="1">+'Prog 01'!R144</f>
        <v>43052.833957999996</v>
      </c>
      <c r="R144" s="240">
        <f t="shared" ca="1" si="49"/>
        <v>0.42803419715420832</v>
      </c>
      <c r="T144" s="858"/>
      <c r="V144" s="859"/>
      <c r="W144" s="109"/>
      <c r="X144" s="109"/>
      <c r="Y144" s="109"/>
      <c r="Z144" s="113"/>
    </row>
    <row r="145" spans="2:26" s="46" customFormat="1" ht="15" hidden="1" customHeight="1" outlineLevel="1" collapsed="1" x14ac:dyDescent="0.2">
      <c r="B145" s="382"/>
      <c r="C145" s="24" t="s">
        <v>184</v>
      </c>
      <c r="D145" s="25"/>
      <c r="E145" s="26"/>
      <c r="F145" s="26"/>
      <c r="G145" s="383" t="s">
        <v>76</v>
      </c>
      <c r="H145" s="27">
        <f>SUM(H146:H148)</f>
        <v>1700</v>
      </c>
      <c r="I145" s="27">
        <f>SUM(I146:I148)</f>
        <v>8303.8680000000004</v>
      </c>
      <c r="J145" s="27">
        <f ca="1">SUM(J146:J148)</f>
        <v>7841.3279999999995</v>
      </c>
      <c r="K145" s="240">
        <f t="shared" ca="1" si="43"/>
        <v>0.94429824751549507</v>
      </c>
      <c r="L145" s="27">
        <f>SUM(L146:L148)</f>
        <v>8303.8680000000004</v>
      </c>
      <c r="M145" s="240">
        <f t="shared" si="50"/>
        <v>1</v>
      </c>
      <c r="N145" s="27">
        <f>SUM(N146:N148)</f>
        <v>0</v>
      </c>
      <c r="O145" s="240">
        <f t="shared" si="51"/>
        <v>0</v>
      </c>
      <c r="P145" s="27">
        <f>SUM(P146:P148)</f>
        <v>9470.3628800000006</v>
      </c>
      <c r="Q145" s="27">
        <f ca="1">SUM(Q146:Q148)</f>
        <v>6844.2248680000012</v>
      </c>
      <c r="R145" s="240">
        <f t="shared" ca="1" si="49"/>
        <v>0.7226993257517077</v>
      </c>
      <c r="S145" s="20"/>
      <c r="T145" s="858"/>
      <c r="U145" s="110"/>
      <c r="V145" s="859"/>
      <c r="W145" s="109"/>
      <c r="X145" s="109"/>
      <c r="Y145" s="109"/>
      <c r="Z145" s="113"/>
    </row>
    <row r="146" spans="2:26" ht="15" hidden="1" customHeight="1" outlineLevel="2" x14ac:dyDescent="0.2">
      <c r="B146" s="382"/>
      <c r="C146" s="24"/>
      <c r="D146" s="25" t="s">
        <v>161</v>
      </c>
      <c r="E146" s="26"/>
      <c r="F146" s="26" t="str">
        <f>+CONCATENATE($B$80,"",$C$145,"",D146)</f>
        <v>22.12.002</v>
      </c>
      <c r="G146" s="384" t="s">
        <v>77</v>
      </c>
      <c r="H146" s="27">
        <f>+VLOOKUP(F146,matriz01,3,FALSE)</f>
        <v>1700</v>
      </c>
      <c r="I146" s="27">
        <f>+VLOOKUP(F146,matriz01,4,FALSE)</f>
        <v>6852.8180000000002</v>
      </c>
      <c r="J146" s="27">
        <f ca="1">+VLOOKUP(F146,matriz01,5,FALSE)</f>
        <v>6390.2779999999993</v>
      </c>
      <c r="K146" s="240">
        <f t="shared" ca="1" si="43"/>
        <v>0.93250367950819635</v>
      </c>
      <c r="L146" s="27">
        <f>INDEX(coincidenciaP01,MATCH(F146,indicep01,0),7)</f>
        <v>6852.8180000000002</v>
      </c>
      <c r="M146" s="240">
        <f t="shared" si="50"/>
        <v>1</v>
      </c>
      <c r="N146" s="27">
        <f t="shared" si="37"/>
        <v>0</v>
      </c>
      <c r="O146" s="240">
        <f t="shared" si="51"/>
        <v>0</v>
      </c>
      <c r="P146" s="27">
        <f>+'Prog 01'!Q146</f>
        <v>9172.9875420000008</v>
      </c>
      <c r="Q146" s="27">
        <f ca="1">+'Prog 01'!R146</f>
        <v>6634.886026000001</v>
      </c>
      <c r="R146" s="240">
        <f t="shared" ca="1" si="49"/>
        <v>0.72330699192832293</v>
      </c>
      <c r="T146" s="858"/>
      <c r="V146" s="859"/>
      <c r="W146" s="109"/>
      <c r="X146" s="109"/>
      <c r="Y146" s="109"/>
      <c r="Z146" s="113"/>
    </row>
    <row r="147" spans="2:26" ht="15" hidden="1" customHeight="1" outlineLevel="2" x14ac:dyDescent="0.2">
      <c r="B147" s="382"/>
      <c r="C147" s="24"/>
      <c r="D147" s="25" t="s">
        <v>162</v>
      </c>
      <c r="E147" s="26"/>
      <c r="F147" s="26" t="str">
        <f>+CONCATENATE($B$80,"",$C$145,"",D147)</f>
        <v>22.12.003</v>
      </c>
      <c r="G147" s="384" t="s">
        <v>734</v>
      </c>
      <c r="H147" s="27">
        <f>+VLOOKUP(F147,matriz01,3,FALSE)</f>
        <v>0</v>
      </c>
      <c r="I147" s="27">
        <f>+VLOOKUP(F147,matriz01,4,FALSE)</f>
        <v>0</v>
      </c>
      <c r="J147" s="27">
        <f ca="1">+VLOOKUP(F147,matriz01,5,FALSE)</f>
        <v>0</v>
      </c>
      <c r="K147" s="240" t="str">
        <f t="shared" ca="1" si="43"/>
        <v>0.00%</v>
      </c>
      <c r="L147" s="27">
        <f>INDEX(coincidenciaP01,MATCH(F147,indicep01,0),7)</f>
        <v>0</v>
      </c>
      <c r="M147" s="240">
        <f t="shared" si="50"/>
        <v>0</v>
      </c>
      <c r="N147" s="27">
        <f t="shared" si="37"/>
        <v>0</v>
      </c>
      <c r="O147" s="240">
        <f t="shared" si="51"/>
        <v>0</v>
      </c>
      <c r="P147" s="27">
        <f>+'Prog 01'!Q147</f>
        <v>0</v>
      </c>
      <c r="Q147" s="27">
        <f ca="1">+'Prog 01'!R147</f>
        <v>0</v>
      </c>
      <c r="R147" s="240" t="str">
        <f t="shared" ca="1" si="49"/>
        <v>0.00%</v>
      </c>
      <c r="T147" s="858"/>
      <c r="V147" s="859"/>
      <c r="W147" s="109"/>
      <c r="X147" s="109"/>
      <c r="Y147" s="109"/>
      <c r="Z147" s="113"/>
    </row>
    <row r="148" spans="2:26" ht="15" hidden="1" customHeight="1" outlineLevel="2" x14ac:dyDescent="0.2">
      <c r="B148" s="382"/>
      <c r="C148" s="24"/>
      <c r="D148" s="25" t="s">
        <v>173</v>
      </c>
      <c r="E148" s="26"/>
      <c r="F148" s="26" t="str">
        <f>+CONCATENATE($B$80,"",$C$145,"",D148)</f>
        <v>22.12.999</v>
      </c>
      <c r="G148" s="384" t="s">
        <v>51</v>
      </c>
      <c r="H148" s="27">
        <f>+VLOOKUP(F148,matriz01,3,FALSE)</f>
        <v>0</v>
      </c>
      <c r="I148" s="27">
        <f>+VLOOKUP(F148,matriz01,4,FALSE)</f>
        <v>1451.05</v>
      </c>
      <c r="J148" s="27">
        <f ca="1">+VLOOKUP(F148,matriz01,5,FALSE)</f>
        <v>1451.05</v>
      </c>
      <c r="K148" s="240">
        <f t="shared" ca="1" si="43"/>
        <v>1</v>
      </c>
      <c r="L148" s="27">
        <f>INDEX(coincidenciaP01,MATCH(F148,indicep01,0),7)</f>
        <v>1451.05</v>
      </c>
      <c r="M148" s="240">
        <f t="shared" si="50"/>
        <v>1</v>
      </c>
      <c r="N148" s="27">
        <f t="shared" si="37"/>
        <v>0</v>
      </c>
      <c r="O148" s="240">
        <f t="shared" si="51"/>
        <v>0</v>
      </c>
      <c r="P148" s="27">
        <f>+'Prog 01'!Q148</f>
        <v>297.375338</v>
      </c>
      <c r="Q148" s="27">
        <f ca="1">+'Prog 01'!R148</f>
        <v>209.33884200000003</v>
      </c>
      <c r="R148" s="240">
        <f t="shared" ca="1" si="49"/>
        <v>0.70395495271366459</v>
      </c>
      <c r="T148" s="858"/>
      <c r="V148" s="859"/>
      <c r="W148" s="109"/>
      <c r="X148" s="109"/>
      <c r="Y148" s="109"/>
      <c r="Z148" s="113"/>
    </row>
    <row r="149" spans="2:26" ht="15" customHeight="1" outlineLevel="2" x14ac:dyDescent="0.2">
      <c r="B149" s="382">
        <v>23</v>
      </c>
      <c r="C149" s="24"/>
      <c r="D149" s="25"/>
      <c r="E149" s="26"/>
      <c r="F149" s="26"/>
      <c r="G149" s="383" t="s">
        <v>271</v>
      </c>
      <c r="H149" s="27">
        <f>+H152+H150</f>
        <v>10</v>
      </c>
      <c r="I149" s="27">
        <f t="shared" ref="I149:Q149" si="52">+I152+I150</f>
        <v>122476</v>
      </c>
      <c r="J149" s="27">
        <f t="shared" ca="1" si="52"/>
        <v>101427.939</v>
      </c>
      <c r="K149" s="240">
        <f t="shared" ca="1" si="43"/>
        <v>0.8281454244096802</v>
      </c>
      <c r="L149" s="27">
        <f t="shared" si="52"/>
        <v>122474.33899999999</v>
      </c>
      <c r="M149" s="240">
        <f t="shared" si="50"/>
        <v>0.99998643815931276</v>
      </c>
      <c r="N149" s="27">
        <f>+N152+N150</f>
        <v>1.6610000000038099</v>
      </c>
      <c r="O149" s="240">
        <f t="shared" si="51"/>
        <v>1.3561840687186142E-5</v>
      </c>
      <c r="P149" s="27">
        <f t="shared" si="52"/>
        <v>213580.82399999999</v>
      </c>
      <c r="Q149" s="27">
        <f t="shared" ca="1" si="52"/>
        <v>213569.90696599998</v>
      </c>
      <c r="R149" s="240">
        <f t="shared" ca="1" si="49"/>
        <v>0.99994888570146157</v>
      </c>
      <c r="T149" s="858"/>
      <c r="V149" s="859"/>
      <c r="W149" s="109"/>
      <c r="X149" s="109"/>
      <c r="Y149" s="109"/>
      <c r="Z149" s="113"/>
    </row>
    <row r="150" spans="2:26" ht="15" hidden="1" customHeight="1" outlineLevel="2" x14ac:dyDescent="0.2">
      <c r="B150" s="382"/>
      <c r="C150" s="24" t="s">
        <v>300</v>
      </c>
      <c r="D150" s="25"/>
      <c r="E150" s="26"/>
      <c r="F150" s="26" t="s">
        <v>1117</v>
      </c>
      <c r="G150" s="383" t="s">
        <v>1115</v>
      </c>
      <c r="H150" s="27">
        <f>+'Prog 01'!I150</f>
        <v>0</v>
      </c>
      <c r="I150" s="27">
        <f>+'Prog 01'!J150</f>
        <v>615</v>
      </c>
      <c r="J150" s="27">
        <f ca="1">+'Prog 01'!K150</f>
        <v>614.34</v>
      </c>
      <c r="K150" s="240">
        <f t="shared" ca="1" si="43"/>
        <v>0.99892682926829268</v>
      </c>
      <c r="L150" s="27">
        <f>+'Prog 01'!M150</f>
        <v>614.34</v>
      </c>
      <c r="M150" s="240">
        <f t="shared" si="50"/>
        <v>0.99892682926829268</v>
      </c>
      <c r="N150" s="27">
        <f>+'Prog 01'!O150</f>
        <v>0.65999999999996817</v>
      </c>
      <c r="O150" s="240">
        <f t="shared" si="51"/>
        <v>1.0731707317072653E-3</v>
      </c>
      <c r="P150" s="27">
        <f>+'Prog 01'!Q150</f>
        <v>0</v>
      </c>
      <c r="Q150" s="27">
        <f>+'Prog 01'!R150</f>
        <v>0</v>
      </c>
      <c r="R150" s="240" t="str">
        <f t="shared" si="49"/>
        <v>0.00%</v>
      </c>
      <c r="T150" s="858"/>
      <c r="V150" s="859"/>
      <c r="W150" s="109"/>
      <c r="X150" s="109"/>
      <c r="Y150" s="109"/>
      <c r="Z150" s="113"/>
    </row>
    <row r="151" spans="2:26" ht="15" hidden="1" customHeight="1" outlineLevel="2" x14ac:dyDescent="0.2">
      <c r="B151" s="382"/>
      <c r="C151" s="24"/>
      <c r="D151" s="25" t="s">
        <v>177</v>
      </c>
      <c r="E151" s="26"/>
      <c r="F151" s="26" t="s">
        <v>1118</v>
      </c>
      <c r="G151" s="383" t="s">
        <v>1116</v>
      </c>
      <c r="H151" s="27">
        <f>+'Prog 01'!I151</f>
        <v>0</v>
      </c>
      <c r="I151" s="27">
        <f>+'Prog 01'!J151</f>
        <v>615</v>
      </c>
      <c r="J151" s="27">
        <f ca="1">+'Prog 01'!K151</f>
        <v>614.34</v>
      </c>
      <c r="K151" s="240">
        <f t="shared" ca="1" si="43"/>
        <v>0.99892682926829268</v>
      </c>
      <c r="L151" s="27">
        <f>+'Prog 01'!M151</f>
        <v>614.34</v>
      </c>
      <c r="M151" s="240">
        <f t="shared" si="50"/>
        <v>0.99892682926829268</v>
      </c>
      <c r="N151" s="27">
        <f>+'Prog 01'!O151</f>
        <v>0.65999999999996817</v>
      </c>
      <c r="O151" s="240">
        <f t="shared" si="51"/>
        <v>1.0731707317072653E-3</v>
      </c>
      <c r="P151" s="27">
        <f>+'Prog 01'!Q151</f>
        <v>0</v>
      </c>
      <c r="Q151" s="27">
        <f>+'Prog 01'!R151</f>
        <v>0</v>
      </c>
      <c r="R151" s="240" t="str">
        <f t="shared" si="49"/>
        <v>0.00%</v>
      </c>
      <c r="T151" s="858"/>
      <c r="V151" s="859"/>
      <c r="W151" s="109"/>
      <c r="X151" s="109"/>
      <c r="Y151" s="109"/>
      <c r="Z151" s="113"/>
    </row>
    <row r="152" spans="2:26" ht="15" hidden="1" customHeight="1" outlineLevel="2" x14ac:dyDescent="0.2">
      <c r="B152" s="382"/>
      <c r="C152" s="24" t="s">
        <v>159</v>
      </c>
      <c r="D152" s="25"/>
      <c r="E152" s="26"/>
      <c r="F152" s="26" t="s">
        <v>335</v>
      </c>
      <c r="G152" s="384" t="s">
        <v>706</v>
      </c>
      <c r="H152" s="27">
        <f>+VLOOKUP(F152,matriz01,3,FALSE)</f>
        <v>10</v>
      </c>
      <c r="I152" s="27">
        <f>+VLOOKUP(F152,matriz01,4,FALSE)</f>
        <v>121861</v>
      </c>
      <c r="J152" s="27">
        <f ca="1">+VLOOKUP(F152,matriz01,5,FALSE)</f>
        <v>100813.599</v>
      </c>
      <c r="K152" s="240">
        <f t="shared" ca="1" si="43"/>
        <v>0.82728353616005124</v>
      </c>
      <c r="L152" s="27">
        <f>INDEX(coincidenciaP01,MATCH(F152,indicep01,0),7)</f>
        <v>121859.999</v>
      </c>
      <c r="M152" s="240">
        <f t="shared" si="50"/>
        <v>0.9999917857230779</v>
      </c>
      <c r="N152" s="27">
        <f t="shared" si="37"/>
        <v>1.0010000000038417</v>
      </c>
      <c r="O152" s="240">
        <f t="shared" si="51"/>
        <v>8.2142769220984703E-6</v>
      </c>
      <c r="P152" s="27">
        <f>+'Prog 01'!Q152</f>
        <v>213580.82399999999</v>
      </c>
      <c r="Q152" s="27">
        <f ca="1">+'Prog 01'!R152</f>
        <v>213569.90696599998</v>
      </c>
      <c r="R152" s="240">
        <f t="shared" ca="1" si="49"/>
        <v>0.99994888570146157</v>
      </c>
      <c r="T152" s="858"/>
      <c r="V152" s="859"/>
      <c r="W152" s="109"/>
      <c r="X152" s="109"/>
      <c r="Y152" s="109"/>
      <c r="Z152" s="113"/>
    </row>
    <row r="153" spans="2:26" ht="15" hidden="1" customHeight="1" outlineLevel="2" x14ac:dyDescent="0.2">
      <c r="B153" s="382"/>
      <c r="C153" s="24"/>
      <c r="D153" s="25" t="s">
        <v>165</v>
      </c>
      <c r="E153" s="26"/>
      <c r="F153" s="26" t="s">
        <v>1008</v>
      </c>
      <c r="G153" s="384" t="s">
        <v>1005</v>
      </c>
      <c r="H153" s="27">
        <f>+'Prog 01'!I153</f>
        <v>1</v>
      </c>
      <c r="I153" s="27">
        <f>+'Prog 01'!J153</f>
        <v>21047.4</v>
      </c>
      <c r="J153" s="27">
        <f ca="1">+'Prog 01'!K153</f>
        <v>0</v>
      </c>
      <c r="K153" s="240">
        <f ca="1">+'Prog 01'!L153</f>
        <v>0</v>
      </c>
      <c r="L153" s="27">
        <f>+'Prog 01'!M153</f>
        <v>21046.400000000001</v>
      </c>
      <c r="M153" s="240">
        <f>+'Prog 01'!N153</f>
        <v>0.99995248819331606</v>
      </c>
      <c r="N153" s="27">
        <f>+'Prog 01'!O153</f>
        <v>1</v>
      </c>
      <c r="O153" s="240">
        <f>+'Prog 01'!P153</f>
        <v>4.7511806683960963E-5</v>
      </c>
      <c r="P153" s="27">
        <v>0</v>
      </c>
      <c r="Q153" s="27">
        <v>0</v>
      </c>
      <c r="R153" s="240">
        <v>0</v>
      </c>
      <c r="T153" s="858"/>
      <c r="V153" s="859"/>
      <c r="W153" s="109"/>
      <c r="X153" s="109"/>
      <c r="Y153" s="109"/>
      <c r="Z153" s="113"/>
    </row>
    <row r="154" spans="2:26" ht="15" hidden="1" customHeight="1" outlineLevel="2" x14ac:dyDescent="0.2">
      <c r="B154" s="382"/>
      <c r="C154" s="24"/>
      <c r="D154" s="25" t="s">
        <v>162</v>
      </c>
      <c r="E154" s="26"/>
      <c r="F154" s="26" t="s">
        <v>273</v>
      </c>
      <c r="G154" s="384" t="s">
        <v>272</v>
      </c>
      <c r="H154" s="27">
        <f>+VLOOKUP(F154,matriz01,3,FALSE)</f>
        <v>8</v>
      </c>
      <c r="I154" s="27">
        <f>+VLOOKUP(F154,matriz01,4,FALSE)</f>
        <v>58028.33</v>
      </c>
      <c r="J154" s="27">
        <f ca="1">+VLOOKUP(F154,matriz01,5,FALSE)</f>
        <v>58028.328999999998</v>
      </c>
      <c r="K154" s="240">
        <f t="shared" ca="1" si="43"/>
        <v>0.99999998276703805</v>
      </c>
      <c r="L154" s="27">
        <f>INDEX(coincidenciaP01,MATCH(F154,indicep01,0),7)</f>
        <v>58028.328999999998</v>
      </c>
      <c r="M154" s="240">
        <f t="shared" si="50"/>
        <v>0.99999998276703805</v>
      </c>
      <c r="N154" s="27">
        <f t="shared" si="37"/>
        <v>1.0000000038417056E-3</v>
      </c>
      <c r="O154" s="240">
        <f t="shared" si="51"/>
        <v>1.7232961966020831E-8</v>
      </c>
      <c r="P154" s="27">
        <f>+'Prog 01'!Q154</f>
        <v>213580.82399999999</v>
      </c>
      <c r="Q154" s="27">
        <f ca="1">+'Prog 01'!R154</f>
        <v>213569.90696599998</v>
      </c>
      <c r="R154" s="240">
        <f t="shared" ca="1" si="49"/>
        <v>0.99994888570146157</v>
      </c>
      <c r="T154" s="858"/>
      <c r="V154" s="859"/>
      <c r="W154" s="109"/>
      <c r="X154" s="109"/>
      <c r="Y154" s="109"/>
      <c r="Z154" s="113"/>
    </row>
    <row r="155" spans="2:26" ht="15" hidden="1" customHeight="1" outlineLevel="2" x14ac:dyDescent="0.2">
      <c r="B155" s="382"/>
      <c r="C155" s="24"/>
      <c r="D155" s="25" t="s">
        <v>175</v>
      </c>
      <c r="E155" s="26"/>
      <c r="F155" s="26" t="str">
        <f>+'Prog 01'!G155</f>
        <v>23.03.004</v>
      </c>
      <c r="G155" s="384" t="str">
        <f>+'Prog 01'!H155</f>
        <v>Otras Indemnizaciones</v>
      </c>
      <c r="H155" s="27">
        <v>0</v>
      </c>
      <c r="I155" s="27">
        <v>0</v>
      </c>
      <c r="J155" s="27">
        <v>0</v>
      </c>
      <c r="K155" s="240" t="str">
        <f t="shared" si="43"/>
        <v>0.00%</v>
      </c>
      <c r="L155" s="27">
        <v>0</v>
      </c>
      <c r="M155" s="240">
        <f t="shared" si="50"/>
        <v>0</v>
      </c>
      <c r="N155" s="27">
        <v>0</v>
      </c>
      <c r="O155" s="240">
        <f t="shared" si="51"/>
        <v>0</v>
      </c>
      <c r="P155" s="27">
        <f>+'Prog 01'!Q155</f>
        <v>0</v>
      </c>
      <c r="Q155" s="27">
        <f ca="1">+'Prog 01'!R155</f>
        <v>0</v>
      </c>
      <c r="R155" s="240" t="str">
        <f t="shared" ca="1" si="49"/>
        <v>0.00%</v>
      </c>
      <c r="T155" s="858"/>
      <c r="V155" s="859"/>
      <c r="W155" s="109"/>
      <c r="X155" s="109"/>
      <c r="Y155" s="109"/>
      <c r="Z155" s="113"/>
    </row>
    <row r="156" spans="2:26" ht="15" customHeight="1" x14ac:dyDescent="0.2">
      <c r="B156" s="382">
        <v>24</v>
      </c>
      <c r="C156" s="24" t="s">
        <v>2</v>
      </c>
      <c r="D156" s="25"/>
      <c r="E156" s="26"/>
      <c r="F156" s="26"/>
      <c r="G156" s="383" t="s">
        <v>145</v>
      </c>
      <c r="H156" s="27">
        <f>+H166+H188+H207+H157+H216</f>
        <v>86148546</v>
      </c>
      <c r="I156" s="27">
        <f>+I166+I188+I207+I157+I216</f>
        <v>88008486</v>
      </c>
      <c r="J156" s="27">
        <f ca="1">+J166+J188+J207+J157+J216</f>
        <v>79917784.070000008</v>
      </c>
      <c r="K156" s="240">
        <f ca="1">IFERROR(J156/I156,"0.00%")</f>
        <v>0.90806907040759688</v>
      </c>
      <c r="L156" s="27">
        <f>+L166+L188+L207+L157+L216</f>
        <v>82221080.229999989</v>
      </c>
      <c r="M156" s="240">
        <f>+IFERROR(L156/I156,0)</f>
        <v>0.93424036666191468</v>
      </c>
      <c r="N156" s="27">
        <f>+N157+N166+N188+N207+N216</f>
        <v>5787405.7699999958</v>
      </c>
      <c r="O156" s="240">
        <f>+IFERROR(N156/I156,0)</f>
        <v>6.5759633338085099E-2</v>
      </c>
      <c r="P156" s="27">
        <f>+P166+P188+P207+P157</f>
        <v>91284143.247999996</v>
      </c>
      <c r="Q156" s="27">
        <f ca="1">+Q166+Q188+Q207+Q157</f>
        <v>84988069.165472001</v>
      </c>
      <c r="R156" s="240">
        <f ca="1">IFERROR(Q156/P156,"0.00%")</f>
        <v>0.93102773539296002</v>
      </c>
      <c r="T156" s="858"/>
      <c r="V156" s="859"/>
      <c r="W156" s="109"/>
      <c r="X156" s="109"/>
      <c r="Y156" s="109"/>
      <c r="Z156" s="113"/>
    </row>
    <row r="157" spans="2:26" ht="15" hidden="1" customHeight="1" outlineLevel="1" x14ac:dyDescent="0.2">
      <c r="B157" s="382" t="s">
        <v>2</v>
      </c>
      <c r="C157" s="30" t="s">
        <v>300</v>
      </c>
      <c r="D157" s="25"/>
      <c r="E157" s="26"/>
      <c r="F157" s="26"/>
      <c r="G157" s="383" t="s">
        <v>301</v>
      </c>
      <c r="H157" s="27">
        <f>SUM(H158:H165)</f>
        <v>2681203</v>
      </c>
      <c r="I157" s="27">
        <f>SUM(I158:I165)</f>
        <v>2681203</v>
      </c>
      <c r="J157" s="27">
        <f ca="1">SUM(J158:J165)</f>
        <v>861901.32700000005</v>
      </c>
      <c r="K157" s="240">
        <f ca="1">IFERROR(J157/I157,"0.00%")</f>
        <v>0.32146067530134798</v>
      </c>
      <c r="L157" s="27">
        <f>SUM(L158:L165)</f>
        <v>1091682.5870000001</v>
      </c>
      <c r="M157" s="240">
        <f t="shared" si="50"/>
        <v>0.40716148199147922</v>
      </c>
      <c r="N157" s="27">
        <f>SUM(N158:N165)</f>
        <v>1589520.4129999997</v>
      </c>
      <c r="O157" s="240">
        <f t="shared" si="51"/>
        <v>0.59283851800852072</v>
      </c>
      <c r="P157" s="27">
        <f>+SUM(P158:P165)</f>
        <v>0</v>
      </c>
      <c r="Q157" s="27">
        <f ca="1">+SUM(Q158:Q165)</f>
        <v>0</v>
      </c>
      <c r="R157" s="240" t="str">
        <f t="shared" ca="1" si="49"/>
        <v>0.00%</v>
      </c>
      <c r="T157" s="858"/>
      <c r="V157" s="859"/>
      <c r="W157" s="109"/>
      <c r="X157" s="109"/>
      <c r="Y157" s="109"/>
      <c r="Z157" s="113"/>
    </row>
    <row r="158" spans="2:26" ht="15" hidden="1" customHeight="1" outlineLevel="1" x14ac:dyDescent="0.2">
      <c r="B158" s="382"/>
      <c r="C158" s="30"/>
      <c r="D158" s="25"/>
      <c r="E158" s="26"/>
      <c r="F158" s="63" t="s">
        <v>837</v>
      </c>
      <c r="G158" s="384" t="str">
        <f>+'Prog 01'!H158</f>
        <v>Fundación para la Promoción y Desarrollo de la Muj</v>
      </c>
      <c r="H158" s="27">
        <v>0</v>
      </c>
      <c r="I158" s="27">
        <v>0</v>
      </c>
      <c r="J158" s="27">
        <f ca="1">+'Prog 01'!K158</f>
        <v>0</v>
      </c>
      <c r="K158" s="240" t="str">
        <f t="shared" ca="1" si="43"/>
        <v>0.00%</v>
      </c>
      <c r="L158" s="27">
        <f>+'Prog 01'!M157</f>
        <v>0</v>
      </c>
      <c r="M158" s="240">
        <f t="shared" si="50"/>
        <v>0</v>
      </c>
      <c r="N158" s="27">
        <f>+'Prog 01'!O158</f>
        <v>0</v>
      </c>
      <c r="O158" s="240">
        <f t="shared" si="51"/>
        <v>0</v>
      </c>
      <c r="P158" s="27">
        <f>+'Prog 01'!Q158</f>
        <v>0</v>
      </c>
      <c r="Q158" s="27">
        <f ca="1">+'Prog 01'!R158</f>
        <v>0</v>
      </c>
      <c r="R158" s="240" t="str">
        <f t="shared" ca="1" si="49"/>
        <v>0.00%</v>
      </c>
      <c r="T158" s="858"/>
      <c r="V158" s="859"/>
      <c r="W158" s="109"/>
      <c r="X158" s="109"/>
      <c r="Y158" s="109"/>
      <c r="Z158" s="113"/>
    </row>
    <row r="159" spans="2:26" ht="15" hidden="1" customHeight="1" outlineLevel="1" x14ac:dyDescent="0.2">
      <c r="B159" s="382"/>
      <c r="C159" s="30"/>
      <c r="D159" s="25"/>
      <c r="E159" s="26"/>
      <c r="F159" s="63" t="s">
        <v>1020</v>
      </c>
      <c r="G159" s="384" t="s">
        <v>297</v>
      </c>
      <c r="H159" s="27">
        <f>+'Prog 02'!H14</f>
        <v>2681203</v>
      </c>
      <c r="I159" s="27">
        <f>+'Prog 02'!I14</f>
        <v>2681203</v>
      </c>
      <c r="J159" s="27">
        <f>+'Prog 02'!J14</f>
        <v>861901.32700000005</v>
      </c>
      <c r="K159" s="240">
        <f>+'Prog 02'!K14</f>
        <v>0.32146067530134798</v>
      </c>
      <c r="L159" s="27">
        <f>+'Prog 02'!L14</f>
        <v>1091682.5870000001</v>
      </c>
      <c r="M159" s="240">
        <f>+'Prog 02'!M14</f>
        <v>0.40716148199147922</v>
      </c>
      <c r="N159" s="27">
        <f>+'Prog 02'!N14</f>
        <v>1589520.4129999997</v>
      </c>
      <c r="O159" s="240">
        <f>+'Prog 02'!O14</f>
        <v>0.59283851800852072</v>
      </c>
      <c r="P159" s="27">
        <f>+'Prog 02'!P14</f>
        <v>0</v>
      </c>
      <c r="Q159" s="27">
        <f>+'Prog 02'!Q14</f>
        <v>0</v>
      </c>
      <c r="R159" s="240"/>
      <c r="T159" s="858"/>
      <c r="V159" s="859"/>
      <c r="W159" s="109"/>
      <c r="X159" s="109"/>
      <c r="Y159" s="109"/>
      <c r="Z159" s="113"/>
    </row>
    <row r="160" spans="2:26" ht="15" hidden="1" customHeight="1" outlineLevel="1" x14ac:dyDescent="0.2">
      <c r="B160" s="382"/>
      <c r="C160" s="30"/>
      <c r="D160" s="25"/>
      <c r="E160" s="26"/>
      <c r="F160" s="63" t="s">
        <v>299</v>
      </c>
      <c r="G160" s="386" t="s">
        <v>602</v>
      </c>
      <c r="H160" s="27">
        <v>0</v>
      </c>
      <c r="I160" s="27">
        <v>0</v>
      </c>
      <c r="J160" s="27">
        <v>0</v>
      </c>
      <c r="K160" s="240" t="str">
        <f t="shared" si="43"/>
        <v>0.00%</v>
      </c>
      <c r="L160" s="27">
        <v>0</v>
      </c>
      <c r="M160" s="240">
        <f t="shared" si="50"/>
        <v>0</v>
      </c>
      <c r="N160" s="27">
        <v>0</v>
      </c>
      <c r="O160" s="240">
        <f t="shared" si="51"/>
        <v>0</v>
      </c>
      <c r="P160" s="27">
        <f>+'Prog 01'!Q159</f>
        <v>0</v>
      </c>
      <c r="Q160" s="27">
        <f ca="1">+'Prog 01'!R159</f>
        <v>0</v>
      </c>
      <c r="R160" s="240" t="str">
        <f t="shared" ca="1" si="49"/>
        <v>0.00%</v>
      </c>
      <c r="T160" s="858"/>
      <c r="V160" s="859"/>
      <c r="W160" s="109"/>
      <c r="X160" s="109"/>
      <c r="Y160" s="109"/>
      <c r="Z160" s="113"/>
    </row>
    <row r="161" spans="2:50" ht="15" hidden="1" customHeight="1" outlineLevel="1" x14ac:dyDescent="0.2">
      <c r="B161" s="382"/>
      <c r="C161" s="30"/>
      <c r="D161" s="25"/>
      <c r="E161" s="26"/>
      <c r="F161" s="63" t="s">
        <v>306</v>
      </c>
      <c r="G161" s="386" t="s">
        <v>607</v>
      </c>
      <c r="H161" s="27">
        <v>0</v>
      </c>
      <c r="I161" s="27">
        <v>0</v>
      </c>
      <c r="J161" s="27">
        <v>0</v>
      </c>
      <c r="K161" s="240" t="str">
        <f t="shared" si="43"/>
        <v>0.00%</v>
      </c>
      <c r="L161" s="27">
        <v>0</v>
      </c>
      <c r="M161" s="240">
        <f t="shared" si="50"/>
        <v>0</v>
      </c>
      <c r="N161" s="27">
        <v>0</v>
      </c>
      <c r="O161" s="240">
        <f t="shared" si="51"/>
        <v>0</v>
      </c>
      <c r="P161" s="27">
        <f>+'Prog 01'!Q160</f>
        <v>0</v>
      </c>
      <c r="Q161" s="27">
        <f ca="1">+'Prog 01'!R160</f>
        <v>0</v>
      </c>
      <c r="R161" s="240" t="str">
        <f t="shared" ca="1" si="49"/>
        <v>0.00%</v>
      </c>
      <c r="T161" s="858"/>
      <c r="V161" s="859"/>
      <c r="W161" s="109"/>
      <c r="X161" s="109"/>
      <c r="Y161" s="109"/>
      <c r="Z161" s="113"/>
    </row>
    <row r="162" spans="2:50" ht="15" hidden="1" customHeight="1" outlineLevel="1" x14ac:dyDescent="0.2">
      <c r="B162" s="382"/>
      <c r="C162" s="30"/>
      <c r="D162" s="25"/>
      <c r="E162" s="26"/>
      <c r="F162" s="63" t="s">
        <v>326</v>
      </c>
      <c r="G162" s="386" t="s">
        <v>673</v>
      </c>
      <c r="H162" s="27">
        <v>0</v>
      </c>
      <c r="I162" s="27">
        <f>+'Prog 01'!J157</f>
        <v>0</v>
      </c>
      <c r="J162" s="27">
        <f ca="1">+'Prog 01'!K161</f>
        <v>0</v>
      </c>
      <c r="K162" s="240" t="str">
        <f t="shared" ca="1" si="43"/>
        <v>0.00%</v>
      </c>
      <c r="L162" s="27">
        <f>+'Prog 01'!M160</f>
        <v>0</v>
      </c>
      <c r="M162" s="240">
        <f t="shared" si="50"/>
        <v>0</v>
      </c>
      <c r="N162" s="27">
        <f>+'Prog 01'!O161</f>
        <v>0</v>
      </c>
      <c r="O162" s="240">
        <f t="shared" si="51"/>
        <v>0</v>
      </c>
      <c r="P162" s="27">
        <f>+'Prog 01'!Q161</f>
        <v>0</v>
      </c>
      <c r="Q162" s="27">
        <f ca="1">+'Prog 01'!R161</f>
        <v>0</v>
      </c>
      <c r="R162" s="240" t="str">
        <f t="shared" ca="1" si="49"/>
        <v>0.00%</v>
      </c>
      <c r="T162" s="858"/>
      <c r="V162" s="859"/>
      <c r="W162" s="109"/>
      <c r="X162" s="109"/>
      <c r="Y162" s="109"/>
      <c r="Z162" s="113"/>
    </row>
    <row r="163" spans="2:50" ht="15" hidden="1" customHeight="1" outlineLevel="1" x14ac:dyDescent="0.2">
      <c r="B163" s="382"/>
      <c r="C163" s="30"/>
      <c r="D163" s="25"/>
      <c r="E163" s="26"/>
      <c r="F163" s="63" t="s">
        <v>672</v>
      </c>
      <c r="G163" s="387" t="s">
        <v>674</v>
      </c>
      <c r="H163" s="27">
        <f>+'Prog 05'!H10</f>
        <v>0</v>
      </c>
      <c r="I163" s="27">
        <v>0</v>
      </c>
      <c r="J163" s="27">
        <f>+'Prog 05'!J10</f>
        <v>0</v>
      </c>
      <c r="K163" s="240" t="str">
        <f t="shared" si="43"/>
        <v>0.00%</v>
      </c>
      <c r="L163" s="27">
        <f>+'Prog 05'!L10</f>
        <v>0</v>
      </c>
      <c r="M163" s="240">
        <f t="shared" si="50"/>
        <v>0</v>
      </c>
      <c r="N163" s="27">
        <v>0</v>
      </c>
      <c r="O163" s="240">
        <f t="shared" si="51"/>
        <v>0</v>
      </c>
      <c r="P163" s="27">
        <f>+'Prog 01'!Q162</f>
        <v>0</v>
      </c>
      <c r="Q163" s="27">
        <f ca="1">+'Prog 01'!R162</f>
        <v>0</v>
      </c>
      <c r="R163" s="240" t="str">
        <f t="shared" ca="1" si="49"/>
        <v>0.00%</v>
      </c>
      <c r="T163" s="858"/>
      <c r="V163" s="859"/>
      <c r="W163" s="109"/>
      <c r="X163" s="109"/>
      <c r="Y163" s="109"/>
      <c r="Z163" s="113"/>
    </row>
    <row r="164" spans="2:50" ht="15" hidden="1" customHeight="1" outlineLevel="1" x14ac:dyDescent="0.2">
      <c r="B164" s="382"/>
      <c r="C164" s="30"/>
      <c r="D164" s="25"/>
      <c r="E164" s="26"/>
      <c r="F164" s="63" t="s">
        <v>764</v>
      </c>
      <c r="G164" s="386" t="s">
        <v>742</v>
      </c>
      <c r="H164" s="27">
        <v>0</v>
      </c>
      <c r="I164" s="27">
        <v>0</v>
      </c>
      <c r="J164" s="27">
        <v>0</v>
      </c>
      <c r="K164" s="240" t="str">
        <f t="shared" si="43"/>
        <v>0.00%</v>
      </c>
      <c r="L164" s="27">
        <v>0</v>
      </c>
      <c r="M164" s="240">
        <f t="shared" si="50"/>
        <v>0</v>
      </c>
      <c r="N164" s="27">
        <v>0</v>
      </c>
      <c r="O164" s="240">
        <f t="shared" si="51"/>
        <v>0</v>
      </c>
      <c r="P164" s="27">
        <f>+'Prog 01'!Q163</f>
        <v>0</v>
      </c>
      <c r="Q164" s="27">
        <f ca="1">+'Prog 01'!R163</f>
        <v>0</v>
      </c>
      <c r="R164" s="240" t="str">
        <f t="shared" ca="1" si="49"/>
        <v>0.00%</v>
      </c>
      <c r="T164" s="858"/>
      <c r="V164" s="859"/>
      <c r="W164" s="109"/>
      <c r="X164" s="109"/>
      <c r="Y164" s="109"/>
      <c r="Z164" s="113"/>
    </row>
    <row r="165" spans="2:50" ht="15" hidden="1" customHeight="1" outlineLevel="1" x14ac:dyDescent="0.2">
      <c r="B165" s="382"/>
      <c r="C165" s="30"/>
      <c r="D165" s="25"/>
      <c r="E165" s="26"/>
      <c r="F165" s="63" t="s">
        <v>765</v>
      </c>
      <c r="G165" s="386" t="s">
        <v>743</v>
      </c>
      <c r="H165" s="27">
        <v>0</v>
      </c>
      <c r="I165" s="27">
        <v>0</v>
      </c>
      <c r="J165" s="27">
        <v>0</v>
      </c>
      <c r="K165" s="240" t="str">
        <f t="shared" si="43"/>
        <v>0.00%</v>
      </c>
      <c r="L165" s="27">
        <v>0</v>
      </c>
      <c r="M165" s="240">
        <f t="shared" si="50"/>
        <v>0</v>
      </c>
      <c r="N165" s="27">
        <v>0</v>
      </c>
      <c r="O165" s="240">
        <f t="shared" si="51"/>
        <v>0</v>
      </c>
      <c r="P165" s="27">
        <f>+'Prog 01'!Q164</f>
        <v>0</v>
      </c>
      <c r="Q165" s="27">
        <f ca="1">+'Prog 01'!R164</f>
        <v>0</v>
      </c>
      <c r="R165" s="240" t="str">
        <f t="shared" ca="1" si="49"/>
        <v>0.00%</v>
      </c>
      <c r="T165" s="858"/>
      <c r="V165" s="859"/>
      <c r="W165" s="109"/>
      <c r="X165" s="109"/>
      <c r="Y165" s="109"/>
      <c r="Z165" s="113"/>
    </row>
    <row r="166" spans="2:50" ht="15" hidden="1" customHeight="1" outlineLevel="1" x14ac:dyDescent="0.2">
      <c r="B166" s="382" t="s">
        <v>2</v>
      </c>
      <c r="C166" s="24" t="s">
        <v>160</v>
      </c>
      <c r="D166" s="25"/>
      <c r="E166" s="26"/>
      <c r="F166" s="26"/>
      <c r="G166" s="383" t="s">
        <v>5</v>
      </c>
      <c r="H166" s="27">
        <f>SUM(H167:H187)</f>
        <v>0</v>
      </c>
      <c r="I166" s="27">
        <f>SUM(I167:I187)</f>
        <v>562940</v>
      </c>
      <c r="J166" s="27">
        <f ca="1">SUM(J167:J187)</f>
        <v>0</v>
      </c>
      <c r="K166" s="240">
        <f t="shared" ca="1" si="43"/>
        <v>0</v>
      </c>
      <c r="L166" s="27">
        <f>SUM(L167:L187)</f>
        <v>0</v>
      </c>
      <c r="M166" s="240">
        <f t="shared" si="50"/>
        <v>0</v>
      </c>
      <c r="N166" s="27">
        <f>SUM(N167:N187)</f>
        <v>562940</v>
      </c>
      <c r="O166" s="240">
        <f t="shared" si="51"/>
        <v>1</v>
      </c>
      <c r="P166" s="27">
        <f>+SUM(P167:P187)</f>
        <v>0</v>
      </c>
      <c r="Q166" s="27">
        <f>+SUM(Q167:Q187)</f>
        <v>0</v>
      </c>
      <c r="R166" s="240" t="str">
        <f t="shared" si="49"/>
        <v>0.00%</v>
      </c>
      <c r="T166" s="858"/>
      <c r="V166" s="859"/>
      <c r="W166" s="109"/>
      <c r="X166" s="109"/>
      <c r="Y166" s="109"/>
      <c r="Z166" s="113"/>
      <c r="AX166" s="20"/>
    </row>
    <row r="167" spans="2:50" ht="15" hidden="1" customHeight="1" outlineLevel="1" x14ac:dyDescent="0.2">
      <c r="B167" s="382"/>
      <c r="C167" s="24"/>
      <c r="D167" s="25"/>
      <c r="E167" s="26"/>
      <c r="F167" s="63" t="s">
        <v>283</v>
      </c>
      <c r="G167" s="383" t="s">
        <v>284</v>
      </c>
      <c r="H167" s="27">
        <v>0</v>
      </c>
      <c r="I167" s="27">
        <v>0</v>
      </c>
      <c r="J167" s="28">
        <v>0</v>
      </c>
      <c r="K167" s="240" t="str">
        <f t="shared" si="43"/>
        <v>0.00%</v>
      </c>
      <c r="L167" s="27">
        <v>0</v>
      </c>
      <c r="M167" s="240">
        <f t="shared" si="50"/>
        <v>0</v>
      </c>
      <c r="N167" s="27">
        <f>+'Prog 05'!N12</f>
        <v>0</v>
      </c>
      <c r="O167" s="240">
        <f t="shared" si="51"/>
        <v>0</v>
      </c>
      <c r="P167" s="27">
        <f>+'Prog 05'!P12</f>
        <v>0</v>
      </c>
      <c r="Q167" s="27">
        <f>+'Prog 05'!Q12</f>
        <v>0</v>
      </c>
      <c r="R167" s="240" t="str">
        <f t="shared" si="49"/>
        <v>0.00%</v>
      </c>
      <c r="T167" s="858"/>
      <c r="V167" s="859"/>
      <c r="W167" s="109"/>
      <c r="X167" s="109"/>
      <c r="Y167" s="109"/>
      <c r="Z167" s="113"/>
      <c r="AX167" s="20"/>
    </row>
    <row r="168" spans="2:50" ht="15" hidden="1" customHeight="1" outlineLevel="1" x14ac:dyDescent="0.2">
      <c r="B168" s="382"/>
      <c r="C168" s="24"/>
      <c r="D168" s="25"/>
      <c r="E168" s="26"/>
      <c r="F168" s="63" t="s">
        <v>279</v>
      </c>
      <c r="G168" s="385" t="s">
        <v>305</v>
      </c>
      <c r="H168" s="27">
        <f>+'Prog 05'!H13</f>
        <v>0</v>
      </c>
      <c r="I168" s="27">
        <f>+'Prog 05'!I13</f>
        <v>0</v>
      </c>
      <c r="J168" s="27">
        <f>+'Prog 05'!J13</f>
        <v>0</v>
      </c>
      <c r="K168" s="240" t="str">
        <f t="shared" si="43"/>
        <v>0.00%</v>
      </c>
      <c r="L168" s="27">
        <f>+'Prog 05'!L13</f>
        <v>0</v>
      </c>
      <c r="M168" s="240">
        <f t="shared" si="50"/>
        <v>0</v>
      </c>
      <c r="N168" s="27">
        <f>+'Prog 05'!N13</f>
        <v>0</v>
      </c>
      <c r="O168" s="240">
        <f t="shared" si="51"/>
        <v>0</v>
      </c>
      <c r="P168" s="27">
        <f>+'Prog 05'!P13</f>
        <v>0</v>
      </c>
      <c r="Q168" s="27">
        <f>+'Prog 05'!Q13</f>
        <v>0</v>
      </c>
      <c r="R168" s="240" t="str">
        <f t="shared" si="49"/>
        <v>0.00%</v>
      </c>
      <c r="T168" s="858"/>
      <c r="V168" s="859"/>
      <c r="W168" s="109"/>
      <c r="X168" s="109"/>
      <c r="Y168" s="109"/>
      <c r="Z168" s="113"/>
      <c r="AX168" s="20"/>
    </row>
    <row r="169" spans="2:50" ht="15" hidden="1" customHeight="1" outlineLevel="1" x14ac:dyDescent="0.2">
      <c r="B169" s="382"/>
      <c r="C169" s="24"/>
      <c r="D169" s="25"/>
      <c r="E169" s="26"/>
      <c r="F169" s="63" t="s">
        <v>668</v>
      </c>
      <c r="G169" s="385" t="s">
        <v>507</v>
      </c>
      <c r="H169" s="27">
        <f>+'Prog 05'!H14</f>
        <v>0</v>
      </c>
      <c r="I169" s="27">
        <f>+'Prog 05'!I14</f>
        <v>0</v>
      </c>
      <c r="J169" s="27">
        <f>+'Prog 05'!J14</f>
        <v>0</v>
      </c>
      <c r="K169" s="240" t="str">
        <f t="shared" si="43"/>
        <v>0.00%</v>
      </c>
      <c r="L169" s="27">
        <f>+'Prog 05'!L14</f>
        <v>0</v>
      </c>
      <c r="M169" s="240">
        <f t="shared" si="50"/>
        <v>0</v>
      </c>
      <c r="N169" s="27">
        <f>+'Prog 05'!N14</f>
        <v>0</v>
      </c>
      <c r="O169" s="240">
        <f t="shared" si="51"/>
        <v>0</v>
      </c>
      <c r="P169" s="27">
        <f>+'Prog 05'!P14</f>
        <v>0</v>
      </c>
      <c r="Q169" s="27">
        <f>+'Prog 05'!Q14</f>
        <v>0</v>
      </c>
      <c r="R169" s="240" t="str">
        <f t="shared" si="49"/>
        <v>0.00%</v>
      </c>
      <c r="T169" s="858"/>
      <c r="V169" s="859"/>
      <c r="W169" s="109"/>
      <c r="X169" s="109"/>
      <c r="Y169" s="109"/>
      <c r="Z169" s="113"/>
      <c r="AX169" s="20"/>
    </row>
    <row r="170" spans="2:50" ht="15" hidden="1" customHeight="1" outlineLevel="1" x14ac:dyDescent="0.2">
      <c r="B170" s="382"/>
      <c r="C170" s="24"/>
      <c r="D170" s="25"/>
      <c r="E170" s="26"/>
      <c r="F170" s="63" t="s">
        <v>223</v>
      </c>
      <c r="G170" s="385" t="s">
        <v>657</v>
      </c>
      <c r="H170" s="27">
        <f>+'Prog 05'!H15</f>
        <v>0</v>
      </c>
      <c r="I170" s="27">
        <f>+'Prog 05'!I15</f>
        <v>10000</v>
      </c>
      <c r="J170" s="27">
        <f>+'Prog 05'!J15</f>
        <v>0</v>
      </c>
      <c r="K170" s="240">
        <f t="shared" si="43"/>
        <v>0</v>
      </c>
      <c r="L170" s="27">
        <f>+'Prog 05'!L15</f>
        <v>0</v>
      </c>
      <c r="M170" s="240">
        <f t="shared" si="50"/>
        <v>0</v>
      </c>
      <c r="N170" s="27">
        <f>+'Prog 05'!N15</f>
        <v>10000</v>
      </c>
      <c r="O170" s="240">
        <f t="shared" si="51"/>
        <v>1</v>
      </c>
      <c r="P170" s="27">
        <f>+'Prog 05'!P15</f>
        <v>0</v>
      </c>
      <c r="Q170" s="27">
        <f>+'Prog 05'!Q15</f>
        <v>0</v>
      </c>
      <c r="R170" s="240" t="str">
        <f t="shared" si="49"/>
        <v>0.00%</v>
      </c>
      <c r="T170" s="858"/>
      <c r="V170" s="859"/>
      <c r="W170" s="109"/>
      <c r="X170" s="109"/>
      <c r="Y170" s="109"/>
      <c r="Z170" s="113"/>
      <c r="AX170" s="20"/>
    </row>
    <row r="171" spans="2:50" ht="15" hidden="1" customHeight="1" outlineLevel="1" x14ac:dyDescent="0.2">
      <c r="B171" s="382"/>
      <c r="C171" s="24"/>
      <c r="D171" s="25"/>
      <c r="E171" s="26"/>
      <c r="F171" s="63" t="s">
        <v>757</v>
      </c>
      <c r="G171" s="385" t="s">
        <v>600</v>
      </c>
      <c r="H171" s="27">
        <v>0</v>
      </c>
      <c r="I171" s="27">
        <f>+'Prog 05'!I16</f>
        <v>77750</v>
      </c>
      <c r="J171" s="27">
        <v>0</v>
      </c>
      <c r="K171" s="240">
        <f t="shared" si="43"/>
        <v>0</v>
      </c>
      <c r="L171" s="27">
        <v>0</v>
      </c>
      <c r="M171" s="240">
        <f t="shared" si="50"/>
        <v>0</v>
      </c>
      <c r="N171" s="27">
        <f>+'Prog 05'!N16</f>
        <v>77750</v>
      </c>
      <c r="O171" s="240">
        <f t="shared" si="51"/>
        <v>1</v>
      </c>
      <c r="P171" s="27">
        <f>+'Prog 05'!P16</f>
        <v>0</v>
      </c>
      <c r="Q171" s="27">
        <f>+'Prog 05'!Q16</f>
        <v>0</v>
      </c>
      <c r="R171" s="240" t="str">
        <f t="shared" si="49"/>
        <v>0.00%</v>
      </c>
      <c r="T171" s="858"/>
      <c r="V171" s="859"/>
      <c r="W171" s="109"/>
      <c r="X171" s="109"/>
      <c r="Y171" s="109"/>
      <c r="Z171" s="113"/>
      <c r="AX171" s="20"/>
    </row>
    <row r="172" spans="2:50" ht="15" hidden="1" customHeight="1" outlineLevel="1" x14ac:dyDescent="0.2">
      <c r="B172" s="382"/>
      <c r="C172" s="24"/>
      <c r="D172" s="25"/>
      <c r="E172" s="26"/>
      <c r="F172" s="63" t="s">
        <v>224</v>
      </c>
      <c r="G172" s="385" t="s">
        <v>658</v>
      </c>
      <c r="H172" s="27">
        <f>+'Prog 05'!H17</f>
        <v>0</v>
      </c>
      <c r="I172" s="27">
        <f>+'Prog 05'!I17</f>
        <v>0</v>
      </c>
      <c r="J172" s="27">
        <f>+'Prog 05'!J17</f>
        <v>0</v>
      </c>
      <c r="K172" s="240" t="str">
        <f t="shared" si="43"/>
        <v>0.00%</v>
      </c>
      <c r="L172" s="27">
        <f>+'Prog 05'!L17</f>
        <v>0</v>
      </c>
      <c r="M172" s="240">
        <f t="shared" si="50"/>
        <v>0</v>
      </c>
      <c r="N172" s="27">
        <f>+'Prog 05'!N17</f>
        <v>0</v>
      </c>
      <c r="O172" s="240">
        <f t="shared" si="51"/>
        <v>0</v>
      </c>
      <c r="P172" s="27">
        <f>+'Prog 05'!P17</f>
        <v>0</v>
      </c>
      <c r="Q172" s="27">
        <f>+'Prog 05'!Q17</f>
        <v>0</v>
      </c>
      <c r="R172" s="240" t="str">
        <f t="shared" si="49"/>
        <v>0.00%</v>
      </c>
      <c r="T172" s="858"/>
      <c r="V172" s="859"/>
      <c r="W172" s="109"/>
      <c r="X172" s="109"/>
      <c r="Y172" s="109"/>
      <c r="Z172" s="113"/>
      <c r="AX172" s="20"/>
    </row>
    <row r="173" spans="2:50" ht="15" hidden="1" customHeight="1" outlineLevel="1" x14ac:dyDescent="0.2">
      <c r="B173" s="382"/>
      <c r="C173" s="24"/>
      <c r="D173" s="25"/>
      <c r="E173" s="26"/>
      <c r="F173" s="63" t="s">
        <v>225</v>
      </c>
      <c r="G173" s="385" t="s">
        <v>659</v>
      </c>
      <c r="H173" s="27">
        <f>+'Prog 05'!H18</f>
        <v>0</v>
      </c>
      <c r="I173" s="27">
        <f>+'Prog 05'!I18</f>
        <v>0</v>
      </c>
      <c r="J173" s="27">
        <f>+'Prog 05'!J18</f>
        <v>0</v>
      </c>
      <c r="K173" s="240" t="str">
        <f t="shared" si="43"/>
        <v>0.00%</v>
      </c>
      <c r="L173" s="27">
        <f>+'Prog 05'!L18</f>
        <v>0</v>
      </c>
      <c r="M173" s="240">
        <f t="shared" si="50"/>
        <v>0</v>
      </c>
      <c r="N173" s="27">
        <f>+'Prog 05'!N18</f>
        <v>0</v>
      </c>
      <c r="O173" s="240">
        <f t="shared" si="51"/>
        <v>0</v>
      </c>
      <c r="P173" s="27">
        <f>+'Prog 05'!P18</f>
        <v>0</v>
      </c>
      <c r="Q173" s="27">
        <f>+'Prog 05'!Q18</f>
        <v>0</v>
      </c>
      <c r="R173" s="240" t="str">
        <f t="shared" si="49"/>
        <v>0.00%</v>
      </c>
      <c r="T173" s="858"/>
      <c r="V173" s="859"/>
      <c r="W173" s="109"/>
      <c r="X173" s="109"/>
      <c r="Y173" s="109"/>
      <c r="Z173" s="113"/>
      <c r="AX173" s="20"/>
    </row>
    <row r="174" spans="2:50" ht="15" hidden="1" customHeight="1" outlineLevel="1" x14ac:dyDescent="0.2">
      <c r="B174" s="382"/>
      <c r="C174" s="24"/>
      <c r="D174" s="25"/>
      <c r="E174" s="26"/>
      <c r="F174" s="63" t="s">
        <v>226</v>
      </c>
      <c r="G174" s="385" t="s">
        <v>660</v>
      </c>
      <c r="H174" s="27">
        <f>+'Prog 05'!H19</f>
        <v>0</v>
      </c>
      <c r="I174" s="27">
        <f>+'Prog 05'!I19</f>
        <v>35840</v>
      </c>
      <c r="J174" s="27">
        <f>+'Prog 05'!J19</f>
        <v>0</v>
      </c>
      <c r="K174" s="240">
        <f t="shared" si="43"/>
        <v>0</v>
      </c>
      <c r="L174" s="27">
        <f>+'Prog 05'!L19</f>
        <v>0</v>
      </c>
      <c r="M174" s="240">
        <f t="shared" si="50"/>
        <v>0</v>
      </c>
      <c r="N174" s="27">
        <f>+'Prog 05'!N19</f>
        <v>35840</v>
      </c>
      <c r="O174" s="240">
        <f t="shared" si="51"/>
        <v>1</v>
      </c>
      <c r="P174" s="27">
        <f>+'Prog 05'!P19</f>
        <v>0</v>
      </c>
      <c r="Q174" s="27">
        <f>+'Prog 05'!Q19</f>
        <v>0</v>
      </c>
      <c r="R174" s="240" t="str">
        <f t="shared" si="49"/>
        <v>0.00%</v>
      </c>
      <c r="T174" s="858"/>
      <c r="V174" s="859"/>
      <c r="W174" s="109"/>
      <c r="X174" s="109"/>
      <c r="Y174" s="109"/>
      <c r="Z174" s="113"/>
      <c r="AX174" s="20"/>
    </row>
    <row r="175" spans="2:50" ht="15" hidden="1" customHeight="1" outlineLevel="1" x14ac:dyDescent="0.2">
      <c r="B175" s="382"/>
      <c r="C175" s="24"/>
      <c r="D175" s="25"/>
      <c r="E175" s="26"/>
      <c r="F175" s="63" t="s">
        <v>227</v>
      </c>
      <c r="G175" s="385" t="s">
        <v>661</v>
      </c>
      <c r="H175" s="27">
        <f>+'Prog 05'!H20</f>
        <v>0</v>
      </c>
      <c r="I175" s="27">
        <f>+'Prog 05'!I20</f>
        <v>252000</v>
      </c>
      <c r="J175" s="27">
        <f>+'Prog 05'!J20</f>
        <v>0</v>
      </c>
      <c r="K175" s="240">
        <f t="shared" si="43"/>
        <v>0</v>
      </c>
      <c r="L175" s="27">
        <f>+'Prog 05'!L20</f>
        <v>0</v>
      </c>
      <c r="M175" s="240">
        <f t="shared" si="50"/>
        <v>0</v>
      </c>
      <c r="N175" s="27">
        <f>+'Prog 05'!N20</f>
        <v>252000</v>
      </c>
      <c r="O175" s="240">
        <f t="shared" si="51"/>
        <v>1</v>
      </c>
      <c r="P175" s="27">
        <f>+'Prog 05'!P20</f>
        <v>0</v>
      </c>
      <c r="Q175" s="27">
        <f>+'Prog 05'!Q20</f>
        <v>0</v>
      </c>
      <c r="R175" s="240" t="str">
        <f t="shared" si="49"/>
        <v>0.00%</v>
      </c>
      <c r="T175" s="858"/>
      <c r="V175" s="859"/>
      <c r="W175" s="109"/>
      <c r="X175" s="109"/>
      <c r="Y175" s="109"/>
      <c r="Z175" s="113"/>
      <c r="AX175" s="20"/>
    </row>
    <row r="176" spans="2:50" ht="15" hidden="1" customHeight="1" outlineLevel="1" x14ac:dyDescent="0.2">
      <c r="B176" s="382"/>
      <c r="C176" s="24"/>
      <c r="D176" s="25"/>
      <c r="E176" s="26"/>
      <c r="F176" s="63" t="s">
        <v>228</v>
      </c>
      <c r="G176" s="385" t="s">
        <v>591</v>
      </c>
      <c r="H176" s="64">
        <f>+'Prog 05'!H21</f>
        <v>0</v>
      </c>
      <c r="I176" s="64">
        <f>+'Prog 05'!I21</f>
        <v>50000</v>
      </c>
      <c r="J176" s="64">
        <f>+'Prog 05'!J21</f>
        <v>0</v>
      </c>
      <c r="K176" s="240">
        <f t="shared" si="43"/>
        <v>0</v>
      </c>
      <c r="L176" s="27">
        <f>+'Prog 05'!L21</f>
        <v>0</v>
      </c>
      <c r="M176" s="240">
        <f t="shared" si="50"/>
        <v>0</v>
      </c>
      <c r="N176" s="27">
        <f>+'Prog 05'!N21</f>
        <v>50000</v>
      </c>
      <c r="O176" s="240">
        <f t="shared" si="51"/>
        <v>1</v>
      </c>
      <c r="P176" s="27">
        <f>+'Prog 05'!P21</f>
        <v>0</v>
      </c>
      <c r="Q176" s="27">
        <f>+'Prog 05'!Q21</f>
        <v>0</v>
      </c>
      <c r="R176" s="240" t="str">
        <f t="shared" si="49"/>
        <v>0.00%</v>
      </c>
      <c r="T176" s="858"/>
      <c r="V176" s="859"/>
      <c r="W176" s="109"/>
      <c r="X176" s="109"/>
      <c r="Y176" s="109"/>
      <c r="Z176" s="113"/>
      <c r="AX176" s="20"/>
    </row>
    <row r="177" spans="2:50" ht="15" hidden="1" customHeight="1" outlineLevel="1" x14ac:dyDescent="0.2">
      <c r="B177" s="382"/>
      <c r="C177" s="24"/>
      <c r="D177" s="25"/>
      <c r="E177" s="26"/>
      <c r="F177" s="63" t="s">
        <v>229</v>
      </c>
      <c r="G177" s="385" t="s">
        <v>693</v>
      </c>
      <c r="H177" s="64">
        <f>+'Prog 05'!H23</f>
        <v>0</v>
      </c>
      <c r="I177" s="64">
        <v>0</v>
      </c>
      <c r="J177" s="64">
        <f>+'Prog 05'!J23</f>
        <v>0</v>
      </c>
      <c r="K177" s="240" t="str">
        <f t="shared" si="43"/>
        <v>0.00%</v>
      </c>
      <c r="L177" s="27">
        <f>+'Prog 05'!L23</f>
        <v>0</v>
      </c>
      <c r="M177" s="240">
        <f t="shared" si="50"/>
        <v>0</v>
      </c>
      <c r="N177" s="27">
        <f>+'Prog 05'!N22</f>
        <v>0</v>
      </c>
      <c r="O177" s="240">
        <f t="shared" si="51"/>
        <v>0</v>
      </c>
      <c r="P177" s="27">
        <f>+'Prog 05'!P22</f>
        <v>0</v>
      </c>
      <c r="Q177" s="27">
        <f>+'Prog 05'!Q22</f>
        <v>0</v>
      </c>
      <c r="R177" s="240" t="str">
        <f t="shared" si="49"/>
        <v>0.00%</v>
      </c>
      <c r="T177" s="858"/>
      <c r="V177" s="859"/>
      <c r="W177" s="109"/>
      <c r="X177" s="109"/>
      <c r="Y177" s="109"/>
      <c r="Z177" s="113"/>
      <c r="AX177" s="20"/>
    </row>
    <row r="178" spans="2:50" ht="15" hidden="1" customHeight="1" outlineLevel="1" x14ac:dyDescent="0.2">
      <c r="B178" s="382"/>
      <c r="C178" s="24"/>
      <c r="D178" s="25"/>
      <c r="E178" s="26"/>
      <c r="F178" s="63" t="s">
        <v>230</v>
      </c>
      <c r="G178" s="385" t="s">
        <v>662</v>
      </c>
      <c r="H178" s="64">
        <f>+'Prog 05'!H23</f>
        <v>0</v>
      </c>
      <c r="I178" s="64">
        <f>+'Prog 05'!I23</f>
        <v>25000</v>
      </c>
      <c r="J178" s="64">
        <f>+'Prog 05'!J23</f>
        <v>0</v>
      </c>
      <c r="K178" s="240">
        <f t="shared" si="43"/>
        <v>0</v>
      </c>
      <c r="L178" s="27">
        <f>+'Prog 05'!L23</f>
        <v>0</v>
      </c>
      <c r="M178" s="240">
        <f t="shared" si="50"/>
        <v>0</v>
      </c>
      <c r="N178" s="27">
        <f>+'Prog 05'!N23</f>
        <v>25000</v>
      </c>
      <c r="O178" s="240">
        <f t="shared" si="51"/>
        <v>1</v>
      </c>
      <c r="P178" s="27">
        <f>+'Prog 05'!P23</f>
        <v>0</v>
      </c>
      <c r="Q178" s="27">
        <f>+'Prog 05'!Q23</f>
        <v>0</v>
      </c>
      <c r="R178" s="240" t="str">
        <f t="shared" si="49"/>
        <v>0.00%</v>
      </c>
      <c r="T178" s="858"/>
      <c r="V178" s="859"/>
      <c r="W178" s="109"/>
      <c r="X178" s="109"/>
      <c r="Y178" s="109"/>
      <c r="Z178" s="113"/>
      <c r="AX178" s="20"/>
    </row>
    <row r="179" spans="2:50" ht="15" hidden="1" customHeight="1" outlineLevel="1" x14ac:dyDescent="0.2">
      <c r="B179" s="382"/>
      <c r="C179" s="24"/>
      <c r="D179" s="25"/>
      <c r="E179" s="26"/>
      <c r="F179" s="63" t="s">
        <v>231</v>
      </c>
      <c r="G179" s="385" t="s">
        <v>663</v>
      </c>
      <c r="H179" s="64">
        <f>+'Prog 05'!H24</f>
        <v>0</v>
      </c>
      <c r="I179" s="64">
        <f>+'Prog 05'!I24</f>
        <v>0</v>
      </c>
      <c r="J179" s="64">
        <f>+'Prog 05'!J24</f>
        <v>0</v>
      </c>
      <c r="K179" s="240" t="str">
        <f t="shared" si="43"/>
        <v>0.00%</v>
      </c>
      <c r="L179" s="27">
        <f>+'Prog 05'!L24</f>
        <v>0</v>
      </c>
      <c r="M179" s="240">
        <f t="shared" si="50"/>
        <v>0</v>
      </c>
      <c r="N179" s="27">
        <f>+'Prog 05'!N24</f>
        <v>0</v>
      </c>
      <c r="O179" s="240">
        <f t="shared" si="51"/>
        <v>0</v>
      </c>
      <c r="P179" s="27">
        <f>+'Prog 05'!P24</f>
        <v>0</v>
      </c>
      <c r="Q179" s="27">
        <f>+'Prog 05'!Q24</f>
        <v>0</v>
      </c>
      <c r="R179" s="240" t="str">
        <f t="shared" si="49"/>
        <v>0.00%</v>
      </c>
      <c r="T179" s="858"/>
      <c r="V179" s="859"/>
      <c r="W179" s="109"/>
      <c r="X179" s="109"/>
      <c r="Y179" s="109"/>
      <c r="Z179" s="113"/>
      <c r="AX179" s="20"/>
    </row>
    <row r="180" spans="2:50" ht="15" hidden="1" customHeight="1" outlineLevel="1" x14ac:dyDescent="0.2">
      <c r="B180" s="382"/>
      <c r="C180" s="24"/>
      <c r="D180" s="25"/>
      <c r="E180" s="26"/>
      <c r="F180" s="63" t="s">
        <v>232</v>
      </c>
      <c r="G180" s="385" t="s">
        <v>692</v>
      </c>
      <c r="H180" s="64">
        <f>+'Prog 05'!H26</f>
        <v>0</v>
      </c>
      <c r="I180" s="64">
        <f>+'Prog 05'!I25</f>
        <v>1450</v>
      </c>
      <c r="J180" s="64">
        <f>+'Prog 05'!J26</f>
        <v>0</v>
      </c>
      <c r="K180" s="240">
        <f t="shared" si="43"/>
        <v>0</v>
      </c>
      <c r="L180" s="27">
        <f>+'Prog 05'!L26</f>
        <v>0</v>
      </c>
      <c r="M180" s="240">
        <f t="shared" si="50"/>
        <v>0</v>
      </c>
      <c r="N180" s="27">
        <f>+'Prog 05'!N25</f>
        <v>1450</v>
      </c>
      <c r="O180" s="240">
        <f t="shared" si="51"/>
        <v>1</v>
      </c>
      <c r="P180" s="27">
        <f>+'Prog 05'!P25</f>
        <v>0</v>
      </c>
      <c r="Q180" s="27">
        <f>+'Prog 05'!Q25</f>
        <v>0</v>
      </c>
      <c r="R180" s="240" t="str">
        <f t="shared" si="49"/>
        <v>0.00%</v>
      </c>
      <c r="T180" s="858"/>
      <c r="V180" s="859"/>
      <c r="W180" s="109"/>
      <c r="X180" s="109"/>
      <c r="Y180" s="109"/>
      <c r="Z180" s="113"/>
      <c r="AX180" s="20"/>
    </row>
    <row r="181" spans="2:50" ht="15" hidden="1" customHeight="1" outlineLevel="1" x14ac:dyDescent="0.2">
      <c r="B181" s="382"/>
      <c r="C181" s="24"/>
      <c r="D181" s="25"/>
      <c r="E181" s="26"/>
      <c r="F181" s="63" t="s">
        <v>233</v>
      </c>
      <c r="G181" s="385" t="s">
        <v>664</v>
      </c>
      <c r="H181" s="64">
        <f>+'Prog 05'!H26</f>
        <v>0</v>
      </c>
      <c r="I181" s="64">
        <f>+'Prog 05'!I26</f>
        <v>60000</v>
      </c>
      <c r="J181" s="64">
        <f>+'Prog 05'!J26</f>
        <v>0</v>
      </c>
      <c r="K181" s="240">
        <f t="shared" si="43"/>
        <v>0</v>
      </c>
      <c r="L181" s="27">
        <f>+'Prog 05'!L26</f>
        <v>0</v>
      </c>
      <c r="M181" s="240">
        <f t="shared" si="50"/>
        <v>0</v>
      </c>
      <c r="N181" s="27">
        <f>+'Prog 05'!N26</f>
        <v>60000</v>
      </c>
      <c r="O181" s="240">
        <f t="shared" si="51"/>
        <v>1</v>
      </c>
      <c r="P181" s="27">
        <f>+'Prog 05'!P26</f>
        <v>0</v>
      </c>
      <c r="Q181" s="27">
        <f>+'Prog 05'!Q26</f>
        <v>0</v>
      </c>
      <c r="R181" s="240" t="str">
        <f t="shared" si="49"/>
        <v>0.00%</v>
      </c>
      <c r="T181" s="858"/>
      <c r="V181" s="859"/>
      <c r="W181" s="109"/>
      <c r="X181" s="109"/>
      <c r="Y181" s="109"/>
      <c r="Z181" s="113"/>
      <c r="AX181" s="20"/>
    </row>
    <row r="182" spans="2:50" ht="15" hidden="1" customHeight="1" outlineLevel="1" x14ac:dyDescent="0.2">
      <c r="B182" s="382"/>
      <c r="C182" s="24"/>
      <c r="D182" s="25"/>
      <c r="E182" s="26"/>
      <c r="F182" s="63" t="s">
        <v>234</v>
      </c>
      <c r="G182" s="385" t="s">
        <v>665</v>
      </c>
      <c r="H182" s="64">
        <f>+'Prog 05'!H27</f>
        <v>0</v>
      </c>
      <c r="I182" s="64">
        <f>+'Prog 05'!I27</f>
        <v>12500</v>
      </c>
      <c r="J182" s="64">
        <f>+'Prog 05'!J27</f>
        <v>0</v>
      </c>
      <c r="K182" s="240">
        <f t="shared" si="43"/>
        <v>0</v>
      </c>
      <c r="L182" s="27">
        <f>+'Prog 05'!L27</f>
        <v>0</v>
      </c>
      <c r="M182" s="240">
        <f t="shared" si="50"/>
        <v>0</v>
      </c>
      <c r="N182" s="27">
        <f>+'Prog 05'!N27</f>
        <v>12500</v>
      </c>
      <c r="O182" s="240">
        <f t="shared" si="51"/>
        <v>1</v>
      </c>
      <c r="P182" s="27">
        <f>+'Prog 05'!P27</f>
        <v>0</v>
      </c>
      <c r="Q182" s="27">
        <f>+'Prog 05'!Q27</f>
        <v>0</v>
      </c>
      <c r="R182" s="240" t="str">
        <f t="shared" si="49"/>
        <v>0.00%</v>
      </c>
      <c r="T182" s="858"/>
      <c r="V182" s="859"/>
      <c r="W182" s="109"/>
      <c r="X182" s="109"/>
      <c r="Y182" s="109"/>
      <c r="Z182" s="113"/>
      <c r="AX182" s="20"/>
    </row>
    <row r="183" spans="2:50" ht="15" hidden="1" customHeight="1" outlineLevel="1" x14ac:dyDescent="0.2">
      <c r="B183" s="382"/>
      <c r="C183" s="24"/>
      <c r="D183" s="25"/>
      <c r="E183" s="26"/>
      <c r="F183" s="63" t="s">
        <v>235</v>
      </c>
      <c r="G183" s="385" t="s">
        <v>666</v>
      </c>
      <c r="H183" s="64">
        <f>+'Prog 05'!H28</f>
        <v>0</v>
      </c>
      <c r="I183" s="64">
        <f>+'Prog 05'!I28</f>
        <v>0</v>
      </c>
      <c r="J183" s="64">
        <f>+'Prog 05'!J28</f>
        <v>0</v>
      </c>
      <c r="K183" s="240" t="str">
        <f t="shared" si="43"/>
        <v>0.00%</v>
      </c>
      <c r="L183" s="27">
        <f>+'Prog 05'!L28</f>
        <v>0</v>
      </c>
      <c r="M183" s="240">
        <f t="shared" si="50"/>
        <v>0</v>
      </c>
      <c r="N183" s="27">
        <f>+'Prog 05'!N28</f>
        <v>0</v>
      </c>
      <c r="O183" s="240">
        <f t="shared" si="51"/>
        <v>0</v>
      </c>
      <c r="P183" s="27">
        <f>+'Prog 05'!P28</f>
        <v>0</v>
      </c>
      <c r="Q183" s="27">
        <f>+'Prog 05'!Q28</f>
        <v>0</v>
      </c>
      <c r="R183" s="240" t="str">
        <f t="shared" si="49"/>
        <v>0.00%</v>
      </c>
      <c r="T183" s="858"/>
      <c r="V183" s="859"/>
      <c r="W183" s="109"/>
      <c r="X183" s="109"/>
      <c r="Y183" s="109"/>
      <c r="Z183" s="113"/>
      <c r="AX183" s="20"/>
    </row>
    <row r="184" spans="2:50" ht="15" hidden="1" customHeight="1" outlineLevel="1" x14ac:dyDescent="0.2">
      <c r="B184" s="382"/>
      <c r="C184" s="24"/>
      <c r="D184" s="25"/>
      <c r="E184" s="26"/>
      <c r="F184" s="63" t="s">
        <v>236</v>
      </c>
      <c r="G184" s="385" t="s">
        <v>667</v>
      </c>
      <c r="H184" s="64">
        <f>+'Prog 05'!H29</f>
        <v>0</v>
      </c>
      <c r="I184" s="64">
        <f>+'Prog 05'!I29</f>
        <v>0</v>
      </c>
      <c r="J184" s="64">
        <f>+'Prog 05'!J29</f>
        <v>0</v>
      </c>
      <c r="K184" s="240" t="str">
        <f t="shared" si="43"/>
        <v>0.00%</v>
      </c>
      <c r="L184" s="27">
        <f>+'Prog 05'!L29</f>
        <v>0</v>
      </c>
      <c r="M184" s="240">
        <f t="shared" si="50"/>
        <v>0</v>
      </c>
      <c r="N184" s="27">
        <f>+'Prog 05'!N29</f>
        <v>0</v>
      </c>
      <c r="O184" s="240">
        <f t="shared" si="51"/>
        <v>0</v>
      </c>
      <c r="P184" s="27">
        <f>+'Prog 05'!P29</f>
        <v>0</v>
      </c>
      <c r="Q184" s="27">
        <f>+'Prog 05'!Q29</f>
        <v>0</v>
      </c>
      <c r="R184" s="240" t="str">
        <f t="shared" si="49"/>
        <v>0.00%</v>
      </c>
      <c r="T184" s="858"/>
      <c r="V184" s="859"/>
      <c r="W184" s="109"/>
      <c r="X184" s="109"/>
      <c r="Y184" s="109"/>
      <c r="Z184" s="113"/>
      <c r="AX184" s="20"/>
    </row>
    <row r="185" spans="2:50" ht="15" hidden="1" customHeight="1" outlineLevel="1" x14ac:dyDescent="0.2">
      <c r="B185" s="382"/>
      <c r="C185" s="24"/>
      <c r="D185" s="25"/>
      <c r="E185" s="26"/>
      <c r="F185" s="63" t="s">
        <v>701</v>
      </c>
      <c r="G185" s="385" t="s">
        <v>592</v>
      </c>
      <c r="H185" s="64">
        <f>+'Prog 05'!H31</f>
        <v>0</v>
      </c>
      <c r="I185" s="64">
        <f>+'Prog 05'!I30</f>
        <v>38400</v>
      </c>
      <c r="J185" s="64">
        <f>+'Prog 05'!J31</f>
        <v>0</v>
      </c>
      <c r="K185" s="240">
        <f t="shared" si="43"/>
        <v>0</v>
      </c>
      <c r="L185" s="27">
        <f>+'Prog 05'!L31</f>
        <v>0</v>
      </c>
      <c r="M185" s="240">
        <f t="shared" si="50"/>
        <v>0</v>
      </c>
      <c r="N185" s="27">
        <f>+'Prog 05'!N30</f>
        <v>38400</v>
      </c>
      <c r="O185" s="240">
        <f t="shared" si="51"/>
        <v>1</v>
      </c>
      <c r="P185" s="27">
        <f>+'Prog 05'!P30</f>
        <v>0</v>
      </c>
      <c r="Q185" s="27">
        <f>+'Prog 05'!Q30</f>
        <v>0</v>
      </c>
      <c r="R185" s="240" t="str">
        <f t="shared" si="49"/>
        <v>0.00%</v>
      </c>
      <c r="T185" s="858"/>
      <c r="V185" s="859"/>
      <c r="W185" s="109"/>
      <c r="X185" s="109"/>
      <c r="Y185" s="109"/>
      <c r="Z185" s="113"/>
      <c r="AX185" s="20"/>
    </row>
    <row r="186" spans="2:50" ht="15" hidden="1" customHeight="1" outlineLevel="1" x14ac:dyDescent="0.2">
      <c r="B186" s="382"/>
      <c r="C186" s="24"/>
      <c r="D186" s="25"/>
      <c r="E186" s="26"/>
      <c r="F186" s="63" t="s">
        <v>827</v>
      </c>
      <c r="G186" s="385" t="s">
        <v>817</v>
      </c>
      <c r="H186" s="64">
        <f>+'Prog 02'!H12</f>
        <v>0</v>
      </c>
      <c r="I186" s="64">
        <f>+'Prog 02'!I12</f>
        <v>0</v>
      </c>
      <c r="J186" s="64">
        <f ca="1">+'Prog 02'!J12</f>
        <v>0</v>
      </c>
      <c r="K186" s="240" t="str">
        <f t="shared" ca="1" si="43"/>
        <v>0.00%</v>
      </c>
      <c r="L186" s="27">
        <f>+'Prog 02'!L12</f>
        <v>0</v>
      </c>
      <c r="M186" s="240">
        <f t="shared" si="50"/>
        <v>0</v>
      </c>
      <c r="N186" s="27">
        <f>+'Prog 05'!N31</f>
        <v>0</v>
      </c>
      <c r="O186" s="240">
        <f t="shared" si="51"/>
        <v>0</v>
      </c>
      <c r="P186" s="27">
        <f>+'Prog 02'!P12</f>
        <v>0</v>
      </c>
      <c r="Q186" s="27">
        <f>+'Prog 02'!Q12</f>
        <v>0</v>
      </c>
      <c r="R186" s="240" t="str">
        <f t="shared" si="49"/>
        <v>0.00%</v>
      </c>
      <c r="T186" s="858"/>
      <c r="V186" s="859"/>
      <c r="W186" s="109"/>
      <c r="X186" s="109"/>
      <c r="Y186" s="109"/>
      <c r="Z186" s="113"/>
      <c r="AX186" s="20"/>
    </row>
    <row r="187" spans="2:50" ht="15" hidden="1" customHeight="1" outlineLevel="1" x14ac:dyDescent="0.2">
      <c r="B187" s="382"/>
      <c r="C187" s="24"/>
      <c r="D187" s="25"/>
      <c r="E187" s="26"/>
      <c r="F187" s="63" t="s">
        <v>669</v>
      </c>
      <c r="G187" s="385" t="s">
        <v>506</v>
      </c>
      <c r="H187" s="64">
        <f>+'Prog 05'!H31</f>
        <v>0</v>
      </c>
      <c r="I187" s="64">
        <f>+'Prog 05'!I31</f>
        <v>0</v>
      </c>
      <c r="J187" s="64">
        <f>+'Prog 05'!J31</f>
        <v>0</v>
      </c>
      <c r="K187" s="240" t="str">
        <f t="shared" si="43"/>
        <v>0.00%</v>
      </c>
      <c r="L187" s="27">
        <f>+'Prog 05'!L31</f>
        <v>0</v>
      </c>
      <c r="M187" s="240">
        <f t="shared" si="50"/>
        <v>0</v>
      </c>
      <c r="N187" s="27">
        <f t="shared" ref="N187" si="53">+J187-L187</f>
        <v>0</v>
      </c>
      <c r="O187" s="240">
        <f t="shared" si="51"/>
        <v>0</v>
      </c>
      <c r="P187" s="27">
        <f>+'Prog 05'!P31</f>
        <v>0</v>
      </c>
      <c r="Q187" s="27">
        <f>+'Prog 05'!Q31</f>
        <v>0</v>
      </c>
      <c r="R187" s="240" t="str">
        <f t="shared" si="49"/>
        <v>0.00%</v>
      </c>
      <c r="T187" s="858"/>
      <c r="V187" s="859"/>
      <c r="W187" s="109"/>
      <c r="X187" s="109"/>
      <c r="Y187" s="109"/>
      <c r="Z187" s="113"/>
      <c r="AX187" s="20"/>
    </row>
    <row r="188" spans="2:50" ht="15" hidden="1" customHeight="1" outlineLevel="1" x14ac:dyDescent="0.2">
      <c r="B188" s="382" t="s">
        <v>2</v>
      </c>
      <c r="C188" s="24" t="s">
        <v>163</v>
      </c>
      <c r="D188" s="25"/>
      <c r="E188" s="33"/>
      <c r="F188" s="33"/>
      <c r="G188" s="383" t="s">
        <v>3</v>
      </c>
      <c r="H188" s="64">
        <f>SUM(H189:H206)</f>
        <v>82881718</v>
      </c>
      <c r="I188" s="64">
        <f>SUM(I189:I206)</f>
        <v>83476718</v>
      </c>
      <c r="J188" s="64">
        <f ca="1">SUM(J189:J206)</f>
        <v>78656373.001000002</v>
      </c>
      <c r="K188" s="240">
        <f t="shared" ca="1" si="43"/>
        <v>0.94225521661021705</v>
      </c>
      <c r="L188" s="27">
        <f>SUM(L189:L206)</f>
        <v>79852657.364999995</v>
      </c>
      <c r="M188" s="240">
        <f t="shared" si="50"/>
        <v>0.95658597125248734</v>
      </c>
      <c r="N188" s="27">
        <f>SUM(N189:N206)</f>
        <v>3624060.6349999961</v>
      </c>
      <c r="O188" s="240">
        <f t="shared" si="51"/>
        <v>4.3414028747512524E-2</v>
      </c>
      <c r="P188" s="27">
        <f>SUM(P189:P206)</f>
        <v>90411893.384000003</v>
      </c>
      <c r="Q188" s="27">
        <f ca="1">SUM(Q189:Q206)</f>
        <v>84462603.165976003</v>
      </c>
      <c r="R188" s="240">
        <f t="shared" ca="1" si="49"/>
        <v>0.93419792468280693</v>
      </c>
      <c r="T188" s="858"/>
      <c r="V188" s="859"/>
      <c r="W188" s="109"/>
      <c r="X188" s="109"/>
      <c r="Y188" s="109"/>
      <c r="Z188" s="113"/>
    </row>
    <row r="189" spans="2:50" ht="15" hidden="1" customHeight="1" outlineLevel="2" x14ac:dyDescent="0.2">
      <c r="B189" s="382"/>
      <c r="C189" s="24"/>
      <c r="D189" s="31" t="s">
        <v>191</v>
      </c>
      <c r="E189" s="31"/>
      <c r="F189" s="26" t="str">
        <f>+CONCATENATE($B$156,"",$C$188,"",D189,"",E189)</f>
        <v>24.03.024</v>
      </c>
      <c r="G189" s="384" t="s">
        <v>238</v>
      </c>
      <c r="H189" s="64">
        <f>+VLOOKUP(F189,matriz01,3,FALSE)</f>
        <v>10</v>
      </c>
      <c r="I189" s="64">
        <f>+VLOOKUP(F189,matriz01,4,FALSE)</f>
        <v>10</v>
      </c>
      <c r="J189" s="64">
        <f ca="1">+'Prog 01'!K166</f>
        <v>0</v>
      </c>
      <c r="K189" s="240">
        <f t="shared" ca="1" si="43"/>
        <v>0</v>
      </c>
      <c r="L189" s="27">
        <f>INDEX(coincidenciaP01,MATCH(F189,indicep01,0),7)</f>
        <v>0</v>
      </c>
      <c r="M189" s="240">
        <f t="shared" si="50"/>
        <v>0</v>
      </c>
      <c r="N189" s="27">
        <f>INDEX(coincidenciaP01,MATCH(F189,indicep01,0),9)</f>
        <v>10</v>
      </c>
      <c r="O189" s="240">
        <f t="shared" si="51"/>
        <v>1</v>
      </c>
      <c r="P189" s="27">
        <f>+'Prog 01'!Q166</f>
        <v>10.42</v>
      </c>
      <c r="Q189" s="27">
        <f ca="1">+'Prog 01'!R166</f>
        <v>0</v>
      </c>
      <c r="R189" s="240">
        <f t="shared" ca="1" si="49"/>
        <v>0</v>
      </c>
      <c r="T189" s="858"/>
      <c r="V189" s="859"/>
      <c r="W189" s="109"/>
      <c r="X189" s="109"/>
      <c r="Y189" s="109"/>
      <c r="Z189" s="113"/>
    </row>
    <row r="190" spans="2:50" ht="15" hidden="1" customHeight="1" outlineLevel="2" x14ac:dyDescent="0.2">
      <c r="B190" s="382"/>
      <c r="C190" s="24"/>
      <c r="D190" s="31" t="s">
        <v>192</v>
      </c>
      <c r="E190" s="31"/>
      <c r="F190" s="26" t="str">
        <f t="shared" ref="F190:F194" si="54">+CONCATENATE($B$156,"",$C$188,"",D190,"",E190)</f>
        <v>24.03.025</v>
      </c>
      <c r="G190" s="384" t="str">
        <f>+'Prog 01'!H167</f>
        <v xml:space="preserve">U. de Chile, Facultad de Gobierno - Actualización </v>
      </c>
      <c r="H190" s="64">
        <f>+'Prog 01'!I167</f>
        <v>0</v>
      </c>
      <c r="I190" s="64">
        <f>'Prog 01'!J167</f>
        <v>0</v>
      </c>
      <c r="J190" s="64">
        <f ca="1">+'Prog 01'!K167</f>
        <v>0</v>
      </c>
      <c r="K190" s="240" t="str">
        <f t="shared" ca="1" si="43"/>
        <v>0.00%</v>
      </c>
      <c r="L190" s="64">
        <f>+'Prog 01'!M166</f>
        <v>0</v>
      </c>
      <c r="M190" s="240">
        <f t="shared" si="50"/>
        <v>0</v>
      </c>
      <c r="N190" s="64">
        <f>+'Prog 01'!O167</f>
        <v>0</v>
      </c>
      <c r="O190" s="240">
        <f t="shared" si="51"/>
        <v>0</v>
      </c>
      <c r="P190" s="27">
        <f>+'Prog 01'!Q167</f>
        <v>156300</v>
      </c>
      <c r="Q190" s="27">
        <f ca="1">+'Prog 01'!R167</f>
        <v>0</v>
      </c>
      <c r="R190" s="240">
        <f t="shared" ca="1" si="49"/>
        <v>0</v>
      </c>
      <c r="S190" s="170"/>
      <c r="T190" s="858"/>
      <c r="V190" s="859"/>
      <c r="W190" s="109"/>
      <c r="X190" s="109"/>
      <c r="Y190" s="109"/>
      <c r="Z190" s="113"/>
    </row>
    <row r="191" spans="2:50" ht="15" hidden="1" customHeight="1" outlineLevel="2" x14ac:dyDescent="0.2">
      <c r="B191" s="382"/>
      <c r="C191" s="24"/>
      <c r="D191" s="31" t="s">
        <v>220</v>
      </c>
      <c r="E191" s="31"/>
      <c r="F191" s="26" t="str">
        <f t="shared" si="54"/>
        <v>24.03.026</v>
      </c>
      <c r="G191" s="384" t="s">
        <v>137</v>
      </c>
      <c r="H191" s="64">
        <f>+VLOOKUP(F191,matriz02,3,FALSE)</f>
        <v>1572691</v>
      </c>
      <c r="I191" s="64">
        <f>+VLOOKUP(F191,matriz02,4,FALSE)</f>
        <v>1572691</v>
      </c>
      <c r="J191" s="64">
        <f ca="1">+'Prog 02'!J21</f>
        <v>64871.498999999996</v>
      </c>
      <c r="K191" s="240">
        <f t="shared" ref="K191:K260" ca="1" si="55">IFERROR(J191/I191,"0.00%")</f>
        <v>4.1248725274068455E-2</v>
      </c>
      <c r="L191" s="27">
        <f>+'Prog 02'!L21</f>
        <v>905864</v>
      </c>
      <c r="M191" s="240">
        <f t="shared" si="50"/>
        <v>0.57599617470946296</v>
      </c>
      <c r="N191" s="27">
        <f>+'Prog 02'!N21</f>
        <v>666827</v>
      </c>
      <c r="O191" s="240">
        <f t="shared" si="51"/>
        <v>0.42400382529053704</v>
      </c>
      <c r="P191" s="27">
        <f>+'Prog 02'!P21</f>
        <v>1613016</v>
      </c>
      <c r="Q191" s="27">
        <f>+'Prog 02'!Q21</f>
        <v>735934.07565200003</v>
      </c>
      <c r="R191" s="240">
        <f t="shared" si="49"/>
        <v>0.45624722609819124</v>
      </c>
      <c r="T191" s="858"/>
      <c r="V191" s="859"/>
      <c r="W191" s="109"/>
      <c r="X191" s="109"/>
      <c r="Y191" s="109"/>
      <c r="Z191" s="113"/>
    </row>
    <row r="192" spans="2:50" ht="15" hidden="1" customHeight="1" outlineLevel="2" x14ac:dyDescent="0.2">
      <c r="B192" s="382"/>
      <c r="C192" s="24"/>
      <c r="D192" s="31" t="s">
        <v>777</v>
      </c>
      <c r="E192" s="31"/>
      <c r="F192" s="26" t="str">
        <f t="shared" si="54"/>
        <v>24.03.027</v>
      </c>
      <c r="G192" s="384" t="s">
        <v>908</v>
      </c>
      <c r="H192" s="64">
        <v>0</v>
      </c>
      <c r="I192" s="64">
        <f>'Prog 01'!J168</f>
        <v>0</v>
      </c>
      <c r="J192" s="64">
        <f ca="1">+'Prog 01'!K168</f>
        <v>0</v>
      </c>
      <c r="K192" s="240" t="str">
        <f t="shared" ca="1" si="55"/>
        <v>0.00%</v>
      </c>
      <c r="L192" s="27">
        <f>+'Prog 01'!M167</f>
        <v>0</v>
      </c>
      <c r="M192" s="240">
        <f t="shared" si="50"/>
        <v>0</v>
      </c>
      <c r="N192" s="27">
        <f>+'Prog 01'!O168</f>
        <v>0</v>
      </c>
      <c r="O192" s="240">
        <f t="shared" si="51"/>
        <v>0</v>
      </c>
      <c r="P192" s="27">
        <f>+'Prog 01'!Q168</f>
        <v>57310</v>
      </c>
      <c r="Q192" s="27">
        <f ca="1">+'Prog 01'!R168</f>
        <v>0</v>
      </c>
      <c r="R192" s="240">
        <f t="shared" ca="1" si="49"/>
        <v>0</v>
      </c>
      <c r="T192" s="858"/>
      <c r="V192" s="859"/>
      <c r="W192" s="109"/>
      <c r="X192" s="109"/>
      <c r="Y192" s="109"/>
      <c r="Z192" s="113"/>
    </row>
    <row r="193" spans="2:26" ht="15" hidden="1" customHeight="1" outlineLevel="2" x14ac:dyDescent="0.2">
      <c r="B193" s="382"/>
      <c r="C193" s="24"/>
      <c r="D193" s="31" t="s">
        <v>866</v>
      </c>
      <c r="E193" s="31"/>
      <c r="F193" s="26" t="str">
        <f t="shared" si="54"/>
        <v>24.03.030</v>
      </c>
      <c r="G193" s="384" t="str">
        <f>+'Prog 01'!H169</f>
        <v xml:space="preserve">SUBPESCA - Consulta indígena área marina Rapa Nui </v>
      </c>
      <c r="H193" s="64">
        <f>+'Prog 01'!I169</f>
        <v>0</v>
      </c>
      <c r="I193" s="64">
        <v>0</v>
      </c>
      <c r="J193" s="64">
        <f ca="1">+'Prog 01'!K169</f>
        <v>0</v>
      </c>
      <c r="K193" s="240" t="str">
        <f t="shared" ca="1" si="55"/>
        <v>0.00%</v>
      </c>
      <c r="L193" s="64">
        <f>+'Prog 01'!M168</f>
        <v>0</v>
      </c>
      <c r="M193" s="240">
        <f t="shared" si="50"/>
        <v>0</v>
      </c>
      <c r="N193" s="64">
        <f>+'Prog 01'!O169</f>
        <v>0</v>
      </c>
      <c r="O193" s="240">
        <f t="shared" si="51"/>
        <v>0</v>
      </c>
      <c r="P193" s="27">
        <f>+'Prog 01'!Q169</f>
        <v>0</v>
      </c>
      <c r="Q193" s="27">
        <f ca="1">+'Prog 01'!R169</f>
        <v>0</v>
      </c>
      <c r="R193" s="240" t="str">
        <f t="shared" ca="1" si="49"/>
        <v>0.00%</v>
      </c>
      <c r="T193" s="858"/>
      <c r="V193" s="859"/>
      <c r="W193" s="109"/>
      <c r="X193" s="109"/>
      <c r="Y193" s="109"/>
      <c r="Z193" s="113"/>
    </row>
    <row r="194" spans="2:26" ht="15" hidden="1" customHeight="1" outlineLevel="2" x14ac:dyDescent="0.2">
      <c r="B194" s="382"/>
      <c r="C194" s="24"/>
      <c r="D194" s="34" t="s">
        <v>296</v>
      </c>
      <c r="E194" s="31"/>
      <c r="F194" s="26" t="str">
        <f t="shared" si="54"/>
        <v>24.03.033</v>
      </c>
      <c r="G194" s="384" t="s">
        <v>297</v>
      </c>
      <c r="H194" s="64">
        <f>+'Prog 02'!H27</f>
        <v>0</v>
      </c>
      <c r="I194" s="64">
        <f>+'Prog 02'!I27</f>
        <v>0</v>
      </c>
      <c r="J194" s="64">
        <f ca="1">+'Prog 02'!J27</f>
        <v>0</v>
      </c>
      <c r="K194" s="240" t="str">
        <f t="shared" ca="1" si="55"/>
        <v>0.00%</v>
      </c>
      <c r="L194" s="27">
        <f>+'Prog 02'!L27</f>
        <v>0</v>
      </c>
      <c r="M194" s="240">
        <f t="shared" si="50"/>
        <v>0</v>
      </c>
      <c r="N194" s="27">
        <f>+'Prog 02'!N27</f>
        <v>0</v>
      </c>
      <c r="O194" s="240">
        <f t="shared" si="51"/>
        <v>0</v>
      </c>
      <c r="P194" s="27">
        <f>+'Prog 02'!P27</f>
        <v>2749951.5780000002</v>
      </c>
      <c r="Q194" s="27">
        <f>+'Prog 02'!Q27</f>
        <v>1193787.4939600001</v>
      </c>
      <c r="R194" s="240">
        <f t="shared" si="49"/>
        <v>0.43411218710557237</v>
      </c>
      <c r="T194" s="858"/>
      <c r="V194" s="859"/>
      <c r="W194" s="109"/>
      <c r="X194" s="109"/>
      <c r="Y194" s="109"/>
      <c r="Z194" s="113"/>
    </row>
    <row r="195" spans="2:26" ht="15" hidden="1" customHeight="1" outlineLevel="2" x14ac:dyDescent="0.2">
      <c r="B195" s="382"/>
      <c r="C195" s="24"/>
      <c r="D195" s="34" t="s">
        <v>498</v>
      </c>
      <c r="E195" s="31"/>
      <c r="F195" s="26" t="s">
        <v>497</v>
      </c>
      <c r="G195" s="384" t="s">
        <v>258</v>
      </c>
      <c r="H195" s="27">
        <f>+'Prog 02'!H33</f>
        <v>0</v>
      </c>
      <c r="I195" s="27">
        <f>+'Prog 02'!I33</f>
        <v>0</v>
      </c>
      <c r="J195" s="27">
        <f ca="1">+'Prog 02'!J33</f>
        <v>0</v>
      </c>
      <c r="K195" s="240" t="str">
        <f t="shared" ca="1" si="55"/>
        <v>0.00%</v>
      </c>
      <c r="L195" s="27">
        <f>+'Prog 02'!L33</f>
        <v>0</v>
      </c>
      <c r="M195" s="240">
        <f t="shared" si="50"/>
        <v>0</v>
      </c>
      <c r="N195" s="27">
        <f>+'Prog 02'!N34</f>
        <v>0</v>
      </c>
      <c r="O195" s="240">
        <f t="shared" si="51"/>
        <v>0</v>
      </c>
      <c r="P195" s="27">
        <f>+'Prog 02'!P33</f>
        <v>44217.270000000004</v>
      </c>
      <c r="Q195" s="27">
        <f>+'Prog 02'!Q33</f>
        <v>0</v>
      </c>
      <c r="R195" s="240">
        <f t="shared" si="49"/>
        <v>0</v>
      </c>
      <c r="T195" s="858"/>
      <c r="V195" s="859"/>
      <c r="W195" s="109"/>
      <c r="X195" s="109"/>
      <c r="Y195" s="109"/>
      <c r="Z195" s="113"/>
    </row>
    <row r="196" spans="2:26" ht="15" hidden="1" customHeight="1" outlineLevel="2" x14ac:dyDescent="0.2">
      <c r="B196" s="382"/>
      <c r="C196" s="24"/>
      <c r="D196" s="34" t="s">
        <v>909</v>
      </c>
      <c r="E196" s="31"/>
      <c r="F196" s="26" t="s">
        <v>911</v>
      </c>
      <c r="G196" s="384" t="str">
        <f>+'Prog 01'!H170</f>
        <v>UFRO - Red de expertos macro zona sur</v>
      </c>
      <c r="H196" s="27">
        <f>+'Prog 01'!I170</f>
        <v>0</v>
      </c>
      <c r="I196" s="27">
        <f>'Prog 01'!J170</f>
        <v>400000</v>
      </c>
      <c r="J196" s="27">
        <f ca="1">+'Prog 01'!K170</f>
        <v>0</v>
      </c>
      <c r="K196" s="240">
        <f t="shared" ca="1" si="55"/>
        <v>0</v>
      </c>
      <c r="L196" s="27">
        <f>'Prog 01'!M170</f>
        <v>0</v>
      </c>
      <c r="M196" s="240">
        <f t="shared" si="50"/>
        <v>0</v>
      </c>
      <c r="N196" s="27">
        <f>+'Prog 01'!O170</f>
        <v>400000</v>
      </c>
      <c r="O196" s="240">
        <f t="shared" si="51"/>
        <v>1</v>
      </c>
      <c r="P196" s="27">
        <f>+'Prog 01'!Q170</f>
        <v>416800</v>
      </c>
      <c r="Q196" s="27">
        <f ca="1">+'Prog 01'!R170</f>
        <v>416800</v>
      </c>
      <c r="R196" s="240">
        <f t="shared" ca="1" si="49"/>
        <v>1</v>
      </c>
      <c r="T196" s="858"/>
      <c r="V196" s="859"/>
      <c r="W196" s="109"/>
      <c r="X196" s="109"/>
      <c r="Y196" s="109"/>
      <c r="Z196" s="113"/>
    </row>
    <row r="197" spans="2:26" ht="15" hidden="1" customHeight="1" outlineLevel="2" x14ac:dyDescent="0.2">
      <c r="B197" s="382"/>
      <c r="C197" s="24"/>
      <c r="D197" s="34" t="s">
        <v>188</v>
      </c>
      <c r="E197" s="31"/>
      <c r="F197" s="26" t="s">
        <v>745</v>
      </c>
      <c r="G197" s="384" t="str">
        <f>+'Prog 01'!H171</f>
        <v xml:space="preserve">Fortalecimiento de Capacidades de Intervención en </v>
      </c>
      <c r="H197" s="27">
        <v>0</v>
      </c>
      <c r="I197" s="27">
        <v>0</v>
      </c>
      <c r="J197" s="27">
        <v>0</v>
      </c>
      <c r="K197" s="240" t="str">
        <f t="shared" si="55"/>
        <v>0.00%</v>
      </c>
      <c r="L197" s="27">
        <v>0</v>
      </c>
      <c r="M197" s="240">
        <f t="shared" si="50"/>
        <v>0</v>
      </c>
      <c r="N197" s="27">
        <v>0</v>
      </c>
      <c r="O197" s="240">
        <f t="shared" si="51"/>
        <v>0</v>
      </c>
      <c r="P197" s="27">
        <f>+'Prog 01'!Q171</f>
        <v>0</v>
      </c>
      <c r="Q197" s="27">
        <f ca="1">+'Prog 01'!R171</f>
        <v>0</v>
      </c>
      <c r="R197" s="240" t="str">
        <f t="shared" ca="1" si="49"/>
        <v>0.00%</v>
      </c>
      <c r="T197" s="858"/>
      <c r="V197" s="859"/>
      <c r="W197" s="109"/>
      <c r="X197" s="109"/>
      <c r="Y197" s="109"/>
      <c r="Z197" s="113"/>
    </row>
    <row r="198" spans="2:26" ht="15" hidden="1" customHeight="1" outlineLevel="2" x14ac:dyDescent="0.2">
      <c r="B198" s="382"/>
      <c r="C198" s="24"/>
      <c r="D198" s="31" t="s">
        <v>221</v>
      </c>
      <c r="E198" s="31"/>
      <c r="F198" s="26" t="str">
        <f t="shared" ref="F198:F206" si="56">+CONCATENATE($B$156,"",$C$188,"",D198,"",E198)</f>
        <v>24.03.403</v>
      </c>
      <c r="G198" s="384" t="s">
        <v>302</v>
      </c>
      <c r="H198" s="27">
        <f>+'Prog 03'!H15</f>
        <v>76763405</v>
      </c>
      <c r="I198" s="27">
        <f>+'Prog 03'!I15</f>
        <v>76763405</v>
      </c>
      <c r="J198" s="27">
        <f ca="1">+'Prog 03'!J15</f>
        <v>76763395.340000004</v>
      </c>
      <c r="K198" s="240">
        <f t="shared" ca="1" si="55"/>
        <v>0.99999987415878699</v>
      </c>
      <c r="L198" s="27">
        <f>+'Prog 03'!L15</f>
        <v>76763395.340000004</v>
      </c>
      <c r="M198" s="240">
        <f t="shared" si="50"/>
        <v>0.99999987415878699</v>
      </c>
      <c r="N198" s="27">
        <f>+'Prog 03'!N15</f>
        <v>9.6599999964237213</v>
      </c>
      <c r="O198" s="240">
        <f t="shared" si="51"/>
        <v>1.2584121296369958E-7</v>
      </c>
      <c r="P198" s="27">
        <f>+'Prog 03'!P15</f>
        <v>78731697.541999996</v>
      </c>
      <c r="Q198" s="27">
        <f>+'Prog 03'!Q15</f>
        <v>78731688.468263999</v>
      </c>
      <c r="R198" s="240">
        <f t="shared" si="49"/>
        <v>0.99999988475117041</v>
      </c>
      <c r="T198" s="858"/>
      <c r="V198" s="859"/>
      <c r="W198" s="109"/>
      <c r="X198" s="109"/>
      <c r="Y198" s="109"/>
      <c r="Z198" s="113"/>
    </row>
    <row r="199" spans="2:26" ht="15" hidden="1" customHeight="1" outlineLevel="2" x14ac:dyDescent="0.2">
      <c r="B199" s="382" t="s">
        <v>2</v>
      </c>
      <c r="C199" s="24"/>
      <c r="D199" s="34" t="s">
        <v>250</v>
      </c>
      <c r="E199" s="31"/>
      <c r="F199" s="26" t="str">
        <f t="shared" si="56"/>
        <v>24.03.406</v>
      </c>
      <c r="G199" s="384" t="s">
        <v>249</v>
      </c>
      <c r="H199" s="27">
        <f>+'Prog 03'!H16</f>
        <v>3804713</v>
      </c>
      <c r="I199" s="27">
        <f>+'Prog 03'!I16</f>
        <v>3804713</v>
      </c>
      <c r="J199" s="27">
        <f ca="1">+'Prog 03'!J16</f>
        <v>1163981.4680000001</v>
      </c>
      <c r="K199" s="240">
        <f t="shared" ca="1" si="55"/>
        <v>0.30593147709170182</v>
      </c>
      <c r="L199" s="27">
        <f>+'Prog 03'!L16</f>
        <v>1421889.6810000003</v>
      </c>
      <c r="M199" s="240">
        <f t="shared" si="50"/>
        <v>0.37371798635008746</v>
      </c>
      <c r="N199" s="27">
        <f>+'Prog 03'!N16</f>
        <v>2382823.3189999997</v>
      </c>
      <c r="O199" s="240">
        <f t="shared" si="51"/>
        <v>0.62628201364991254</v>
      </c>
      <c r="P199" s="27">
        <f>+'Prog 03'!P16</f>
        <v>4218092.0659999996</v>
      </c>
      <c r="Q199" s="27">
        <f>+'Prog 03'!Q16</f>
        <v>2460187.6727959998</v>
      </c>
      <c r="R199" s="240">
        <f t="shared" si="49"/>
        <v>0.58324655657148472</v>
      </c>
      <c r="T199" s="858"/>
      <c r="V199" s="859"/>
      <c r="W199" s="109"/>
      <c r="X199" s="109"/>
      <c r="Y199" s="109"/>
      <c r="Z199" s="113"/>
    </row>
    <row r="200" spans="2:26" s="1" customFormat="1" ht="15" hidden="1" customHeight="1" outlineLevel="2" x14ac:dyDescent="0.2">
      <c r="B200" s="454"/>
      <c r="C200" s="69"/>
      <c r="D200" s="526" t="s">
        <v>892</v>
      </c>
      <c r="E200" s="527"/>
      <c r="F200" s="455" t="str">
        <f t="shared" si="56"/>
        <v>24.03.407</v>
      </c>
      <c r="G200" s="446" t="str">
        <f>+'Prog 03'!G23</f>
        <v>Servicios de Asistencia Técnica Especializada SATE</v>
      </c>
      <c r="H200" s="22">
        <f>+'Prog 03'!H23</f>
        <v>0</v>
      </c>
      <c r="I200" s="22">
        <f>+'Prog 03'!I23</f>
        <v>0</v>
      </c>
      <c r="J200" s="22">
        <f ca="1">+'Prog 03'!J23</f>
        <v>0</v>
      </c>
      <c r="K200" s="461" t="str">
        <f t="shared" ca="1" si="55"/>
        <v>0.00%</v>
      </c>
      <c r="L200" s="22">
        <f>+'Prog 03'!L23</f>
        <v>0</v>
      </c>
      <c r="M200" s="461">
        <f t="shared" si="50"/>
        <v>0</v>
      </c>
      <c r="N200" s="22">
        <f>+'Prog 03'!N23</f>
        <v>0</v>
      </c>
      <c r="O200" s="461">
        <f t="shared" si="51"/>
        <v>0</v>
      </c>
      <c r="P200" s="22">
        <f>+'Prog 03'!P23</f>
        <v>483694.31599999999</v>
      </c>
      <c r="Q200" s="22">
        <f>+'Prog 03'!Q23</f>
        <v>156828.642028</v>
      </c>
      <c r="R200" s="461">
        <f t="shared" si="49"/>
        <v>0.32423089716026354</v>
      </c>
      <c r="S200" s="3"/>
      <c r="T200" s="860"/>
      <c r="U200" s="59"/>
      <c r="V200" s="861"/>
      <c r="W200" s="465"/>
      <c r="X200" s="465"/>
      <c r="Y200" s="465"/>
      <c r="Z200" s="466"/>
    </row>
    <row r="201" spans="2:26" ht="15" hidden="1" customHeight="1" outlineLevel="2" x14ac:dyDescent="0.2">
      <c r="B201" s="382" t="s">
        <v>2</v>
      </c>
      <c r="C201" s="24"/>
      <c r="D201" s="34" t="s">
        <v>252</v>
      </c>
      <c r="E201" s="31"/>
      <c r="F201" s="26" t="str">
        <f t="shared" si="56"/>
        <v>24.03.409</v>
      </c>
      <c r="G201" s="384" t="s">
        <v>256</v>
      </c>
      <c r="H201" s="27">
        <f>+'Prog 01'!I172</f>
        <v>0</v>
      </c>
      <c r="I201" s="27">
        <f>+VLOOKUP(F201,matriz01,4,FALSE)</f>
        <v>0</v>
      </c>
      <c r="J201" s="27">
        <f ca="1">+'Prog 01'!K172</f>
        <v>0</v>
      </c>
      <c r="K201" s="240" t="str">
        <f t="shared" ca="1" si="55"/>
        <v>0.00%</v>
      </c>
      <c r="L201" s="27">
        <f>'Prog 01'!M172</f>
        <v>0</v>
      </c>
      <c r="M201" s="240">
        <f t="shared" si="50"/>
        <v>0</v>
      </c>
      <c r="N201" s="27">
        <f>INDEX(coincidenciaP01,MATCH(F201,indicep01,0),9)</f>
        <v>0</v>
      </c>
      <c r="O201" s="240">
        <f t="shared" si="51"/>
        <v>0</v>
      </c>
      <c r="P201" s="27">
        <f>+'Prog 01'!Q172</f>
        <v>117484.458</v>
      </c>
      <c r="Q201" s="27">
        <f ca="1">+'Prog 01'!R172</f>
        <v>49780.113082000011</v>
      </c>
      <c r="R201" s="240">
        <f t="shared" ca="1" si="49"/>
        <v>0.42371658285217617</v>
      </c>
      <c r="T201" s="858"/>
      <c r="V201" s="859"/>
      <c r="W201" s="109"/>
      <c r="X201" s="109"/>
      <c r="Y201" s="109"/>
      <c r="Z201" s="113"/>
    </row>
    <row r="202" spans="2:26" ht="15" hidden="1" customHeight="1" outlineLevel="2" x14ac:dyDescent="0.2">
      <c r="B202" s="382"/>
      <c r="C202" s="124"/>
      <c r="D202" s="34" t="s">
        <v>773</v>
      </c>
      <c r="E202" s="31"/>
      <c r="F202" s="26" t="str">
        <f t="shared" si="56"/>
        <v>24.03.410</v>
      </c>
      <c r="G202" s="384" t="s">
        <v>774</v>
      </c>
      <c r="H202" s="27">
        <v>0</v>
      </c>
      <c r="I202" s="27">
        <v>0</v>
      </c>
      <c r="J202" s="27">
        <v>0</v>
      </c>
      <c r="K202" s="240" t="str">
        <f t="shared" si="55"/>
        <v>0.00%</v>
      </c>
      <c r="L202" s="27">
        <v>0</v>
      </c>
      <c r="M202" s="240">
        <f t="shared" si="50"/>
        <v>0</v>
      </c>
      <c r="N202" s="27"/>
      <c r="O202" s="240">
        <f t="shared" si="51"/>
        <v>0</v>
      </c>
      <c r="P202" s="27">
        <f>+'Prog 01'!Q173</f>
        <v>0</v>
      </c>
      <c r="Q202" s="27">
        <f ca="1">+'Prog 01'!R173</f>
        <v>0</v>
      </c>
      <c r="R202" s="240" t="str">
        <f t="shared" ca="1" si="49"/>
        <v>0.00%</v>
      </c>
      <c r="T202" s="858"/>
      <c r="V202" s="859"/>
      <c r="W202" s="109"/>
      <c r="X202" s="109"/>
      <c r="Y202" s="109"/>
      <c r="Z202" s="113"/>
    </row>
    <row r="203" spans="2:26" ht="15" hidden="1" customHeight="1" outlineLevel="2" x14ac:dyDescent="0.2">
      <c r="B203" s="382" t="s">
        <v>2</v>
      </c>
      <c r="C203" s="24"/>
      <c r="D203" s="34" t="s">
        <v>253</v>
      </c>
      <c r="E203" s="31"/>
      <c r="F203" s="26" t="str">
        <f t="shared" si="56"/>
        <v>24.03.415</v>
      </c>
      <c r="G203" s="384" t="s">
        <v>257</v>
      </c>
      <c r="H203" s="27">
        <f>+'Prog 01'!I174</f>
        <v>0</v>
      </c>
      <c r="I203" s="27">
        <f>+VLOOKUP(F203,matriz01,4,FALSE)</f>
        <v>0</v>
      </c>
      <c r="J203" s="27">
        <f ca="1">+'Prog 01'!K174</f>
        <v>0</v>
      </c>
      <c r="K203" s="240" t="str">
        <f t="shared" ca="1" si="55"/>
        <v>0.00%</v>
      </c>
      <c r="L203" s="27">
        <f>INDEX(coincidenciaP01,MATCH(F203,indicep01,0),7)</f>
        <v>0</v>
      </c>
      <c r="M203" s="240">
        <f t="shared" si="50"/>
        <v>0</v>
      </c>
      <c r="N203" s="27">
        <f>INDEX(coincidenciaP01,MATCH(F203,indicep01,0),9)</f>
        <v>0</v>
      </c>
      <c r="O203" s="240">
        <f t="shared" si="51"/>
        <v>0</v>
      </c>
      <c r="P203" s="27">
        <f>+'Prog 01'!Q174</f>
        <v>0</v>
      </c>
      <c r="Q203" s="27">
        <f ca="1">+'Prog 01'!R174</f>
        <v>0</v>
      </c>
      <c r="R203" s="240" t="str">
        <f t="shared" ca="1" si="49"/>
        <v>0.00%</v>
      </c>
      <c r="T203" s="858"/>
      <c r="V203" s="859"/>
      <c r="W203" s="109"/>
      <c r="X203" s="109"/>
      <c r="Y203" s="109"/>
      <c r="Z203" s="113"/>
    </row>
    <row r="204" spans="2:26" ht="15" hidden="1" customHeight="1" outlineLevel="2" x14ac:dyDescent="0.2">
      <c r="B204" s="382"/>
      <c r="C204" s="24"/>
      <c r="D204" s="34" t="s">
        <v>1120</v>
      </c>
      <c r="E204" s="31"/>
      <c r="F204" s="26" t="str">
        <f t="shared" si="56"/>
        <v>24.03.416</v>
      </c>
      <c r="G204" s="384"/>
      <c r="H204" s="27">
        <f>+'Prog 01'!I175</f>
        <v>0</v>
      </c>
      <c r="I204" s="27">
        <f>+'Prog 01'!J175</f>
        <v>195000</v>
      </c>
      <c r="J204" s="27">
        <f ca="1">+'Prog 01'!K175</f>
        <v>195000</v>
      </c>
      <c r="K204" s="240">
        <f t="shared" ca="1" si="55"/>
        <v>1</v>
      </c>
      <c r="L204" s="27">
        <f>+'Prog 01'!M175</f>
        <v>195000</v>
      </c>
      <c r="M204" s="240">
        <f t="shared" si="50"/>
        <v>1</v>
      </c>
      <c r="N204" s="27">
        <f>+'Prog 01'!O175</f>
        <v>0</v>
      </c>
      <c r="O204" s="240">
        <f t="shared" si="51"/>
        <v>0</v>
      </c>
      <c r="P204" s="27">
        <f>+'Prog 01'!Q175</f>
        <v>0</v>
      </c>
      <c r="Q204" s="27">
        <f>+'Prog 01'!R175</f>
        <v>0</v>
      </c>
      <c r="R204" s="240" t="str">
        <f t="shared" si="49"/>
        <v>0.00%</v>
      </c>
      <c r="T204" s="858"/>
      <c r="V204" s="859"/>
      <c r="W204" s="109"/>
      <c r="X204" s="109"/>
      <c r="Y204" s="109"/>
      <c r="Z204" s="113"/>
    </row>
    <row r="205" spans="2:26" ht="15" hidden="1" customHeight="1" outlineLevel="2" x14ac:dyDescent="0.2">
      <c r="B205" s="382" t="s">
        <v>2</v>
      </c>
      <c r="C205" s="24"/>
      <c r="D205" s="34" t="s">
        <v>263</v>
      </c>
      <c r="E205" s="31"/>
      <c r="F205" s="26" t="str">
        <f t="shared" si="56"/>
        <v>24.03.500</v>
      </c>
      <c r="G205" s="384" t="s">
        <v>259</v>
      </c>
      <c r="H205" s="27">
        <f>+'Prog 02'!H36</f>
        <v>0</v>
      </c>
      <c r="I205" s="27">
        <f>+'Prog 02'!I36</f>
        <v>0</v>
      </c>
      <c r="J205" s="27">
        <f ca="1">+'Prog 02'!J36</f>
        <v>0</v>
      </c>
      <c r="K205" s="240" t="str">
        <f t="shared" ca="1" si="55"/>
        <v>0.00%</v>
      </c>
      <c r="L205" s="27">
        <f>+'Prog 02'!L35</f>
        <v>0</v>
      </c>
      <c r="M205" s="240">
        <f t="shared" si="50"/>
        <v>0</v>
      </c>
      <c r="N205" s="27">
        <f>+'Prog 02'!N36</f>
        <v>0</v>
      </c>
      <c r="O205" s="240">
        <f t="shared" si="51"/>
        <v>0</v>
      </c>
      <c r="P205" s="27">
        <f>+'Prog 02'!P35</f>
        <v>0</v>
      </c>
      <c r="Q205" s="27">
        <f>+'Prog 02'!Q36</f>
        <v>0</v>
      </c>
      <c r="R205" s="240" t="str">
        <f t="shared" si="49"/>
        <v>0.00%</v>
      </c>
      <c r="T205" s="858"/>
      <c r="V205" s="859"/>
      <c r="W205" s="109"/>
      <c r="X205" s="109"/>
      <c r="Y205" s="109"/>
      <c r="Z205" s="113"/>
    </row>
    <row r="206" spans="2:26" ht="15" hidden="1" customHeight="1" outlineLevel="2" x14ac:dyDescent="0.2">
      <c r="B206" s="382" t="s">
        <v>2</v>
      </c>
      <c r="C206" s="24"/>
      <c r="D206" s="34" t="s">
        <v>314</v>
      </c>
      <c r="E206" s="31"/>
      <c r="F206" s="26" t="str">
        <f t="shared" si="56"/>
        <v>24.03.602</v>
      </c>
      <c r="G206" s="384" t="s">
        <v>294</v>
      </c>
      <c r="H206" s="27">
        <f>+'Prog 02'!H37</f>
        <v>740899</v>
      </c>
      <c r="I206" s="27">
        <f>+'Prog 02'!I37</f>
        <v>740899</v>
      </c>
      <c r="J206" s="27">
        <f ca="1">+'Prog 02'!J37</f>
        <v>469124.69399999996</v>
      </c>
      <c r="K206" s="240">
        <f t="shared" ca="1" si="55"/>
        <v>0.63318305733979929</v>
      </c>
      <c r="L206" s="27">
        <f>+'Prog 02'!L37</f>
        <v>566508.34400000004</v>
      </c>
      <c r="M206" s="240">
        <f t="shared" si="50"/>
        <v>0.76462290271683464</v>
      </c>
      <c r="N206" s="27">
        <f>+'Prog 02'!N37</f>
        <v>174390.65599999996</v>
      </c>
      <c r="O206" s="240">
        <f t="shared" si="51"/>
        <v>0.23537709728316539</v>
      </c>
      <c r="P206" s="27">
        <f>+'Prog 02'!P37</f>
        <v>1823319.7339999999</v>
      </c>
      <c r="Q206" s="27">
        <f>+'Prog 02'!Q37</f>
        <v>717596.70019400003</v>
      </c>
      <c r="R206" s="240">
        <f t="shared" si="49"/>
        <v>0.39356602509848121</v>
      </c>
      <c r="T206" s="858"/>
      <c r="V206" s="859"/>
      <c r="W206" s="109"/>
      <c r="X206" s="109"/>
      <c r="Y206" s="109"/>
      <c r="Z206" s="113"/>
    </row>
    <row r="207" spans="2:26" s="46" customFormat="1" ht="15" hidden="1" customHeight="1" outlineLevel="1" collapsed="1" x14ac:dyDescent="0.2">
      <c r="B207" s="382" t="s">
        <v>2</v>
      </c>
      <c r="C207" s="30" t="s">
        <v>179</v>
      </c>
      <c r="D207" s="25"/>
      <c r="E207" s="33"/>
      <c r="F207" s="33"/>
      <c r="G207" s="383" t="s">
        <v>285</v>
      </c>
      <c r="H207" s="138">
        <f>SUM(H208:H215)</f>
        <v>0</v>
      </c>
      <c r="I207" s="27">
        <f t="shared" ref="I207:Q207" si="57">SUM(I208:I215)</f>
        <v>702000</v>
      </c>
      <c r="J207" s="138">
        <f t="shared" ca="1" si="57"/>
        <v>29100</v>
      </c>
      <c r="K207" s="240">
        <f t="shared" ca="1" si="55"/>
        <v>4.1452991452991451E-2</v>
      </c>
      <c r="L207" s="138">
        <f t="shared" si="57"/>
        <v>702000</v>
      </c>
      <c r="M207" s="240">
        <f t="shared" si="50"/>
        <v>1</v>
      </c>
      <c r="N207" s="138">
        <f t="shared" si="57"/>
        <v>0</v>
      </c>
      <c r="O207" s="240">
        <f t="shared" si="51"/>
        <v>0</v>
      </c>
      <c r="P207" s="138">
        <f t="shared" si="57"/>
        <v>872249.86400000006</v>
      </c>
      <c r="Q207" s="138">
        <f t="shared" ca="1" si="57"/>
        <v>525465.999496</v>
      </c>
      <c r="R207" s="240">
        <f t="shared" ca="1" si="49"/>
        <v>0.60242600335446994</v>
      </c>
      <c r="S207" s="400"/>
      <c r="T207" s="862"/>
      <c r="U207" s="110"/>
      <c r="V207" s="863"/>
      <c r="W207" s="132"/>
      <c r="X207" s="132"/>
      <c r="Y207" s="132"/>
      <c r="Z207" s="133"/>
    </row>
    <row r="208" spans="2:26" s="46" customFormat="1" ht="15" hidden="1" customHeight="1" outlineLevel="1" x14ac:dyDescent="0.2">
      <c r="B208" s="382"/>
      <c r="C208" s="30"/>
      <c r="D208" s="25"/>
      <c r="E208" s="33"/>
      <c r="F208" s="26" t="s">
        <v>239</v>
      </c>
      <c r="G208" s="386" t="s">
        <v>676</v>
      </c>
      <c r="H208" s="27">
        <v>0</v>
      </c>
      <c r="I208" s="27">
        <f>'Prog 01'!J177</f>
        <v>0</v>
      </c>
      <c r="J208" s="27">
        <f ca="1">+'Prog 01'!K177</f>
        <v>0</v>
      </c>
      <c r="K208" s="240" t="str">
        <f t="shared" ca="1" si="55"/>
        <v>0.00%</v>
      </c>
      <c r="L208" s="27">
        <f>'Prog 01'!M177</f>
        <v>0</v>
      </c>
      <c r="M208" s="240">
        <f t="shared" si="50"/>
        <v>0</v>
      </c>
      <c r="N208" s="27">
        <f>+'Prog 01'!O177</f>
        <v>0</v>
      </c>
      <c r="O208" s="240">
        <f t="shared" si="51"/>
        <v>0</v>
      </c>
      <c r="P208" s="27">
        <f>+'Prog 01'!Q177</f>
        <v>0</v>
      </c>
      <c r="Q208" s="27">
        <f ca="1">+'Prog 01'!R177</f>
        <v>0</v>
      </c>
      <c r="R208" s="240" t="str">
        <f t="shared" ca="1" si="49"/>
        <v>0.00%</v>
      </c>
      <c r="S208" s="20"/>
      <c r="T208" s="858"/>
      <c r="U208" s="110"/>
      <c r="V208" s="859"/>
      <c r="W208" s="109"/>
      <c r="X208" s="109"/>
      <c r="Y208" s="109"/>
      <c r="Z208" s="113"/>
    </row>
    <row r="209" spans="1:26" s="46" customFormat="1" ht="15" hidden="1" customHeight="1" outlineLevel="1" x14ac:dyDescent="0.2">
      <c r="B209" s="382"/>
      <c r="C209" s="30"/>
      <c r="D209" s="25"/>
      <c r="E209" s="33"/>
      <c r="F209" s="26" t="s">
        <v>315</v>
      </c>
      <c r="G209" s="386" t="s">
        <v>316</v>
      </c>
      <c r="H209" s="27">
        <v>0</v>
      </c>
      <c r="I209" s="27">
        <f>'Prog 01'!J178</f>
        <v>432000</v>
      </c>
      <c r="J209" s="27">
        <f ca="1">+'Prog 01'!K178</f>
        <v>29100</v>
      </c>
      <c r="K209" s="240">
        <f t="shared" ca="1" si="55"/>
        <v>6.7361111111111108E-2</v>
      </c>
      <c r="L209" s="27">
        <f>'Prog 01'!M178</f>
        <v>432000</v>
      </c>
      <c r="M209" s="240">
        <f t="shared" si="50"/>
        <v>1</v>
      </c>
      <c r="N209" s="27">
        <f>+'Prog 01'!O178</f>
        <v>0</v>
      </c>
      <c r="O209" s="240">
        <f t="shared" si="51"/>
        <v>0</v>
      </c>
      <c r="P209" s="27">
        <f>+'Prog 01'!Q178</f>
        <v>488004.02799999999</v>
      </c>
      <c r="Q209" s="27">
        <f ca="1">+'Prog 01'!R178</f>
        <v>141220.16349600002</v>
      </c>
      <c r="R209" s="240">
        <f t="shared" ref="R209:R277" ca="1" si="58">IFERROR(Q209/P209,"0.00%")</f>
        <v>0.28938319233709281</v>
      </c>
      <c r="S209" s="20"/>
      <c r="T209" s="858"/>
      <c r="U209" s="110"/>
      <c r="V209" s="859"/>
      <c r="W209" s="109"/>
      <c r="X209" s="109"/>
      <c r="Y209" s="109"/>
      <c r="Z209" s="113"/>
    </row>
    <row r="210" spans="1:26" s="46" customFormat="1" ht="15" hidden="1" customHeight="1" outlineLevel="1" x14ac:dyDescent="0.2">
      <c r="B210" s="382"/>
      <c r="C210" s="30"/>
      <c r="D210" s="25"/>
      <c r="E210" s="33"/>
      <c r="F210" s="26" t="s">
        <v>675</v>
      </c>
      <c r="G210" s="386" t="s">
        <v>475</v>
      </c>
      <c r="H210" s="27">
        <v>0</v>
      </c>
      <c r="I210" s="27">
        <f>'Prog 01'!J179</f>
        <v>0</v>
      </c>
      <c r="J210" s="27">
        <v>0</v>
      </c>
      <c r="K210" s="240" t="str">
        <f t="shared" si="55"/>
        <v>0.00%</v>
      </c>
      <c r="L210" s="27">
        <f>'Prog 01'!M179</f>
        <v>0</v>
      </c>
      <c r="M210" s="240">
        <f t="shared" si="50"/>
        <v>0</v>
      </c>
      <c r="N210" s="27">
        <f>INDEX(coincidenciaP01,MATCH(F210,indicep01,0),9)</f>
        <v>0</v>
      </c>
      <c r="O210" s="240">
        <f t="shared" si="51"/>
        <v>0</v>
      </c>
      <c r="P210" s="27">
        <f>+'Prog 01'!Q179</f>
        <v>0</v>
      </c>
      <c r="Q210" s="27">
        <f ca="1">+'Prog 01'!R179</f>
        <v>0</v>
      </c>
      <c r="R210" s="240" t="str">
        <f t="shared" ca="1" si="58"/>
        <v>0.00%</v>
      </c>
      <c r="S210" s="20"/>
      <c r="T210" s="858"/>
      <c r="U210" s="110"/>
      <c r="V210" s="859"/>
      <c r="W210" s="109"/>
      <c r="X210" s="109"/>
      <c r="Y210" s="109"/>
      <c r="Z210" s="113"/>
    </row>
    <row r="211" spans="1:26" s="46" customFormat="1" ht="15" hidden="1" customHeight="1" outlineLevel="1" x14ac:dyDescent="0.2">
      <c r="B211" s="382"/>
      <c r="C211" s="30"/>
      <c r="D211" s="25"/>
      <c r="E211" s="33"/>
      <c r="F211" s="26" t="s">
        <v>679</v>
      </c>
      <c r="G211" s="386" t="s">
        <v>680</v>
      </c>
      <c r="H211" s="27">
        <v>0</v>
      </c>
      <c r="I211" s="27">
        <f>'Prog 01'!J180</f>
        <v>0</v>
      </c>
      <c r="J211" s="27">
        <f ca="1">+'Prog 01'!K180</f>
        <v>0</v>
      </c>
      <c r="K211" s="240" t="str">
        <f t="shared" ca="1" si="55"/>
        <v>0.00%</v>
      </c>
      <c r="L211" s="27">
        <f>'Prog 01'!M180</f>
        <v>0</v>
      </c>
      <c r="M211" s="240">
        <f t="shared" ref="M211:M279" si="59">+IFERROR(L211/I211,0)</f>
        <v>0</v>
      </c>
      <c r="N211" s="27">
        <f>+'Prog 01'!O180</f>
        <v>0</v>
      </c>
      <c r="O211" s="240">
        <f t="shared" ref="O211:O279" si="60">+IFERROR(N211/I211,0)</f>
        <v>0</v>
      </c>
      <c r="P211" s="27">
        <f>+'Prog 01'!Q180</f>
        <v>113325.83600000001</v>
      </c>
      <c r="Q211" s="27">
        <f ca="1">+'Prog 01'!R180</f>
        <v>113325.83600000001</v>
      </c>
      <c r="R211" s="240">
        <f t="shared" ca="1" si="58"/>
        <v>1</v>
      </c>
      <c r="S211" s="20"/>
      <c r="T211" s="858"/>
      <c r="U211" s="110"/>
      <c r="V211" s="859"/>
      <c r="W211" s="109"/>
      <c r="X211" s="109"/>
      <c r="Y211" s="109"/>
      <c r="Z211" s="113"/>
    </row>
    <row r="212" spans="1:26" s="46" customFormat="1" ht="15" hidden="1" customHeight="1" outlineLevel="1" x14ac:dyDescent="0.2">
      <c r="B212" s="382"/>
      <c r="C212" s="30"/>
      <c r="D212" s="25"/>
      <c r="E212" s="33"/>
      <c r="F212" s="26" t="str">
        <f>+'Prog 01'!G181</f>
        <v xml:space="preserve">24.07.008 </v>
      </c>
      <c r="G212" s="386" t="str">
        <f>+'Prog 01'!H181</f>
        <v>A Facultad Latinoamericana de Ciencias Sociales</v>
      </c>
      <c r="H212" s="27">
        <v>0</v>
      </c>
      <c r="I212" s="27">
        <f>'Prog 01'!J181</f>
        <v>0</v>
      </c>
      <c r="J212" s="27">
        <f ca="1">+'Prog 01'!K181</f>
        <v>0</v>
      </c>
      <c r="K212" s="240" t="str">
        <f t="shared" ca="1" si="55"/>
        <v>0.00%</v>
      </c>
      <c r="L212" s="27">
        <f>'Prog 01'!M181</f>
        <v>0</v>
      </c>
      <c r="M212" s="240">
        <f t="shared" si="59"/>
        <v>0</v>
      </c>
      <c r="N212" s="27">
        <f>+'Prog 01'!O181</f>
        <v>0</v>
      </c>
      <c r="O212" s="240">
        <f t="shared" si="60"/>
        <v>0</v>
      </c>
      <c r="P212" s="27">
        <f>+'Prog 01'!Q181</f>
        <v>0</v>
      </c>
      <c r="Q212" s="27">
        <f ca="1">+'Prog 01'!R181</f>
        <v>0</v>
      </c>
      <c r="R212" s="240" t="str">
        <f t="shared" ca="1" si="58"/>
        <v>0.00%</v>
      </c>
      <c r="S212" s="20"/>
      <c r="T212" s="858"/>
      <c r="U212" s="110"/>
      <c r="V212" s="859"/>
      <c r="W212" s="109"/>
      <c r="X212" s="109"/>
      <c r="Y212" s="109"/>
      <c r="Z212" s="113"/>
    </row>
    <row r="213" spans="1:26" s="46" customFormat="1" ht="15" hidden="1" customHeight="1" outlineLevel="1" x14ac:dyDescent="0.2">
      <c r="B213" s="382"/>
      <c r="C213" s="30"/>
      <c r="D213" s="25"/>
      <c r="E213" s="33"/>
      <c r="F213" s="26" t="s">
        <v>912</v>
      </c>
      <c r="G213" s="386" t="str">
        <f>+'Prog 01'!H182</f>
        <v>Diálogos participativos regionales para ela</v>
      </c>
      <c r="H213" s="27">
        <f>+'Prog 01'!I182</f>
        <v>0</v>
      </c>
      <c r="I213" s="27">
        <f>'Prog 01'!J182</f>
        <v>0</v>
      </c>
      <c r="J213" s="27">
        <f ca="1">+'Prog 01'!K182</f>
        <v>0</v>
      </c>
      <c r="K213" s="240" t="str">
        <f t="shared" ca="1" si="55"/>
        <v>0.00%</v>
      </c>
      <c r="L213" s="27">
        <f>'Prog 01'!M182</f>
        <v>0</v>
      </c>
      <c r="M213" s="240">
        <f t="shared" si="59"/>
        <v>0</v>
      </c>
      <c r="N213" s="27">
        <f>+'Prog 01'!O182</f>
        <v>0</v>
      </c>
      <c r="O213" s="240">
        <f t="shared" si="60"/>
        <v>0</v>
      </c>
      <c r="P213" s="27">
        <f>+'Prog 01'!Q182</f>
        <v>270920</v>
      </c>
      <c r="Q213" s="27">
        <f ca="1">+'Prog 01'!R182</f>
        <v>270920</v>
      </c>
      <c r="R213" s="240">
        <f t="shared" ca="1" si="58"/>
        <v>1</v>
      </c>
      <c r="S213" s="20"/>
      <c r="T213" s="858"/>
      <c r="U213" s="110"/>
      <c r="V213" s="859"/>
      <c r="W213" s="109"/>
      <c r="X213" s="109"/>
      <c r="Y213" s="109"/>
      <c r="Z213" s="113"/>
    </row>
    <row r="214" spans="1:26" s="46" customFormat="1" ht="15" hidden="1" customHeight="1" outlineLevel="1" x14ac:dyDescent="0.2">
      <c r="A214" s="457"/>
      <c r="B214" s="454"/>
      <c r="C214" s="458"/>
      <c r="D214" s="459"/>
      <c r="E214" s="94"/>
      <c r="F214" s="455" t="s">
        <v>958</v>
      </c>
      <c r="G214" s="460" t="s">
        <v>959</v>
      </c>
      <c r="H214" s="22">
        <f>+'Prog 01'!I183</f>
        <v>0</v>
      </c>
      <c r="I214" s="22">
        <f>'Prog 01'!J183</f>
        <v>0</v>
      </c>
      <c r="J214" s="22">
        <f ca="1">+'Prog 01'!K183</f>
        <v>0</v>
      </c>
      <c r="K214" s="461" t="str">
        <f t="shared" ca="1" si="55"/>
        <v>0.00%</v>
      </c>
      <c r="L214" s="22">
        <f>'Prog 01'!M183</f>
        <v>0</v>
      </c>
      <c r="M214" s="461">
        <f t="shared" si="59"/>
        <v>0</v>
      </c>
      <c r="N214" s="22">
        <f>+'Prog 01'!O183</f>
        <v>0</v>
      </c>
      <c r="O214" s="461">
        <f t="shared" si="60"/>
        <v>0</v>
      </c>
      <c r="P214" s="22">
        <v>0</v>
      </c>
      <c r="Q214" s="22">
        <v>0</v>
      </c>
      <c r="R214" s="461" t="str">
        <f t="shared" si="58"/>
        <v>0.00%</v>
      </c>
      <c r="S214" s="20"/>
      <c r="T214" s="858"/>
      <c r="U214" s="110"/>
      <c r="V214" s="859"/>
      <c r="W214" s="109"/>
      <c r="X214" s="109"/>
      <c r="Y214" s="109"/>
      <c r="Z214" s="113"/>
    </row>
    <row r="215" spans="1:26" s="46" customFormat="1" ht="15" hidden="1" customHeight="1" outlineLevel="1" x14ac:dyDescent="0.2">
      <c r="A215" s="457"/>
      <c r="B215" s="454"/>
      <c r="C215" s="458"/>
      <c r="D215" s="459"/>
      <c r="E215" s="94"/>
      <c r="F215" s="455" t="s">
        <v>1056</v>
      </c>
      <c r="G215" s="460" t="str">
        <f>+'Prog 01'!H184</f>
        <v>Banco Interamericano de Desarrollo (BID) Llanquihue</v>
      </c>
      <c r="H215" s="22">
        <f>+'Prog 01'!I184</f>
        <v>0</v>
      </c>
      <c r="I215" s="22">
        <f>+'Prog 01'!J184</f>
        <v>270000</v>
      </c>
      <c r="J215" s="22">
        <f>+'Prog 01'!K184</f>
        <v>0</v>
      </c>
      <c r="K215" s="461">
        <f>+J215/I215</f>
        <v>0</v>
      </c>
      <c r="L215" s="22">
        <f>+'Prog 01'!M184</f>
        <v>270000</v>
      </c>
      <c r="M215" s="461">
        <f>+L215/I215</f>
        <v>1</v>
      </c>
      <c r="N215" s="22">
        <f>+'Prog 01'!O184</f>
        <v>0</v>
      </c>
      <c r="O215" s="461">
        <f>+'Prog 01'!P184</f>
        <v>0</v>
      </c>
      <c r="P215" s="22">
        <f>+'Prog 01'!Q184</f>
        <v>0</v>
      </c>
      <c r="Q215" s="22">
        <f>+'Prog 01'!R184</f>
        <v>0</v>
      </c>
      <c r="R215" s="461" t="str">
        <f t="shared" si="58"/>
        <v>0.00%</v>
      </c>
      <c r="S215" s="20"/>
      <c r="T215" s="858"/>
      <c r="U215" s="110"/>
      <c r="V215" s="859"/>
      <c r="W215" s="109"/>
      <c r="X215" s="109"/>
      <c r="Y215" s="109"/>
      <c r="Z215" s="113"/>
    </row>
    <row r="216" spans="1:26" s="46" customFormat="1" ht="15" hidden="1" customHeight="1" outlineLevel="1" x14ac:dyDescent="0.2">
      <c r="A216" s="457"/>
      <c r="B216" s="454"/>
      <c r="C216" s="458" t="s">
        <v>181</v>
      </c>
      <c r="D216" s="459"/>
      <c r="E216" s="94"/>
      <c r="F216" s="455"/>
      <c r="G216" s="460" t="s">
        <v>1006</v>
      </c>
      <c r="H216" s="22">
        <f>+H217+H218+H219</f>
        <v>585625</v>
      </c>
      <c r="I216" s="22">
        <f t="shared" ref="I216" si="61">+I217+I218+I219</f>
        <v>585625</v>
      </c>
      <c r="J216" s="22">
        <f ca="1">+J217+J218+J219</f>
        <v>370409.74200000009</v>
      </c>
      <c r="K216" s="461">
        <f ca="1">+J216/I216</f>
        <v>0.63250329477054446</v>
      </c>
      <c r="L216" s="22">
        <f>+L217+L218+L219</f>
        <v>574740.27800000005</v>
      </c>
      <c r="M216" s="461">
        <f>+L216/I216</f>
        <v>0.98141349498399155</v>
      </c>
      <c r="N216" s="22">
        <f>+N217+N218+N219</f>
        <v>10884.721999999932</v>
      </c>
      <c r="O216" s="461">
        <f>+'Prog 01'!P185</f>
        <v>9.2459432355037185E-3</v>
      </c>
      <c r="P216" s="22">
        <f>+P217+P218</f>
        <v>0</v>
      </c>
      <c r="Q216" s="22">
        <f>+Q217+Q218</f>
        <v>0</v>
      </c>
      <c r="R216" s="461" t="str">
        <f t="shared" si="58"/>
        <v>0.00%</v>
      </c>
      <c r="S216" s="20"/>
      <c r="T216" s="858"/>
      <c r="U216" s="110"/>
      <c r="V216" s="859"/>
      <c r="W216" s="109"/>
      <c r="X216" s="109"/>
      <c r="Y216" s="109"/>
      <c r="Z216" s="113"/>
    </row>
    <row r="217" spans="1:26" s="46" customFormat="1" ht="15" hidden="1" customHeight="1" outlineLevel="1" x14ac:dyDescent="0.2">
      <c r="A217" s="457"/>
      <c r="B217" s="454"/>
      <c r="C217" s="458"/>
      <c r="D217" s="459">
        <v>34</v>
      </c>
      <c r="E217" s="94"/>
      <c r="F217" s="455" t="s">
        <v>1022</v>
      </c>
      <c r="G217" s="460" t="str">
        <f>+'Prog 02'!G45</f>
        <v>Programa de Apoyo al Mejoramiento de la Gestión y de Servicios Municipales</v>
      </c>
      <c r="H217" s="22">
        <f>+'Prog 02'!H45</f>
        <v>31260</v>
      </c>
      <c r="I217" s="22">
        <f>+'Prog 02'!I45</f>
        <v>31260</v>
      </c>
      <c r="J217" s="22">
        <f ca="1">+'Prog 02'!J45</f>
        <v>16271.207</v>
      </c>
      <c r="K217" s="461">
        <f ca="1">+J217/I217</f>
        <v>0.52051206014075502</v>
      </c>
      <c r="L217" s="22">
        <f>+'Prog 02'!L45</f>
        <v>25771.206999999999</v>
      </c>
      <c r="M217" s="461">
        <f>+L217/I217</f>
        <v>0.82441481126039662</v>
      </c>
      <c r="N217" s="22">
        <f>+'Prog 02'!N45</f>
        <v>5488.7930000000015</v>
      </c>
      <c r="O217" s="461">
        <f>+'Prog 02'!O45</f>
        <v>0.17558518873960338</v>
      </c>
      <c r="P217" s="22">
        <f>+'Prog 02'!P44</f>
        <v>0</v>
      </c>
      <c r="Q217" s="22">
        <f>+'Prog 02'!Q44</f>
        <v>0</v>
      </c>
      <c r="R217" s="461" t="str">
        <f t="shared" si="58"/>
        <v>0.00%</v>
      </c>
      <c r="S217" s="20"/>
      <c r="T217" s="858"/>
      <c r="U217" s="110"/>
      <c r="V217" s="859"/>
      <c r="W217" s="109"/>
      <c r="X217" s="109"/>
      <c r="Y217" s="109"/>
      <c r="Z217" s="113"/>
    </row>
    <row r="218" spans="1:26" s="46" customFormat="1" ht="15" hidden="1" customHeight="1" outlineLevel="1" x14ac:dyDescent="0.2">
      <c r="A218" s="457"/>
      <c r="B218" s="454"/>
      <c r="C218" s="458"/>
      <c r="D218" s="459">
        <v>409</v>
      </c>
      <c r="E218" s="94"/>
      <c r="F218" s="455" t="s">
        <v>1009</v>
      </c>
      <c r="G218" s="460" t="s">
        <v>1007</v>
      </c>
      <c r="H218" s="22">
        <f>+'Prog 01'!I186</f>
        <v>82763</v>
      </c>
      <c r="I218" s="22">
        <f>+'Prog 01'!J186</f>
        <v>82763</v>
      </c>
      <c r="J218" s="22">
        <f ca="1">+'Prog 01'!K186</f>
        <v>57881.926000000007</v>
      </c>
      <c r="K218" s="461">
        <f ca="1">+J218/I218</f>
        <v>0.69936959752546435</v>
      </c>
      <c r="L218" s="22">
        <f>+'Prog 01'!M186</f>
        <v>81997.778000000006</v>
      </c>
      <c r="M218" s="461">
        <f>+L218/I218</f>
        <v>0.99075405676449624</v>
      </c>
      <c r="N218" s="22">
        <f>+'Prog 01'!O186</f>
        <v>765.2219999999943</v>
      </c>
      <c r="O218" s="461">
        <f>+'Prog 01'!P186</f>
        <v>9.2459432355037185E-3</v>
      </c>
      <c r="P218" s="22">
        <v>0</v>
      </c>
      <c r="Q218" s="22">
        <v>0</v>
      </c>
      <c r="R218" s="461" t="str">
        <f t="shared" si="58"/>
        <v>0.00%</v>
      </c>
      <c r="S218" s="20"/>
      <c r="T218" s="858"/>
      <c r="U218" s="110"/>
      <c r="V218" s="859"/>
      <c r="W218" s="109"/>
      <c r="X218" s="109"/>
      <c r="Y218" s="109"/>
      <c r="Z218" s="113"/>
    </row>
    <row r="219" spans="1:26" s="457" customFormat="1" ht="15" hidden="1" customHeight="1" outlineLevel="1" x14ac:dyDescent="0.2">
      <c r="B219" s="454"/>
      <c r="C219" s="458"/>
      <c r="D219" s="459">
        <v>407</v>
      </c>
      <c r="E219" s="94"/>
      <c r="F219" s="455" t="s">
        <v>1043</v>
      </c>
      <c r="G219" s="460" t="str">
        <f>+'Prog 03'!G25</f>
        <v>Servicios de Asistencia Técnica Especializada SATE</v>
      </c>
      <c r="H219" s="22">
        <f>+'Prog 03'!H25</f>
        <v>471602</v>
      </c>
      <c r="I219" s="22">
        <f>+'Prog 03'!I25</f>
        <v>471602</v>
      </c>
      <c r="J219" s="22">
        <f ca="1">+'Prog 03'!J25</f>
        <v>296256.60900000005</v>
      </c>
      <c r="K219" s="461">
        <f ca="1">+J219/I219</f>
        <v>0.62819201148426018</v>
      </c>
      <c r="L219" s="22">
        <f>+'Prog 03'!L25</f>
        <v>466971.29300000006</v>
      </c>
      <c r="M219" s="461">
        <f>+L219/I219</f>
        <v>0.99018090042026974</v>
      </c>
      <c r="N219" s="22">
        <f>+'Prog 03'!N25</f>
        <v>4630.7069999999367</v>
      </c>
      <c r="O219" s="461">
        <f>+'Prog 03'!O25</f>
        <v>9.8190995797302321E-3</v>
      </c>
      <c r="P219" s="22">
        <v>0</v>
      </c>
      <c r="Q219" s="22">
        <v>0</v>
      </c>
      <c r="R219" s="461">
        <v>0</v>
      </c>
      <c r="S219" s="3"/>
      <c r="T219" s="860"/>
      <c r="U219" s="464"/>
      <c r="V219" s="861"/>
      <c r="W219" s="465"/>
      <c r="X219" s="465"/>
      <c r="Y219" s="465"/>
      <c r="Z219" s="466"/>
    </row>
    <row r="220" spans="1:26" s="46" customFormat="1" ht="16.5" customHeight="1" outlineLevel="2" x14ac:dyDescent="0.2">
      <c r="B220" s="454">
        <v>25</v>
      </c>
      <c r="C220" s="69"/>
      <c r="D220" s="526"/>
      <c r="E220" s="527"/>
      <c r="F220" s="455"/>
      <c r="G220" s="463" t="s">
        <v>509</v>
      </c>
      <c r="H220" s="91">
        <f>+H221</f>
        <v>178407.99600000001</v>
      </c>
      <c r="I220" s="91">
        <f>+I221</f>
        <v>178407.99600000001</v>
      </c>
      <c r="J220" s="91">
        <f ca="1">+'Prog 01'!K187+'Prog 02'!J46+'Prog 03'!J29+'Prog 05'!J32</f>
        <v>262045.51700000002</v>
      </c>
      <c r="K220" s="461">
        <f ca="1">IFERROR(J220/I220,"0.00%")</f>
        <v>1.4687991731043266</v>
      </c>
      <c r="L220" s="91">
        <f>+L221</f>
        <v>262045.51799999998</v>
      </c>
      <c r="M220" s="461">
        <f>+IFERROR(L220/I220,0)</f>
        <v>1.4687991787094563</v>
      </c>
      <c r="N220" s="91">
        <f>+N221</f>
        <v>-83637.521999999983</v>
      </c>
      <c r="O220" s="461">
        <f>+IFERROR(N220/I220,0)</f>
        <v>-0.46879917870945637</v>
      </c>
      <c r="P220" s="22">
        <f>+'Prog 01'!Q187+'Prog 03'!P29+'Prog 05'!P32+'Prog 02'!P46</f>
        <v>560205.35420000006</v>
      </c>
      <c r="Q220" s="27">
        <f ca="1">+Q221</f>
        <v>3147186.2691040002</v>
      </c>
      <c r="R220" s="240">
        <v>1</v>
      </c>
      <c r="S220" s="20"/>
      <c r="T220" s="858"/>
      <c r="U220" s="110"/>
      <c r="V220" s="859"/>
      <c r="W220" s="109"/>
      <c r="X220" s="109"/>
      <c r="Y220" s="109"/>
      <c r="Z220" s="113"/>
    </row>
    <row r="221" spans="1:26" s="187" customFormat="1" ht="15" hidden="1" customHeight="1" outlineLevel="2" x14ac:dyDescent="0.2">
      <c r="B221" s="382"/>
      <c r="C221" s="24">
        <v>99</v>
      </c>
      <c r="D221" s="34"/>
      <c r="E221" s="31"/>
      <c r="F221" s="26"/>
      <c r="G221" s="384" t="s">
        <v>510</v>
      </c>
      <c r="H221" s="27">
        <f>'Prog 01'!I187+'Prog 02'!H46+'Prog 03'!H29+'Prog 05'!H32</f>
        <v>178407.99600000001</v>
      </c>
      <c r="I221" s="27">
        <f>'Prog 01'!J187+'Prog 02'!I46+'Prog 03'!I29+'Prog 05'!I32</f>
        <v>178407.99600000001</v>
      </c>
      <c r="J221" s="27">
        <f ca="1">'Prog 01'!K187+'Prog 02'!J46+'Prog 03'!J29+'Prog 05'!J32</f>
        <v>262045.51700000002</v>
      </c>
      <c r="K221" s="240">
        <f t="shared" ca="1" si="55"/>
        <v>1.4687991731043266</v>
      </c>
      <c r="L221" s="27">
        <f>'Prog 01'!M187+'Prog 02'!L46+'Prog 03'!L29+'Prog 05'!L32</f>
        <v>262045.51799999998</v>
      </c>
      <c r="M221" s="240">
        <f t="shared" si="59"/>
        <v>1.4687991787094563</v>
      </c>
      <c r="N221" s="27">
        <f>+'Prog 01'!O188+'Prog 02'!N46+'Prog 03'!N30+'Prog 05'!N33</f>
        <v>-83637.521999999983</v>
      </c>
      <c r="O221" s="240">
        <f t="shared" si="60"/>
        <v>-0.46879917870945637</v>
      </c>
      <c r="P221" s="27">
        <f>+'Prog 01'!Q188+'Prog 03'!P30+'Prog 05'!P33+'Prog 02'!P47</f>
        <v>560205.45840000012</v>
      </c>
      <c r="Q221" s="27">
        <f ca="1">+'Prog 02'!Q47+'Prog 03'!Q30+'Prog 05'!Q33+'Prog 01'!R187</f>
        <v>3147186.2691040002</v>
      </c>
      <c r="R221" s="240">
        <f t="shared" ca="1" si="58"/>
        <v>5.6179143239565397</v>
      </c>
      <c r="S221" s="100"/>
      <c r="T221" s="188"/>
      <c r="U221" s="188"/>
      <c r="V221" s="189"/>
      <c r="W221" s="164"/>
      <c r="X221" s="164"/>
      <c r="Y221" s="164"/>
      <c r="Z221" s="189"/>
    </row>
    <row r="222" spans="1:26" ht="15" hidden="1" customHeight="1" outlineLevel="2" x14ac:dyDescent="0.2">
      <c r="B222" s="382"/>
      <c r="C222" s="24"/>
      <c r="D222" s="34"/>
      <c r="E222" s="31"/>
      <c r="F222" s="26" t="s">
        <v>848</v>
      </c>
      <c r="G222" s="384" t="s">
        <v>846</v>
      </c>
      <c r="H222" s="27">
        <f>+'Prog 01'!I189</f>
        <v>178374</v>
      </c>
      <c r="I222" s="27">
        <f>'Prog 01'!J189</f>
        <v>178374</v>
      </c>
      <c r="J222" s="27">
        <f ca="1">'Prog 01'!K189</f>
        <v>253639.54400000002</v>
      </c>
      <c r="K222" s="240">
        <f t="shared" ca="1" si="55"/>
        <v>1.4219535582540057</v>
      </c>
      <c r="L222" s="27">
        <f>+'Prog 01'!M189</f>
        <v>253639.54500000001</v>
      </c>
      <c r="M222" s="240">
        <f t="shared" si="59"/>
        <v>1.4219535638602039</v>
      </c>
      <c r="N222" s="27">
        <f>+'Prog 01'!O189</f>
        <v>-75265.545000000013</v>
      </c>
      <c r="O222" s="240">
        <f t="shared" si="60"/>
        <v>-0.42195356386020394</v>
      </c>
      <c r="P222" s="27">
        <v>0</v>
      </c>
      <c r="Q222" s="27">
        <v>0</v>
      </c>
      <c r="R222" s="240" t="str">
        <f t="shared" si="58"/>
        <v>0.00%</v>
      </c>
      <c r="T222" s="858"/>
      <c r="V222" s="859"/>
      <c r="W222" s="109"/>
      <c r="X222" s="109"/>
      <c r="Y222" s="109"/>
      <c r="Z222" s="113"/>
    </row>
    <row r="223" spans="1:26" ht="15" hidden="1" customHeight="1" outlineLevel="2" x14ac:dyDescent="0.2">
      <c r="B223" s="382"/>
      <c r="C223" s="24"/>
      <c r="D223" s="34"/>
      <c r="E223" s="31"/>
      <c r="F223" s="26" t="s">
        <v>886</v>
      </c>
      <c r="G223" s="384" t="str">
        <f>+'Prog 02'!G49</f>
        <v>Integros por Saldos No Utilizados de Transferencia</v>
      </c>
      <c r="H223" s="27">
        <f>+'Prog 02'!H49</f>
        <v>1</v>
      </c>
      <c r="I223" s="27">
        <f>+'Prog 02'!I49</f>
        <v>1</v>
      </c>
      <c r="J223" s="27">
        <f ca="1">+'Prog 02'!J49</f>
        <v>0</v>
      </c>
      <c r="K223" s="240">
        <f t="shared" ca="1" si="55"/>
        <v>0</v>
      </c>
      <c r="L223" s="27">
        <f>+'Prog 02'!L49</f>
        <v>0</v>
      </c>
      <c r="M223" s="240">
        <f t="shared" si="59"/>
        <v>0</v>
      </c>
      <c r="N223" s="27">
        <f>+'Prog 02'!N49</f>
        <v>1</v>
      </c>
      <c r="O223" s="240">
        <f t="shared" si="60"/>
        <v>1</v>
      </c>
      <c r="P223" s="27">
        <v>0</v>
      </c>
      <c r="Q223" s="27">
        <v>0</v>
      </c>
      <c r="R223" s="240" t="str">
        <f t="shared" si="58"/>
        <v>0.00%</v>
      </c>
      <c r="T223" s="858"/>
      <c r="V223" s="859"/>
      <c r="W223" s="109"/>
      <c r="X223" s="109"/>
      <c r="Y223" s="109"/>
      <c r="Z223" s="113"/>
    </row>
    <row r="224" spans="1:26" ht="15" hidden="1" customHeight="1" outlineLevel="2" x14ac:dyDescent="0.2">
      <c r="B224" s="382"/>
      <c r="C224" s="24"/>
      <c r="D224" s="34"/>
      <c r="E224" s="31"/>
      <c r="F224" s="26" t="s">
        <v>882</v>
      </c>
      <c r="G224" s="384" t="s">
        <v>855</v>
      </c>
      <c r="H224" s="27">
        <f>+'Prog 01'!I191+'Prog 02'!H50</f>
        <v>2</v>
      </c>
      <c r="I224" s="27">
        <f>'Prog 01'!J191+'Prog 02'!I50</f>
        <v>2</v>
      </c>
      <c r="J224" s="27">
        <f ca="1">'Prog 01'!K191+'Prog 02'!J50</f>
        <v>4768.7960000000003</v>
      </c>
      <c r="K224" s="240">
        <f t="shared" ca="1" si="55"/>
        <v>2384.3980000000001</v>
      </c>
      <c r="L224" s="27">
        <f>'Prog 01'!M191+'Prog 02'!L50</f>
        <v>4768.7960000000003</v>
      </c>
      <c r="M224" s="240">
        <f t="shared" si="59"/>
        <v>2384.3980000000001</v>
      </c>
      <c r="N224" s="27">
        <f>+'Prog 01'!O191+'Prog 02'!N50</f>
        <v>-4766.7960000000003</v>
      </c>
      <c r="O224" s="240">
        <f t="shared" si="60"/>
        <v>-2383.3980000000001</v>
      </c>
      <c r="P224" s="27">
        <v>0</v>
      </c>
      <c r="Q224" s="27">
        <v>0</v>
      </c>
      <c r="R224" s="240" t="str">
        <f t="shared" si="58"/>
        <v>0.00%</v>
      </c>
      <c r="T224" s="858"/>
      <c r="V224" s="859"/>
      <c r="W224" s="109"/>
      <c r="X224" s="109"/>
      <c r="Y224" s="109"/>
      <c r="Z224" s="113"/>
    </row>
    <row r="225" spans="2:26" ht="15" hidden="1" customHeight="1" outlineLevel="2" x14ac:dyDescent="0.2">
      <c r="B225" s="382"/>
      <c r="C225" s="24"/>
      <c r="D225" s="34"/>
      <c r="E225" s="31"/>
      <c r="F225" s="26" t="s">
        <v>883</v>
      </c>
      <c r="G225" s="384" t="s">
        <v>856</v>
      </c>
      <c r="H225" s="27">
        <f>+'Prog 01'!I192</f>
        <v>1</v>
      </c>
      <c r="I225" s="27">
        <f>'Prog 01'!J192</f>
        <v>1</v>
      </c>
      <c r="J225" s="27">
        <f ca="1">'Prog 01'!K192</f>
        <v>0</v>
      </c>
      <c r="K225" s="240">
        <f t="shared" ca="1" si="55"/>
        <v>0</v>
      </c>
      <c r="L225" s="27">
        <f>'Prog 01'!M192</f>
        <v>0</v>
      </c>
      <c r="M225" s="240">
        <f t="shared" si="59"/>
        <v>0</v>
      </c>
      <c r="N225" s="27">
        <f>+'Prog 01'!O192</f>
        <v>1</v>
      </c>
      <c r="O225" s="240">
        <f t="shared" si="60"/>
        <v>1</v>
      </c>
      <c r="P225" s="27">
        <v>0</v>
      </c>
      <c r="Q225" s="27">
        <v>0</v>
      </c>
      <c r="R225" s="240" t="str">
        <f t="shared" si="58"/>
        <v>0.00%</v>
      </c>
      <c r="T225" s="858"/>
      <c r="V225" s="859"/>
      <c r="W225" s="109"/>
      <c r="X225" s="109"/>
      <c r="Y225" s="109"/>
      <c r="Z225" s="113"/>
    </row>
    <row r="226" spans="2:26" ht="15" hidden="1" customHeight="1" outlineLevel="2" x14ac:dyDescent="0.2">
      <c r="B226" s="382"/>
      <c r="C226" s="24"/>
      <c r="D226" s="34"/>
      <c r="E226" s="31"/>
      <c r="F226" s="26" t="s">
        <v>854</v>
      </c>
      <c r="G226" s="384" t="s">
        <v>51</v>
      </c>
      <c r="H226" s="27">
        <f>+'Prog 01'!I193+'Prog 02'!H52</f>
        <v>17</v>
      </c>
      <c r="I226" s="27">
        <f>'Prog 01'!J193+'Prog 02'!I52+'Prog 03'!I32+'Prog 05'!I33</f>
        <v>26.996000000000002</v>
      </c>
      <c r="J226" s="27">
        <f ca="1">'Prog 01'!K193+'Prog 02'!J52+'Prog 03'!J32+'Prog 05'!J33</f>
        <v>0</v>
      </c>
      <c r="K226" s="240">
        <f t="shared" ca="1" si="55"/>
        <v>0</v>
      </c>
      <c r="L226" s="27">
        <f>'Prog 01'!M193+'Prog 02'!L52+'Prog 03'!L32+'Prog 05'!L33</f>
        <v>0</v>
      </c>
      <c r="M226" s="240">
        <f t="shared" si="59"/>
        <v>0</v>
      </c>
      <c r="N226" s="27">
        <f>+'Prog 01'!O193+'Prog 02'!N52</f>
        <v>17</v>
      </c>
      <c r="O226" s="240">
        <f t="shared" si="60"/>
        <v>0.62972292191435764</v>
      </c>
      <c r="P226" s="27">
        <v>0</v>
      </c>
      <c r="Q226" s="27">
        <v>0</v>
      </c>
      <c r="R226" s="240" t="str">
        <f t="shared" si="58"/>
        <v>0.00%</v>
      </c>
      <c r="T226" s="858"/>
      <c r="V226" s="859"/>
      <c r="W226" s="109"/>
      <c r="X226" s="109"/>
      <c r="Y226" s="109"/>
      <c r="Z226" s="113"/>
    </row>
    <row r="227" spans="2:26" ht="15" hidden="1" customHeight="1" outlineLevel="2" x14ac:dyDescent="0.2">
      <c r="B227" s="382">
        <v>26</v>
      </c>
      <c r="C227" s="24"/>
      <c r="D227" s="34"/>
      <c r="E227" s="31"/>
      <c r="F227" s="26"/>
      <c r="G227" s="383" t="str">
        <f>+'Prog 03'!G33</f>
        <v>OTROS GASTOS CORRIENTES</v>
      </c>
      <c r="H227" s="27">
        <v>0</v>
      </c>
      <c r="I227" s="27">
        <v>0</v>
      </c>
      <c r="J227" s="27">
        <v>0</v>
      </c>
      <c r="K227" s="240" t="str">
        <f t="shared" si="55"/>
        <v>0.00%</v>
      </c>
      <c r="L227" s="27">
        <v>0</v>
      </c>
      <c r="M227" s="240">
        <f t="shared" si="59"/>
        <v>0</v>
      </c>
      <c r="N227" s="27">
        <v>0</v>
      </c>
      <c r="O227" s="240">
        <f t="shared" si="60"/>
        <v>0</v>
      </c>
      <c r="P227" s="27">
        <f>+P228</f>
        <v>0</v>
      </c>
      <c r="Q227" s="27">
        <f ca="1">+Q228</f>
        <v>0</v>
      </c>
      <c r="R227" s="240" t="str">
        <f t="shared" ca="1" si="58"/>
        <v>0.00%</v>
      </c>
      <c r="T227" s="858"/>
      <c r="V227" s="859"/>
      <c r="W227" s="109"/>
      <c r="X227" s="109"/>
      <c r="Y227" s="109"/>
      <c r="Z227" s="113"/>
    </row>
    <row r="228" spans="2:26" ht="15" hidden="1" customHeight="1" outlineLevel="2" x14ac:dyDescent="0.2">
      <c r="B228" s="382"/>
      <c r="C228" s="24">
        <v>1</v>
      </c>
      <c r="D228" s="34"/>
      <c r="E228" s="31"/>
      <c r="F228" s="26" t="s">
        <v>309</v>
      </c>
      <c r="G228" s="384" t="str">
        <f>+'Prog 03'!G34</f>
        <v>Devoluciones</v>
      </c>
      <c r="H228" s="27">
        <v>0</v>
      </c>
      <c r="I228" s="27">
        <v>0</v>
      </c>
      <c r="J228" s="27">
        <v>0</v>
      </c>
      <c r="K228" s="240" t="str">
        <f t="shared" si="55"/>
        <v>0.00%</v>
      </c>
      <c r="L228" s="27">
        <v>0</v>
      </c>
      <c r="M228" s="240">
        <f t="shared" si="59"/>
        <v>0</v>
      </c>
      <c r="N228" s="27">
        <v>0</v>
      </c>
      <c r="O228" s="240">
        <f t="shared" si="60"/>
        <v>0</v>
      </c>
      <c r="P228" s="27">
        <f>+'Prog 03'!P34</f>
        <v>0</v>
      </c>
      <c r="Q228" s="27">
        <f ca="1">+'Prog 03'!Q34</f>
        <v>0</v>
      </c>
      <c r="R228" s="240" t="str">
        <f t="shared" ca="1" si="58"/>
        <v>0.00%</v>
      </c>
      <c r="T228" s="858"/>
      <c r="V228" s="859"/>
      <c r="W228" s="109"/>
      <c r="X228" s="109"/>
      <c r="Y228" s="109"/>
      <c r="Z228" s="113"/>
    </row>
    <row r="229" spans="2:26" ht="15" customHeight="1" x14ac:dyDescent="0.2">
      <c r="B229" s="382" t="s">
        <v>1099</v>
      </c>
      <c r="C229" s="24" t="s">
        <v>2</v>
      </c>
      <c r="D229" s="25"/>
      <c r="E229" s="26"/>
      <c r="F229" s="26"/>
      <c r="G229" s="383" t="s">
        <v>304</v>
      </c>
      <c r="H229" s="27">
        <f>+H230+H233+H234+H231+H232</f>
        <v>239135</v>
      </c>
      <c r="I229" s="27">
        <f>+I230+I233+I234+I231+I232</f>
        <v>227178</v>
      </c>
      <c r="J229" s="27">
        <f ca="1">+J230+J233+J234+J231+J232</f>
        <v>66778.896999999997</v>
      </c>
      <c r="K229" s="240">
        <f ca="1">IFERROR(J229/I229,"0.00%")</f>
        <v>0.2939496650203805</v>
      </c>
      <c r="L229" s="27">
        <f>+L233+L234+L230+L231+L232</f>
        <v>67159.697</v>
      </c>
      <c r="M229" s="240">
        <f>+IFERROR(L229/I229,0)</f>
        <v>0.29562588366831294</v>
      </c>
      <c r="N229" s="27">
        <f>+N233+N234+N230+N231+N232</f>
        <v>160018.30300000001</v>
      </c>
      <c r="O229" s="240">
        <f>+IFERROR(N229/I229,0)</f>
        <v>0.70437411633168712</v>
      </c>
      <c r="P229" s="27">
        <f>SUM(P230:P234)</f>
        <v>319211.49</v>
      </c>
      <c r="Q229" s="27">
        <f ca="1">SUM(Q230:Q234)</f>
        <v>108845.41209800002</v>
      </c>
      <c r="R229" s="240">
        <f ca="1">IFERROR(Q229/P229,"0.00%")</f>
        <v>0.34098212472865563</v>
      </c>
      <c r="T229" s="858"/>
      <c r="V229" s="859"/>
      <c r="W229" s="109"/>
      <c r="X229" s="109"/>
      <c r="Y229" s="109"/>
      <c r="Z229" s="113"/>
    </row>
    <row r="230" spans="2:26" ht="15" hidden="1" customHeight="1" x14ac:dyDescent="0.2">
      <c r="B230" s="382"/>
      <c r="C230" s="24">
        <v>3</v>
      </c>
      <c r="D230" s="25"/>
      <c r="E230" s="26"/>
      <c r="F230" s="26" t="s">
        <v>776</v>
      </c>
      <c r="G230" s="383" t="s">
        <v>778</v>
      </c>
      <c r="H230" s="27">
        <f>+'Prog 01'!I195</f>
        <v>26050</v>
      </c>
      <c r="I230" s="27">
        <f>'Prog 01'!J195</f>
        <v>26050</v>
      </c>
      <c r="J230" s="27">
        <f ca="1">'Prog 01'!K195</f>
        <v>25191.001</v>
      </c>
      <c r="K230" s="240">
        <f t="shared" ca="1" si="55"/>
        <v>0.96702499040307099</v>
      </c>
      <c r="L230" s="27">
        <f>INDEX(coincidenciaP01,MATCH(F230,indicep01,0),7)</f>
        <v>25191.001</v>
      </c>
      <c r="M230" s="240">
        <f t="shared" si="59"/>
        <v>0.96702499040307099</v>
      </c>
      <c r="N230" s="27">
        <f>+'Prog 01'!O195</f>
        <v>858.9989999999998</v>
      </c>
      <c r="O230" s="240">
        <f t="shared" si="60"/>
        <v>3.2975009596928978E-2</v>
      </c>
      <c r="P230" s="27">
        <f>+'Prog 01'!Q195</f>
        <v>23445</v>
      </c>
      <c r="Q230" s="27">
        <f ca="1">+'Prog 01'!R195</f>
        <v>23399.776158000001</v>
      </c>
      <c r="R230" s="240">
        <f t="shared" ca="1" si="58"/>
        <v>0.99807106666666667</v>
      </c>
      <c r="T230" s="858"/>
      <c r="V230" s="859"/>
      <c r="W230" s="109"/>
      <c r="X230" s="109"/>
      <c r="Y230" s="109"/>
      <c r="Z230" s="113"/>
    </row>
    <row r="231" spans="2:26" ht="15" hidden="1" customHeight="1" x14ac:dyDescent="0.2">
      <c r="B231" s="382"/>
      <c r="C231" s="24">
        <v>4</v>
      </c>
      <c r="D231" s="25"/>
      <c r="E231" s="26"/>
      <c r="F231" s="26" t="s">
        <v>831</v>
      </c>
      <c r="G231" s="383" t="str">
        <f>+'Prog 01'!H196</f>
        <v>Mobiliario y Otros</v>
      </c>
      <c r="H231" s="27">
        <f>+'Prog 01'!I196</f>
        <v>0</v>
      </c>
      <c r="I231" s="27">
        <f>'Prog 01'!J196</f>
        <v>0</v>
      </c>
      <c r="J231" s="27">
        <f ca="1">'Prog 01'!K196</f>
        <v>0</v>
      </c>
      <c r="K231" s="240" t="str">
        <f t="shared" ca="1" si="55"/>
        <v>0.00%</v>
      </c>
      <c r="L231" s="27">
        <f>INDEX(coincidenciaP01,MATCH(F231,indicep01,0),7)</f>
        <v>0</v>
      </c>
      <c r="M231" s="240">
        <f t="shared" si="59"/>
        <v>0</v>
      </c>
      <c r="N231" s="27">
        <f>+'Prog 01'!O196</f>
        <v>0</v>
      </c>
      <c r="O231" s="240">
        <f t="shared" si="60"/>
        <v>0</v>
      </c>
      <c r="P231" s="27">
        <f>+'Prog 01'!Q196</f>
        <v>21882</v>
      </c>
      <c r="Q231" s="27">
        <f ca="1">+'Prog 01'!R196</f>
        <v>2153.8452600000001</v>
      </c>
      <c r="R231" s="240">
        <f t="shared" ca="1" si="58"/>
        <v>9.8430000000000004E-2</v>
      </c>
      <c r="T231" s="858"/>
      <c r="V231" s="859"/>
      <c r="W231" s="109"/>
      <c r="X231" s="109"/>
      <c r="Y231" s="109"/>
      <c r="Z231" s="113"/>
    </row>
    <row r="232" spans="2:26" ht="15" hidden="1" customHeight="1" x14ac:dyDescent="0.2">
      <c r="B232" s="382"/>
      <c r="C232" s="24">
        <v>5</v>
      </c>
      <c r="D232" s="25"/>
      <c r="E232" s="26"/>
      <c r="F232" s="26" t="s">
        <v>869</v>
      </c>
      <c r="G232" s="383" t="str">
        <f>+'Prog 01'!H197</f>
        <v>Máquinas y Equipos</v>
      </c>
      <c r="H232" s="27">
        <f>+'Prog 01'!I197</f>
        <v>0</v>
      </c>
      <c r="I232" s="27">
        <f>'Prog 01'!J197</f>
        <v>0</v>
      </c>
      <c r="J232" s="27">
        <f ca="1">'Prog 01'!K197</f>
        <v>0</v>
      </c>
      <c r="K232" s="240" t="str">
        <f t="shared" ca="1" si="55"/>
        <v>0.00%</v>
      </c>
      <c r="L232" s="27">
        <f>INDEX(coincidenciaP01,MATCH(F232,indicep01,0),7)</f>
        <v>0</v>
      </c>
      <c r="M232" s="240">
        <f t="shared" si="59"/>
        <v>0</v>
      </c>
      <c r="N232" s="27">
        <f>+'Prog 01'!O197</f>
        <v>0</v>
      </c>
      <c r="O232" s="240">
        <f t="shared" si="60"/>
        <v>0</v>
      </c>
      <c r="P232" s="27">
        <f>+'Prog 01'!Q197</f>
        <v>0</v>
      </c>
      <c r="Q232" s="27">
        <f ca="1">+'Prog 01'!R197</f>
        <v>0</v>
      </c>
      <c r="R232" s="240" t="str">
        <f t="shared" ca="1" si="58"/>
        <v>0.00%</v>
      </c>
      <c r="T232" s="858"/>
      <c r="V232" s="859"/>
      <c r="W232" s="109"/>
      <c r="X232" s="109"/>
      <c r="Y232" s="109"/>
      <c r="Z232" s="113"/>
    </row>
    <row r="233" spans="2:26" ht="15" hidden="1" customHeight="1" x14ac:dyDescent="0.2">
      <c r="B233" s="382"/>
      <c r="C233" s="24" t="s">
        <v>699</v>
      </c>
      <c r="D233" s="25"/>
      <c r="E233" s="26"/>
      <c r="F233" s="26" t="s">
        <v>208</v>
      </c>
      <c r="G233" s="383" t="s">
        <v>81</v>
      </c>
      <c r="H233" s="27">
        <f>+'Prog 01'!I199</f>
        <v>0</v>
      </c>
      <c r="I233" s="27">
        <f>'Prog 01'!J199</f>
        <v>0</v>
      </c>
      <c r="J233" s="27">
        <f ca="1">'Prog 01'!K199</f>
        <v>0</v>
      </c>
      <c r="K233" s="240" t="str">
        <f t="shared" ca="1" si="55"/>
        <v>0.00%</v>
      </c>
      <c r="L233" s="27">
        <f>'Prog 01'!M199</f>
        <v>0</v>
      </c>
      <c r="M233" s="240">
        <f t="shared" si="59"/>
        <v>0</v>
      </c>
      <c r="N233" s="27">
        <f>+'Prog 01'!O199</f>
        <v>0</v>
      </c>
      <c r="O233" s="240">
        <f t="shared" si="60"/>
        <v>0</v>
      </c>
      <c r="P233" s="27">
        <f>+'Prog 01'!Q199</f>
        <v>43243</v>
      </c>
      <c r="Q233" s="27">
        <f ca="1">+'Prog 01'!R199</f>
        <v>39021.466208000005</v>
      </c>
      <c r="R233" s="240">
        <f t="shared" ca="1" si="58"/>
        <v>0.90237648192771092</v>
      </c>
      <c r="T233" s="858"/>
      <c r="V233" s="859"/>
      <c r="W233" s="109"/>
      <c r="X233" s="109"/>
      <c r="Y233" s="109"/>
      <c r="Z233" s="113"/>
    </row>
    <row r="234" spans="2:26" ht="15" hidden="1" customHeight="1" outlineLevel="1" x14ac:dyDescent="0.2">
      <c r="B234" s="382" t="s">
        <v>2</v>
      </c>
      <c r="C234" s="24" t="s">
        <v>700</v>
      </c>
      <c r="D234" s="25"/>
      <c r="E234" s="26"/>
      <c r="F234" s="26" t="s">
        <v>211</v>
      </c>
      <c r="G234" s="383" t="s">
        <v>80</v>
      </c>
      <c r="H234" s="27">
        <f>+VLOOKUP(F234,matriz01,3,FALSE)</f>
        <v>213085</v>
      </c>
      <c r="I234" s="27">
        <f>'Prog 01'!J202</f>
        <v>201128</v>
      </c>
      <c r="J234" s="27">
        <f ca="1">'Prog 01'!K202</f>
        <v>41587.896000000001</v>
      </c>
      <c r="K234" s="240">
        <f t="shared" ca="1" si="55"/>
        <v>0.2067732787080864</v>
      </c>
      <c r="L234" s="27">
        <f>'Prog 01'!M202</f>
        <v>41968.696000000004</v>
      </c>
      <c r="M234" s="240">
        <f t="shared" si="59"/>
        <v>0.20866660037389126</v>
      </c>
      <c r="N234" s="27">
        <f>+'Prog 01'!O202</f>
        <v>159159.304</v>
      </c>
      <c r="O234" s="240">
        <f t="shared" si="60"/>
        <v>0.79133339962610871</v>
      </c>
      <c r="P234" s="27">
        <f>+'Prog 01'!Q202</f>
        <v>230641.49000000002</v>
      </c>
      <c r="Q234" s="27">
        <f ca="1">+'Prog 01'!R202</f>
        <v>44270.324472000008</v>
      </c>
      <c r="R234" s="240">
        <f t="shared" ca="1" si="58"/>
        <v>0.19194432221193161</v>
      </c>
      <c r="T234" s="858"/>
      <c r="V234" s="859"/>
      <c r="W234" s="109"/>
      <c r="X234" s="109"/>
      <c r="Y234" s="109"/>
      <c r="Z234" s="113"/>
    </row>
    <row r="235" spans="2:26" ht="15" hidden="1" customHeight="1" outlineLevel="1" x14ac:dyDescent="0.2">
      <c r="B235" s="382">
        <f>+'Prog 03'!B35</f>
        <v>30</v>
      </c>
      <c r="C235" s="24"/>
      <c r="D235" s="25"/>
      <c r="E235" s="26"/>
      <c r="F235" s="26"/>
      <c r="G235" s="383" t="str">
        <f>+'Prog 03'!G35</f>
        <v xml:space="preserve">ADQUISICIÓN DE ACTIVOS FINANCIEROS </v>
      </c>
      <c r="H235" s="27">
        <f>+'Prog 03'!H35</f>
        <v>0</v>
      </c>
      <c r="I235" s="27">
        <f>+'Prog 03'!I35</f>
        <v>0</v>
      </c>
      <c r="J235" s="27">
        <f ca="1">+'Prog 03'!J35</f>
        <v>0</v>
      </c>
      <c r="K235" s="240" t="str">
        <f ca="1">IFERROR(J235/I235,"0.00%")</f>
        <v>0.00%</v>
      </c>
      <c r="L235" s="27">
        <f>+'Prog 03'!L35</f>
        <v>0</v>
      </c>
      <c r="M235" s="240">
        <f>+IFERROR(L235/I235,0)</f>
        <v>0</v>
      </c>
      <c r="N235" s="27">
        <f>+'Prog 03'!N35</f>
        <v>0</v>
      </c>
      <c r="O235" s="240">
        <f>+IFERROR(N235/I235,0)</f>
        <v>0</v>
      </c>
      <c r="P235" s="27">
        <f>+'Prog 03'!P36</f>
        <v>0</v>
      </c>
      <c r="Q235" s="27">
        <f>+'Prog 03'!Q36</f>
        <v>0</v>
      </c>
      <c r="R235" s="240" t="str">
        <f>IFERROR(Q235/P235,"0.00%")</f>
        <v>0.00%</v>
      </c>
      <c r="T235" s="858"/>
      <c r="V235" s="859"/>
      <c r="W235" s="109"/>
      <c r="X235" s="109"/>
      <c r="Y235" s="109"/>
      <c r="Z235" s="113"/>
    </row>
    <row r="236" spans="2:26" ht="15.75" customHeight="1" collapsed="1" x14ac:dyDescent="0.2">
      <c r="B236" s="382">
        <v>32</v>
      </c>
      <c r="C236" s="24" t="s">
        <v>2</v>
      </c>
      <c r="D236" s="25"/>
      <c r="E236" s="26"/>
      <c r="F236" s="26"/>
      <c r="G236" s="383" t="s">
        <v>146</v>
      </c>
      <c r="H236" s="27">
        <f>+H237</f>
        <v>8610052</v>
      </c>
      <c r="I236" s="28">
        <f>+I237</f>
        <v>8610052</v>
      </c>
      <c r="J236" s="28">
        <f ca="1">+J237</f>
        <v>2121979.6460000002</v>
      </c>
      <c r="K236" s="240">
        <f ca="1">IFERROR(J236/I236,"0.00%")</f>
        <v>0.24645375498312905</v>
      </c>
      <c r="L236" s="27">
        <f>+L237</f>
        <v>2121979.6460000002</v>
      </c>
      <c r="M236" s="240">
        <f>+IFERROR(L236/I236,0)</f>
        <v>0.24645375498312905</v>
      </c>
      <c r="N236" s="27">
        <f>+N237</f>
        <v>6488072.3540000003</v>
      </c>
      <c r="O236" s="240">
        <f>+IFERROR(N236/I236,0)</f>
        <v>0.75354624501687106</v>
      </c>
      <c r="P236" s="27">
        <f>+P237</f>
        <v>7888444.3280000007</v>
      </c>
      <c r="Q236" s="27">
        <f>+Q237</f>
        <v>4254173.1134500001</v>
      </c>
      <c r="R236" s="240">
        <f>IFERROR(Q236/P236,"0.00%")</f>
        <v>0.53929177117341498</v>
      </c>
      <c r="T236" s="858"/>
      <c r="V236" s="859"/>
      <c r="W236" s="109"/>
      <c r="X236" s="109"/>
      <c r="Y236" s="109"/>
      <c r="Z236" s="113"/>
    </row>
    <row r="237" spans="2:26" ht="15" hidden="1" customHeight="1" outlineLevel="1" x14ac:dyDescent="0.2">
      <c r="B237" s="382" t="s">
        <v>2</v>
      </c>
      <c r="C237" s="24">
        <v>4</v>
      </c>
      <c r="D237" s="25"/>
      <c r="E237" s="26"/>
      <c r="F237" s="26" t="s">
        <v>219</v>
      </c>
      <c r="G237" s="384" t="s">
        <v>143</v>
      </c>
      <c r="H237" s="27">
        <f>+'Prog 03'!H38</f>
        <v>8610052</v>
      </c>
      <c r="I237" s="27">
        <f>+'Prog 03'!I38</f>
        <v>8610052</v>
      </c>
      <c r="J237" s="27">
        <f ca="1">+'Prog 03'!J38</f>
        <v>2121979.6460000002</v>
      </c>
      <c r="K237" s="240">
        <f t="shared" ca="1" si="55"/>
        <v>0.24645375498312905</v>
      </c>
      <c r="L237" s="27">
        <f>'Prog 03'!L38</f>
        <v>2121979.6460000002</v>
      </c>
      <c r="M237" s="240">
        <f t="shared" si="59"/>
        <v>0.24645375498312905</v>
      </c>
      <c r="N237" s="27">
        <f>+'Prog 03'!N38</f>
        <v>6488072.3540000003</v>
      </c>
      <c r="O237" s="240">
        <f t="shared" si="60"/>
        <v>0.75354624501687106</v>
      </c>
      <c r="P237" s="27">
        <f>+P238+P239+P240</f>
        <v>7888444.3280000007</v>
      </c>
      <c r="Q237" s="27">
        <f>+Q238+Q239+Q240</f>
        <v>4254173.1134500001</v>
      </c>
      <c r="R237" s="240">
        <f t="shared" si="58"/>
        <v>0.53929177117341498</v>
      </c>
      <c r="T237" s="858"/>
      <c r="V237" s="859"/>
      <c r="W237" s="109"/>
      <c r="X237" s="109"/>
      <c r="Y237" s="109"/>
      <c r="Z237" s="113"/>
    </row>
    <row r="238" spans="2:26" ht="15" hidden="1" customHeight="1" outlineLevel="1" x14ac:dyDescent="0.2">
      <c r="B238" s="382"/>
      <c r="C238" s="24"/>
      <c r="D238" s="25"/>
      <c r="E238" s="26"/>
      <c r="F238" s="26"/>
      <c r="G238" s="384" t="s">
        <v>140</v>
      </c>
      <c r="H238" s="27">
        <f>+'Prog 03'!H38</f>
        <v>8610052</v>
      </c>
      <c r="I238" s="27">
        <f>+'Prog 03'!I38</f>
        <v>8610052</v>
      </c>
      <c r="J238" s="27">
        <f ca="1">+'Prog 03'!J38</f>
        <v>2121979.6460000002</v>
      </c>
      <c r="K238" s="240">
        <f t="shared" ca="1" si="55"/>
        <v>0.24645375498312905</v>
      </c>
      <c r="L238" s="27"/>
      <c r="M238" s="240">
        <f t="shared" si="59"/>
        <v>0</v>
      </c>
      <c r="N238" s="27">
        <f>+'Prog 03'!N38</f>
        <v>6488072.3540000003</v>
      </c>
      <c r="O238" s="240">
        <f t="shared" si="60"/>
        <v>0.75354624501687106</v>
      </c>
      <c r="P238" s="27">
        <f>+'Prog 03'!P38</f>
        <v>7888444.3280000007</v>
      </c>
      <c r="Q238" s="27">
        <f>+'Prog 03'!Q38</f>
        <v>4254173.1134500001</v>
      </c>
      <c r="R238" s="240">
        <f t="shared" si="58"/>
        <v>0.53929177117341498</v>
      </c>
      <c r="T238" s="858"/>
      <c r="V238" s="859"/>
      <c r="W238" s="109"/>
      <c r="X238" s="109"/>
      <c r="Y238" s="109"/>
      <c r="Z238" s="113"/>
    </row>
    <row r="239" spans="2:26" ht="15" hidden="1" customHeight="1" outlineLevel="1" x14ac:dyDescent="0.2">
      <c r="B239" s="382"/>
      <c r="C239" s="24"/>
      <c r="D239" s="25"/>
      <c r="E239" s="26"/>
      <c r="F239" s="26" t="s">
        <v>707</v>
      </c>
      <c r="G239" s="384" t="s">
        <v>608</v>
      </c>
      <c r="H239" s="27">
        <v>0</v>
      </c>
      <c r="I239" s="27">
        <v>0</v>
      </c>
      <c r="J239" s="27">
        <v>0</v>
      </c>
      <c r="K239" s="240" t="str">
        <f t="shared" si="55"/>
        <v>0.00%</v>
      </c>
      <c r="L239" s="27">
        <v>0</v>
      </c>
      <c r="M239" s="240">
        <f t="shared" si="59"/>
        <v>0</v>
      </c>
      <c r="N239" s="27">
        <v>0</v>
      </c>
      <c r="O239" s="240">
        <f t="shared" si="60"/>
        <v>0</v>
      </c>
      <c r="P239" s="27">
        <f>+'Prog 03'!P39</f>
        <v>0</v>
      </c>
      <c r="Q239" s="27">
        <f>'Prog 03'!Q39</f>
        <v>0</v>
      </c>
      <c r="R239" s="240" t="str">
        <f t="shared" si="58"/>
        <v>0.00%</v>
      </c>
      <c r="T239" s="858"/>
      <c r="V239" s="859"/>
      <c r="W239" s="109"/>
      <c r="X239" s="109"/>
      <c r="Y239" s="109"/>
      <c r="Z239" s="113"/>
    </row>
    <row r="240" spans="2:26" ht="15" hidden="1" customHeight="1" outlineLevel="1" x14ac:dyDescent="0.2">
      <c r="B240" s="382"/>
      <c r="C240" s="24"/>
      <c r="D240" s="25"/>
      <c r="E240" s="26"/>
      <c r="F240" s="26" t="s">
        <v>735</v>
      </c>
      <c r="G240" s="384" t="s">
        <v>628</v>
      </c>
      <c r="H240" s="27">
        <v>0</v>
      </c>
      <c r="I240" s="27">
        <v>0</v>
      </c>
      <c r="J240" s="27">
        <v>0</v>
      </c>
      <c r="K240" s="240" t="str">
        <f t="shared" si="55"/>
        <v>0.00%</v>
      </c>
      <c r="L240" s="27">
        <v>0</v>
      </c>
      <c r="M240" s="240">
        <f t="shared" si="59"/>
        <v>0</v>
      </c>
      <c r="N240" s="27">
        <v>0</v>
      </c>
      <c r="O240" s="240">
        <f t="shared" si="60"/>
        <v>0</v>
      </c>
      <c r="P240" s="27">
        <v>0</v>
      </c>
      <c r="Q240" s="27">
        <v>0</v>
      </c>
      <c r="R240" s="240" t="str">
        <f t="shared" si="58"/>
        <v>0.00%</v>
      </c>
      <c r="T240" s="858"/>
      <c r="V240" s="859"/>
      <c r="W240" s="109"/>
      <c r="X240" s="109"/>
      <c r="Y240" s="109"/>
      <c r="Z240" s="113"/>
    </row>
    <row r="241" spans="2:26" ht="15" customHeight="1" collapsed="1" x14ac:dyDescent="0.2">
      <c r="B241" s="454">
        <v>33</v>
      </c>
      <c r="C241" s="69" t="s">
        <v>2</v>
      </c>
      <c r="D241" s="459"/>
      <c r="E241" s="455"/>
      <c r="F241" s="455"/>
      <c r="G241" s="463" t="s">
        <v>147</v>
      </c>
      <c r="H241" s="22">
        <f>+H242+H267</f>
        <v>296545699</v>
      </c>
      <c r="I241" s="22">
        <f>+I242+I267</f>
        <v>257467701</v>
      </c>
      <c r="J241" s="22">
        <f ca="1">+J242+J267</f>
        <v>92402809.92400001</v>
      </c>
      <c r="K241" s="461">
        <f ca="1">IFERROR(J241/I241,"0.00%")</f>
        <v>0.35889088054582818</v>
      </c>
      <c r="L241" s="22">
        <f>+L242+L267</f>
        <v>97667713.153999999</v>
      </c>
      <c r="M241" s="461">
        <f>+IFERROR(L241/I241,0)</f>
        <v>0.37933967163516175</v>
      </c>
      <c r="N241" s="22">
        <f>+N242+N267</f>
        <v>159799987.84600002</v>
      </c>
      <c r="O241" s="461">
        <f>+IFERROR(N241/I241,0)</f>
        <v>0.62066032836483831</v>
      </c>
      <c r="P241" s="22">
        <f>+P242+P267</f>
        <v>292655401.02000004</v>
      </c>
      <c r="Q241" s="27">
        <f ca="1">+Q242+Q267</f>
        <v>119103184.19126001</v>
      </c>
      <c r="R241" s="240">
        <f ca="1">IFERROR(Q241/P241,"0.00%")</f>
        <v>0.40697415382100027</v>
      </c>
      <c r="T241" s="858"/>
      <c r="V241" s="859"/>
      <c r="W241" s="109"/>
      <c r="X241" s="109"/>
      <c r="Y241" s="109"/>
      <c r="Z241" s="113"/>
    </row>
    <row r="242" spans="2:26" ht="14.25" hidden="1" customHeight="1" outlineLevel="1" x14ac:dyDescent="0.2">
      <c r="B242" s="382"/>
      <c r="C242" s="24" t="s">
        <v>160</v>
      </c>
      <c r="D242" s="25"/>
      <c r="E242" s="26"/>
      <c r="F242" s="26"/>
      <c r="G242" s="383" t="s">
        <v>86</v>
      </c>
      <c r="H242" s="27">
        <f>SUM(H243:H266)</f>
        <v>0</v>
      </c>
      <c r="I242" s="27">
        <f>SUM(I243:I266)</f>
        <v>21495662</v>
      </c>
      <c r="J242" s="27">
        <f ca="1">SUM(J243:J266)</f>
        <v>0</v>
      </c>
      <c r="K242" s="240">
        <f t="shared" ca="1" si="55"/>
        <v>0</v>
      </c>
      <c r="L242" s="27">
        <f>SUM(L243:L266)</f>
        <v>0</v>
      </c>
      <c r="M242" s="240">
        <f t="shared" si="59"/>
        <v>0</v>
      </c>
      <c r="N242" s="27">
        <f>SUM(N243:N266)</f>
        <v>21495662</v>
      </c>
      <c r="O242" s="240">
        <f t="shared" si="60"/>
        <v>1</v>
      </c>
      <c r="P242" s="27">
        <f>SUM(P243:P266)</f>
        <v>0</v>
      </c>
      <c r="Q242" s="27">
        <f ca="1">SUM(Q243:Q266)</f>
        <v>0</v>
      </c>
      <c r="R242" s="240" t="str">
        <f t="shared" ca="1" si="58"/>
        <v>0.00%</v>
      </c>
      <c r="T242" s="858"/>
      <c r="V242" s="859"/>
      <c r="W242" s="109"/>
      <c r="X242" s="109"/>
      <c r="Y242" s="109"/>
      <c r="Z242" s="113"/>
    </row>
    <row r="243" spans="2:26" ht="15" hidden="1" customHeight="1" outlineLevel="2" x14ac:dyDescent="0.2">
      <c r="B243" s="382"/>
      <c r="C243" s="24"/>
      <c r="D243" s="32" t="s">
        <v>165</v>
      </c>
      <c r="E243" s="401"/>
      <c r="F243" s="26" t="str">
        <f>+CONCATENATE($B$241,"",$C$242,"",D243,"",E243)</f>
        <v>33.02.001</v>
      </c>
      <c r="G243" s="384" t="s">
        <v>717</v>
      </c>
      <c r="H243" s="27">
        <f>+'Prog 05'!H36</f>
        <v>0</v>
      </c>
      <c r="I243" s="27">
        <f>+'Prog 05'!I36</f>
        <v>0</v>
      </c>
      <c r="J243" s="27">
        <f ca="1">+'Prog 05'!J36</f>
        <v>0</v>
      </c>
      <c r="K243" s="240" t="str">
        <f t="shared" ca="1" si="55"/>
        <v>0.00%</v>
      </c>
      <c r="L243" s="27">
        <f>+'Prog 05'!L36</f>
        <v>0</v>
      </c>
      <c r="M243" s="240">
        <f t="shared" si="59"/>
        <v>0</v>
      </c>
      <c r="N243" s="27">
        <f>+'Prog 05'!N36</f>
        <v>0</v>
      </c>
      <c r="O243" s="240">
        <f t="shared" si="60"/>
        <v>0</v>
      </c>
      <c r="P243" s="27">
        <f>+'Prog 05'!P36</f>
        <v>0</v>
      </c>
      <c r="Q243" s="27">
        <f>+'Prog 05'!Q36</f>
        <v>0</v>
      </c>
      <c r="R243" s="240" t="str">
        <f t="shared" si="58"/>
        <v>0.00%</v>
      </c>
      <c r="T243" s="858"/>
      <c r="V243" s="859"/>
      <c r="W243" s="109"/>
      <c r="X243" s="109"/>
      <c r="Y243" s="109"/>
      <c r="Z243" s="113"/>
    </row>
    <row r="244" spans="2:26" ht="15" hidden="1" customHeight="1" outlineLevel="2" x14ac:dyDescent="0.2">
      <c r="B244" s="382"/>
      <c r="C244" s="24"/>
      <c r="D244" s="32" t="s">
        <v>161</v>
      </c>
      <c r="E244" s="401"/>
      <c r="F244" s="26" t="str">
        <f t="shared" ref="F244:F266" si="62">+CONCATENATE($B$241,"",$C$242,"",D244,"",E244)</f>
        <v>33.02.002</v>
      </c>
      <c r="G244" s="384" t="s">
        <v>718</v>
      </c>
      <c r="H244" s="27">
        <f>+'Prog 05'!H37</f>
        <v>0</v>
      </c>
      <c r="I244" s="27">
        <f>+'Prog 05'!I37</f>
        <v>0</v>
      </c>
      <c r="J244" s="27">
        <f ca="1">+'Prog 05'!J37</f>
        <v>0</v>
      </c>
      <c r="K244" s="240" t="str">
        <f t="shared" ca="1" si="55"/>
        <v>0.00%</v>
      </c>
      <c r="L244" s="27">
        <f>+'Prog 05'!L37</f>
        <v>0</v>
      </c>
      <c r="M244" s="240">
        <f t="shared" si="59"/>
        <v>0</v>
      </c>
      <c r="N244" s="27">
        <f>+'Prog 05'!N37</f>
        <v>0</v>
      </c>
      <c r="O244" s="240">
        <f t="shared" si="60"/>
        <v>0</v>
      </c>
      <c r="P244" s="27">
        <f>+'Prog 05'!P37</f>
        <v>0</v>
      </c>
      <c r="Q244" s="27">
        <f ca="1">+'Prog 05'!Q37</f>
        <v>0</v>
      </c>
      <c r="R244" s="240" t="str">
        <f t="shared" ca="1" si="58"/>
        <v>0.00%</v>
      </c>
      <c r="T244" s="858"/>
      <c r="V244" s="859"/>
      <c r="W244" s="109"/>
      <c r="X244" s="109"/>
      <c r="Y244" s="109"/>
      <c r="Z244" s="113"/>
    </row>
    <row r="245" spans="2:26" ht="15" hidden="1" customHeight="1" outlineLevel="2" x14ac:dyDescent="0.2">
      <c r="B245" s="382"/>
      <c r="C245" s="24"/>
      <c r="D245" s="32" t="s">
        <v>162</v>
      </c>
      <c r="E245" s="401"/>
      <c r="F245" s="26" t="str">
        <f t="shared" si="62"/>
        <v>33.02.003</v>
      </c>
      <c r="G245" s="384" t="s">
        <v>719</v>
      </c>
      <c r="H245" s="27">
        <f>+'Prog 05'!H38</f>
        <v>0</v>
      </c>
      <c r="I245" s="27">
        <f>+'Prog 05'!I38</f>
        <v>2720606</v>
      </c>
      <c r="J245" s="27">
        <f ca="1">+'Prog 05'!J38</f>
        <v>0</v>
      </c>
      <c r="K245" s="240">
        <f t="shared" ca="1" si="55"/>
        <v>0</v>
      </c>
      <c r="L245" s="27">
        <f>+'Prog 05'!L38</f>
        <v>0</v>
      </c>
      <c r="M245" s="240">
        <f t="shared" si="59"/>
        <v>0</v>
      </c>
      <c r="N245" s="27">
        <f>+'Prog 05'!N38</f>
        <v>2720606</v>
      </c>
      <c r="O245" s="240">
        <f t="shared" si="60"/>
        <v>1</v>
      </c>
      <c r="P245" s="27">
        <f>+'Prog 05'!P38</f>
        <v>0</v>
      </c>
      <c r="Q245" s="27">
        <f ca="1">+'Prog 05'!Q38</f>
        <v>0</v>
      </c>
      <c r="R245" s="240" t="str">
        <f t="shared" ca="1" si="58"/>
        <v>0.00%</v>
      </c>
      <c r="T245" s="858"/>
      <c r="V245" s="859"/>
      <c r="W245" s="109"/>
      <c r="X245" s="109"/>
      <c r="Y245" s="109"/>
      <c r="Z245" s="113"/>
    </row>
    <row r="246" spans="2:26" ht="15" hidden="1" customHeight="1" outlineLevel="2" x14ac:dyDescent="0.2">
      <c r="B246" s="382"/>
      <c r="C246" s="24"/>
      <c r="D246" s="32" t="s">
        <v>175</v>
      </c>
      <c r="E246" s="401"/>
      <c r="F246" s="26" t="str">
        <f t="shared" si="62"/>
        <v>33.02.004</v>
      </c>
      <c r="G246" s="384" t="s">
        <v>720</v>
      </c>
      <c r="H246" s="27">
        <f>+'Prog 05'!H39</f>
        <v>0</v>
      </c>
      <c r="I246" s="27">
        <f>+'Prog 05'!I39</f>
        <v>0</v>
      </c>
      <c r="J246" s="27">
        <f ca="1">+'Prog 05'!J39</f>
        <v>0</v>
      </c>
      <c r="K246" s="240" t="str">
        <f t="shared" ca="1" si="55"/>
        <v>0.00%</v>
      </c>
      <c r="L246" s="27">
        <f>+'Prog 05'!L39</f>
        <v>0</v>
      </c>
      <c r="M246" s="240">
        <f t="shared" si="59"/>
        <v>0</v>
      </c>
      <c r="N246" s="27">
        <f>+'Prog 05'!N39</f>
        <v>0</v>
      </c>
      <c r="O246" s="240">
        <f t="shared" si="60"/>
        <v>0</v>
      </c>
      <c r="P246" s="27">
        <f>+'Prog 05'!P39</f>
        <v>0</v>
      </c>
      <c r="Q246" s="27">
        <f ca="1">+'Prog 05'!Q39</f>
        <v>0</v>
      </c>
      <c r="R246" s="240" t="str">
        <f t="shared" ca="1" si="58"/>
        <v>0.00%</v>
      </c>
      <c r="T246" s="858"/>
      <c r="V246" s="859"/>
      <c r="W246" s="109"/>
      <c r="X246" s="109"/>
      <c r="Y246" s="109"/>
      <c r="Z246" s="113"/>
    </row>
    <row r="247" spans="2:26" ht="15" hidden="1" customHeight="1" outlineLevel="2" x14ac:dyDescent="0.2">
      <c r="B247" s="382"/>
      <c r="C247" s="24"/>
      <c r="D247" s="32" t="s">
        <v>176</v>
      </c>
      <c r="E247" s="401"/>
      <c r="F247" s="26" t="str">
        <f t="shared" si="62"/>
        <v>33.02.005</v>
      </c>
      <c r="G247" s="384" t="s">
        <v>721</v>
      </c>
      <c r="H247" s="27">
        <f>+'Prog 05'!H40</f>
        <v>0</v>
      </c>
      <c r="I247" s="27">
        <f>+'Prog 05'!I40</f>
        <v>1238170</v>
      </c>
      <c r="J247" s="27">
        <f ca="1">+'Prog 05'!J40</f>
        <v>0</v>
      </c>
      <c r="K247" s="240">
        <f t="shared" ca="1" si="55"/>
        <v>0</v>
      </c>
      <c r="L247" s="27">
        <f>+'Prog 05'!L40</f>
        <v>0</v>
      </c>
      <c r="M247" s="240">
        <f t="shared" si="59"/>
        <v>0</v>
      </c>
      <c r="N247" s="27">
        <f>+'Prog 05'!N40</f>
        <v>1238170</v>
      </c>
      <c r="O247" s="240">
        <f t="shared" si="60"/>
        <v>1</v>
      </c>
      <c r="P247" s="27">
        <f>+'Prog 05'!P40</f>
        <v>0</v>
      </c>
      <c r="Q247" s="27">
        <f ca="1">+'Prog 05'!Q40</f>
        <v>0</v>
      </c>
      <c r="R247" s="240" t="str">
        <f t="shared" ca="1" si="58"/>
        <v>0.00%</v>
      </c>
      <c r="T247" s="858"/>
      <c r="V247" s="859"/>
      <c r="W247" s="109"/>
      <c r="X247" s="109"/>
      <c r="Y247" s="109"/>
      <c r="Z247" s="113"/>
    </row>
    <row r="248" spans="2:26" ht="15" hidden="1" customHeight="1" outlineLevel="2" x14ac:dyDescent="0.2">
      <c r="B248" s="382"/>
      <c r="C248" s="24"/>
      <c r="D248" s="32" t="s">
        <v>177</v>
      </c>
      <c r="E248" s="401"/>
      <c r="F248" s="26" t="str">
        <f t="shared" si="62"/>
        <v>33.02.006</v>
      </c>
      <c r="G248" s="384" t="s">
        <v>722</v>
      </c>
      <c r="H248" s="27">
        <v>0</v>
      </c>
      <c r="I248" s="27">
        <f>+'Prog 05'!I41</f>
        <v>0</v>
      </c>
      <c r="J248" s="27">
        <f ca="1">+'Prog 05'!J41</f>
        <v>0</v>
      </c>
      <c r="K248" s="240" t="str">
        <f t="shared" ca="1" si="55"/>
        <v>0.00%</v>
      </c>
      <c r="L248" s="27">
        <f>+'Prog 05'!L41</f>
        <v>0</v>
      </c>
      <c r="M248" s="240">
        <f t="shared" si="59"/>
        <v>0</v>
      </c>
      <c r="N248" s="27">
        <f>+'Prog 05'!N41</f>
        <v>0</v>
      </c>
      <c r="O248" s="240">
        <f t="shared" si="60"/>
        <v>0</v>
      </c>
      <c r="P248" s="27">
        <f>+'Prog 05'!P41</f>
        <v>0</v>
      </c>
      <c r="Q248" s="27">
        <f ca="1">+'Prog 05'!Q41</f>
        <v>0</v>
      </c>
      <c r="R248" s="240" t="str">
        <f t="shared" ca="1" si="58"/>
        <v>0.00%</v>
      </c>
      <c r="T248" s="858"/>
      <c r="V248" s="859"/>
      <c r="W248" s="109"/>
      <c r="X248" s="109"/>
      <c r="Y248" s="109"/>
      <c r="Z248" s="113"/>
    </row>
    <row r="249" spans="2:26" ht="15" hidden="1" customHeight="1" outlineLevel="2" x14ac:dyDescent="0.2">
      <c r="B249" s="382"/>
      <c r="C249" s="24"/>
      <c r="D249" s="32" t="s">
        <v>166</v>
      </c>
      <c r="E249" s="401"/>
      <c r="F249" s="26" t="str">
        <f t="shared" si="62"/>
        <v>33.02.007</v>
      </c>
      <c r="G249" s="384" t="s">
        <v>723</v>
      </c>
      <c r="H249" s="27">
        <f>+'Prog 05'!H42</f>
        <v>0</v>
      </c>
      <c r="I249" s="27">
        <f>+'Prog 05'!I42</f>
        <v>4127232</v>
      </c>
      <c r="J249" s="27">
        <f ca="1">+'Prog 05'!J42</f>
        <v>0</v>
      </c>
      <c r="K249" s="240">
        <f t="shared" ca="1" si="55"/>
        <v>0</v>
      </c>
      <c r="L249" s="27">
        <f>+'Prog 05'!L42</f>
        <v>0</v>
      </c>
      <c r="M249" s="240">
        <f t="shared" si="59"/>
        <v>0</v>
      </c>
      <c r="N249" s="27">
        <f>+'Prog 05'!N42</f>
        <v>4127232</v>
      </c>
      <c r="O249" s="240">
        <f t="shared" si="60"/>
        <v>1</v>
      </c>
      <c r="P249" s="27">
        <f>+'Prog 05'!P42</f>
        <v>0</v>
      </c>
      <c r="Q249" s="27">
        <f ca="1">+'Prog 05'!Q42</f>
        <v>0</v>
      </c>
      <c r="R249" s="240" t="str">
        <f t="shared" ca="1" si="58"/>
        <v>0.00%</v>
      </c>
      <c r="T249" s="858"/>
      <c r="V249" s="859"/>
      <c r="W249" s="109"/>
      <c r="X249" s="109"/>
      <c r="Y249" s="109"/>
      <c r="Z249" s="113"/>
    </row>
    <row r="250" spans="2:26" ht="15" hidden="1" customHeight="1" outlineLevel="2" x14ac:dyDescent="0.2">
      <c r="B250" s="382"/>
      <c r="C250" s="24"/>
      <c r="D250" s="32" t="s">
        <v>167</v>
      </c>
      <c r="E250" s="401"/>
      <c r="F250" s="26" t="str">
        <f t="shared" si="62"/>
        <v>33.02.008</v>
      </c>
      <c r="G250" s="384" t="s">
        <v>724</v>
      </c>
      <c r="H250" s="27">
        <f>+'Prog 05'!H43</f>
        <v>0</v>
      </c>
      <c r="I250" s="27">
        <f>+'Prog 05'!I43</f>
        <v>0</v>
      </c>
      <c r="J250" s="27">
        <f ca="1">+'Prog 05'!J43</f>
        <v>0</v>
      </c>
      <c r="K250" s="240" t="str">
        <f t="shared" ca="1" si="55"/>
        <v>0.00%</v>
      </c>
      <c r="L250" s="27">
        <f>+'Prog 05'!L43</f>
        <v>0</v>
      </c>
      <c r="M250" s="240">
        <f t="shared" si="59"/>
        <v>0</v>
      </c>
      <c r="N250" s="27">
        <f>+'Prog 05'!N43</f>
        <v>0</v>
      </c>
      <c r="O250" s="240">
        <f t="shared" si="60"/>
        <v>0</v>
      </c>
      <c r="P250" s="27">
        <f>+'Prog 05'!P43</f>
        <v>0</v>
      </c>
      <c r="Q250" s="27">
        <f ca="1">+'Prog 05'!Q43</f>
        <v>0</v>
      </c>
      <c r="R250" s="240" t="str">
        <f t="shared" ca="1" si="58"/>
        <v>0.00%</v>
      </c>
      <c r="T250" s="858"/>
      <c r="V250" s="859"/>
      <c r="W250" s="109"/>
      <c r="X250" s="109"/>
      <c r="Y250" s="109"/>
      <c r="Z250" s="113"/>
    </row>
    <row r="251" spans="2:26" ht="15" hidden="1" customHeight="1" outlineLevel="2" x14ac:dyDescent="0.2">
      <c r="B251" s="382"/>
      <c r="C251" s="24"/>
      <c r="D251" s="32" t="s">
        <v>168</v>
      </c>
      <c r="E251" s="401"/>
      <c r="F251" s="26" t="str">
        <f t="shared" si="62"/>
        <v>33.02.009</v>
      </c>
      <c r="G251" s="384" t="s">
        <v>725</v>
      </c>
      <c r="H251" s="27">
        <f>+'Prog 05'!H44</f>
        <v>0</v>
      </c>
      <c r="I251" s="27">
        <f>+'Prog 05'!I44</f>
        <v>0</v>
      </c>
      <c r="J251" s="27">
        <f ca="1">+'Prog 05'!J44</f>
        <v>0</v>
      </c>
      <c r="K251" s="240" t="str">
        <f t="shared" ca="1" si="55"/>
        <v>0.00%</v>
      </c>
      <c r="L251" s="27">
        <v>0</v>
      </c>
      <c r="M251" s="240">
        <f t="shared" si="59"/>
        <v>0</v>
      </c>
      <c r="N251" s="27">
        <f>+'Prog 05'!N44</f>
        <v>0</v>
      </c>
      <c r="O251" s="240">
        <f t="shared" si="60"/>
        <v>0</v>
      </c>
      <c r="P251" s="27">
        <f>+'Prog 05'!P44</f>
        <v>0</v>
      </c>
      <c r="Q251" s="27">
        <f ca="1">+'Prog 05'!Q44</f>
        <v>0</v>
      </c>
      <c r="R251" s="240" t="str">
        <f t="shared" ca="1" si="58"/>
        <v>0.00%</v>
      </c>
      <c r="T251" s="858"/>
      <c r="V251" s="859"/>
      <c r="W251" s="109"/>
      <c r="X251" s="109"/>
      <c r="Y251" s="109"/>
      <c r="Z251" s="113"/>
    </row>
    <row r="252" spans="2:26" ht="15" hidden="1" customHeight="1" outlineLevel="2" x14ac:dyDescent="0.2">
      <c r="B252" s="382"/>
      <c r="C252" s="24"/>
      <c r="D252" s="32" t="s">
        <v>169</v>
      </c>
      <c r="E252" s="401"/>
      <c r="F252" s="26" t="str">
        <f t="shared" si="62"/>
        <v>33.02.010</v>
      </c>
      <c r="G252" s="384" t="s">
        <v>726</v>
      </c>
      <c r="H252" s="27">
        <f>+'Prog 05'!H45</f>
        <v>0</v>
      </c>
      <c r="I252" s="27">
        <f>+'Prog 05'!I45</f>
        <v>147392</v>
      </c>
      <c r="J252" s="27">
        <f ca="1">+'Prog 05'!J45</f>
        <v>0</v>
      </c>
      <c r="K252" s="240">
        <f t="shared" ca="1" si="55"/>
        <v>0</v>
      </c>
      <c r="L252" s="27">
        <f>+'Prog 05'!L45</f>
        <v>0</v>
      </c>
      <c r="M252" s="240">
        <f t="shared" si="59"/>
        <v>0</v>
      </c>
      <c r="N252" s="27">
        <f>+'Prog 05'!N45</f>
        <v>147392</v>
      </c>
      <c r="O252" s="240">
        <f t="shared" si="60"/>
        <v>1</v>
      </c>
      <c r="P252" s="27">
        <f>+'Prog 05'!P45</f>
        <v>0</v>
      </c>
      <c r="Q252" s="27">
        <f ca="1">+'Prog 05'!Q45</f>
        <v>0</v>
      </c>
      <c r="R252" s="240" t="str">
        <f t="shared" ca="1" si="58"/>
        <v>0.00%</v>
      </c>
      <c r="T252" s="858"/>
      <c r="V252" s="859"/>
      <c r="W252" s="109"/>
      <c r="X252" s="109"/>
      <c r="Y252" s="109"/>
      <c r="Z252" s="113"/>
    </row>
    <row r="253" spans="2:26" ht="15" hidden="1" customHeight="1" outlineLevel="2" x14ac:dyDescent="0.2">
      <c r="B253" s="382"/>
      <c r="C253" s="24"/>
      <c r="D253" s="32" t="s">
        <v>170</v>
      </c>
      <c r="E253" s="401"/>
      <c r="F253" s="26" t="str">
        <f t="shared" si="62"/>
        <v>33.02.011</v>
      </c>
      <c r="G253" s="384" t="s">
        <v>727</v>
      </c>
      <c r="H253" s="27">
        <f>+'Prog 05'!H46</f>
        <v>0</v>
      </c>
      <c r="I253" s="27">
        <f>+'Prog 05'!I46</f>
        <v>646829</v>
      </c>
      <c r="J253" s="27">
        <f ca="1">+'Prog 05'!J46</f>
        <v>0</v>
      </c>
      <c r="K253" s="240">
        <f t="shared" ca="1" si="55"/>
        <v>0</v>
      </c>
      <c r="L253" s="27">
        <f>+'Prog 05'!L46</f>
        <v>0</v>
      </c>
      <c r="M253" s="240">
        <f t="shared" si="59"/>
        <v>0</v>
      </c>
      <c r="N253" s="27">
        <f>+'Prog 05'!N46</f>
        <v>646829</v>
      </c>
      <c r="O253" s="240">
        <f t="shared" si="60"/>
        <v>1</v>
      </c>
      <c r="P253" s="27">
        <f>+'Prog 05'!P46</f>
        <v>0</v>
      </c>
      <c r="Q253" s="27">
        <f ca="1">+'Prog 05'!Q46</f>
        <v>0</v>
      </c>
      <c r="R253" s="240" t="str">
        <f t="shared" ca="1" si="58"/>
        <v>0.00%</v>
      </c>
      <c r="T253" s="858"/>
      <c r="V253" s="859"/>
      <c r="W253" s="109"/>
      <c r="X253" s="109"/>
      <c r="Y253" s="109"/>
      <c r="Z253" s="113"/>
    </row>
    <row r="254" spans="2:26" ht="15" hidden="1" customHeight="1" outlineLevel="2" x14ac:dyDescent="0.2">
      <c r="B254" s="382"/>
      <c r="C254" s="24"/>
      <c r="D254" s="32" t="s">
        <v>171</v>
      </c>
      <c r="E254" s="401"/>
      <c r="F254" s="26" t="str">
        <f t="shared" si="62"/>
        <v>33.02.012</v>
      </c>
      <c r="G254" s="384" t="s">
        <v>728</v>
      </c>
      <c r="H254" s="27">
        <f>+'Prog 05'!H47</f>
        <v>0</v>
      </c>
      <c r="I254" s="27">
        <f>+'Prog 05'!I47</f>
        <v>3330424</v>
      </c>
      <c r="J254" s="27">
        <f ca="1">+'Prog 05'!J47</f>
        <v>0</v>
      </c>
      <c r="K254" s="240">
        <f t="shared" ca="1" si="55"/>
        <v>0</v>
      </c>
      <c r="L254" s="27">
        <f>+'Prog 05'!L47</f>
        <v>0</v>
      </c>
      <c r="M254" s="240">
        <f t="shared" si="59"/>
        <v>0</v>
      </c>
      <c r="N254" s="27">
        <f>+'Prog 05'!N47</f>
        <v>3330424</v>
      </c>
      <c r="O254" s="240">
        <f t="shared" si="60"/>
        <v>1</v>
      </c>
      <c r="P254" s="27">
        <f>+'Prog 05'!P47</f>
        <v>0</v>
      </c>
      <c r="Q254" s="27">
        <f ca="1">+'Prog 05'!Q47</f>
        <v>0</v>
      </c>
      <c r="R254" s="240" t="str">
        <f t="shared" ca="1" si="58"/>
        <v>0.00%</v>
      </c>
      <c r="T254" s="858"/>
      <c r="V254" s="859"/>
      <c r="W254" s="109"/>
      <c r="X254" s="109"/>
      <c r="Y254" s="109"/>
      <c r="Z254" s="113"/>
    </row>
    <row r="255" spans="2:26" ht="15" hidden="1" customHeight="1" outlineLevel="2" x14ac:dyDescent="0.2">
      <c r="B255" s="382"/>
      <c r="C255" s="24"/>
      <c r="D255" s="32" t="s">
        <v>172</v>
      </c>
      <c r="E255" s="401"/>
      <c r="F255" s="26" t="str">
        <f t="shared" si="62"/>
        <v>33.02.013</v>
      </c>
      <c r="G255" s="384" t="s">
        <v>88</v>
      </c>
      <c r="H255" s="27">
        <f>+'Prog 05'!H48</f>
        <v>0</v>
      </c>
      <c r="I255" s="27">
        <f>+'Prog 05'!I48</f>
        <v>8323348</v>
      </c>
      <c r="J255" s="27">
        <f ca="1">+'Prog 05'!J48</f>
        <v>0</v>
      </c>
      <c r="K255" s="240">
        <f t="shared" ca="1" si="55"/>
        <v>0</v>
      </c>
      <c r="L255" s="27">
        <f>+'Prog 05'!L48</f>
        <v>0</v>
      </c>
      <c r="M255" s="240">
        <f t="shared" si="59"/>
        <v>0</v>
      </c>
      <c r="N255" s="27">
        <f>+'Prog 05'!N48</f>
        <v>8323348</v>
      </c>
      <c r="O255" s="240">
        <f t="shared" si="60"/>
        <v>1</v>
      </c>
      <c r="P255" s="27">
        <f>+'Prog 05'!P48</f>
        <v>0</v>
      </c>
      <c r="Q255" s="27">
        <f ca="1">+'Prog 05'!Q48</f>
        <v>0</v>
      </c>
      <c r="R255" s="240" t="str">
        <f t="shared" ca="1" si="58"/>
        <v>0.00%</v>
      </c>
      <c r="T255" s="858"/>
      <c r="V255" s="859"/>
      <c r="W255" s="109"/>
      <c r="X255" s="109"/>
      <c r="Y255" s="109"/>
      <c r="Z255" s="113"/>
    </row>
    <row r="256" spans="2:26" ht="15" hidden="1" customHeight="1" outlineLevel="2" x14ac:dyDescent="0.2">
      <c r="B256" s="382"/>
      <c r="C256" s="24"/>
      <c r="D256" s="32" t="s">
        <v>187</v>
      </c>
      <c r="E256" s="401"/>
      <c r="F256" s="26" t="str">
        <f t="shared" si="62"/>
        <v>33.02.014</v>
      </c>
      <c r="G256" s="384" t="s">
        <v>729</v>
      </c>
      <c r="H256" s="27">
        <f>+'Prog 05'!H49</f>
        <v>0</v>
      </c>
      <c r="I256" s="27">
        <f>+'Prog 05'!I49</f>
        <v>0</v>
      </c>
      <c r="J256" s="27">
        <f ca="1">+'Prog 05'!J49</f>
        <v>0</v>
      </c>
      <c r="K256" s="240" t="str">
        <f t="shared" ca="1" si="55"/>
        <v>0.00%</v>
      </c>
      <c r="L256" s="27">
        <f>+'Prog 05'!L49</f>
        <v>0</v>
      </c>
      <c r="M256" s="240">
        <f t="shared" si="59"/>
        <v>0</v>
      </c>
      <c r="N256" s="27">
        <f>+'Prog 05'!N49</f>
        <v>0</v>
      </c>
      <c r="O256" s="240">
        <f t="shared" si="60"/>
        <v>0</v>
      </c>
      <c r="P256" s="27">
        <f>+'Prog 05'!P49</f>
        <v>0</v>
      </c>
      <c r="Q256" s="27">
        <f ca="1">+'Prog 05'!Q49</f>
        <v>0</v>
      </c>
      <c r="R256" s="240" t="str">
        <f t="shared" ca="1" si="58"/>
        <v>0.00%</v>
      </c>
      <c r="T256" s="858"/>
      <c r="V256" s="859"/>
      <c r="W256" s="109"/>
      <c r="X256" s="109"/>
      <c r="Y256" s="109"/>
      <c r="Z256" s="113"/>
    </row>
    <row r="257" spans="2:26" ht="15" hidden="1" customHeight="1" outlineLevel="2" x14ac:dyDescent="0.2">
      <c r="B257" s="382"/>
      <c r="C257" s="24"/>
      <c r="D257" s="32" t="s">
        <v>188</v>
      </c>
      <c r="E257" s="401"/>
      <c r="F257" s="26" t="str">
        <f t="shared" si="62"/>
        <v>33.02.015</v>
      </c>
      <c r="G257" s="384" t="s">
        <v>730</v>
      </c>
      <c r="H257" s="27">
        <f>+'Prog 05'!H50</f>
        <v>0</v>
      </c>
      <c r="I257" s="27">
        <f>+'Prog 05'!I50</f>
        <v>136215</v>
      </c>
      <c r="J257" s="27">
        <f ca="1">+'Prog 05'!J50</f>
        <v>0</v>
      </c>
      <c r="K257" s="240">
        <f t="shared" ca="1" si="55"/>
        <v>0</v>
      </c>
      <c r="L257" s="27">
        <f>+'Prog 05'!L50</f>
        <v>0</v>
      </c>
      <c r="M257" s="240">
        <f t="shared" si="59"/>
        <v>0</v>
      </c>
      <c r="N257" s="27">
        <f>+'Prog 05'!N50</f>
        <v>136215</v>
      </c>
      <c r="O257" s="240">
        <f t="shared" si="60"/>
        <v>1</v>
      </c>
      <c r="P257" s="27">
        <f>+'Prog 05'!P50</f>
        <v>0</v>
      </c>
      <c r="Q257" s="27">
        <f ca="1">+'Prog 05'!Q50</f>
        <v>0</v>
      </c>
      <c r="R257" s="240" t="str">
        <f t="shared" ca="1" si="58"/>
        <v>0.00%</v>
      </c>
      <c r="T257" s="858"/>
      <c r="V257" s="859"/>
      <c r="W257" s="109"/>
      <c r="X257" s="109"/>
      <c r="Y257" s="109"/>
      <c r="Z257" s="113"/>
    </row>
    <row r="258" spans="2:26" ht="15" hidden="1" customHeight="1" outlineLevel="2" x14ac:dyDescent="0.2">
      <c r="B258" s="382"/>
      <c r="C258" s="24"/>
      <c r="D258" s="35" t="s">
        <v>222</v>
      </c>
      <c r="E258" s="401"/>
      <c r="F258" s="26" t="str">
        <f t="shared" si="62"/>
        <v>33.02.016</v>
      </c>
      <c r="G258" s="384" t="s">
        <v>731</v>
      </c>
      <c r="H258" s="27">
        <v>0</v>
      </c>
      <c r="I258" s="27">
        <f>+'Prog 05'!I51</f>
        <v>825446</v>
      </c>
      <c r="J258" s="27">
        <v>0</v>
      </c>
      <c r="K258" s="240">
        <f t="shared" si="55"/>
        <v>0</v>
      </c>
      <c r="L258" s="27">
        <v>0</v>
      </c>
      <c r="M258" s="240">
        <f t="shared" si="59"/>
        <v>0</v>
      </c>
      <c r="N258" s="27">
        <f>+'Prog 05'!N51</f>
        <v>825446</v>
      </c>
      <c r="O258" s="240">
        <f t="shared" si="60"/>
        <v>1</v>
      </c>
      <c r="P258" s="27">
        <f>+'Prog 05'!P51</f>
        <v>0</v>
      </c>
      <c r="Q258" s="27">
        <f ca="1">+'Prog 05'!Q51</f>
        <v>0</v>
      </c>
      <c r="R258" s="240" t="str">
        <f t="shared" ca="1" si="58"/>
        <v>0.00%</v>
      </c>
      <c r="T258" s="858"/>
      <c r="V258" s="859"/>
      <c r="W258" s="109"/>
      <c r="X258" s="109"/>
      <c r="Y258" s="109"/>
      <c r="Z258" s="113"/>
    </row>
    <row r="259" spans="2:26" ht="15" hidden="1" customHeight="1" outlineLevel="2" x14ac:dyDescent="0.2">
      <c r="B259" s="382"/>
      <c r="C259" s="24"/>
      <c r="D259" s="35" t="s">
        <v>189</v>
      </c>
      <c r="E259" s="401"/>
      <c r="F259" s="26" t="str">
        <f t="shared" si="62"/>
        <v>33.02.017</v>
      </c>
      <c r="G259" s="384" t="s">
        <v>732</v>
      </c>
      <c r="H259" s="27">
        <v>0</v>
      </c>
      <c r="I259" s="27">
        <v>0</v>
      </c>
      <c r="J259" s="27">
        <v>0</v>
      </c>
      <c r="K259" s="240" t="str">
        <f t="shared" si="55"/>
        <v>0.00%</v>
      </c>
      <c r="L259" s="27">
        <v>0</v>
      </c>
      <c r="M259" s="240">
        <f t="shared" si="59"/>
        <v>0</v>
      </c>
      <c r="N259" s="27">
        <v>0</v>
      </c>
      <c r="O259" s="240">
        <f t="shared" si="60"/>
        <v>0</v>
      </c>
      <c r="P259" s="27">
        <f>+'Prog 05'!P52</f>
        <v>0</v>
      </c>
      <c r="Q259" s="27">
        <f ca="1">+'Prog 05'!Q52</f>
        <v>0</v>
      </c>
      <c r="R259" s="240" t="str">
        <f t="shared" ca="1" si="58"/>
        <v>0.00%</v>
      </c>
      <c r="T259" s="858"/>
      <c r="V259" s="859"/>
      <c r="W259" s="109"/>
      <c r="X259" s="109"/>
      <c r="Y259" s="109"/>
      <c r="Z259" s="113"/>
    </row>
    <row r="260" spans="2:26" ht="15" hidden="1" customHeight="1" outlineLevel="2" x14ac:dyDescent="0.2">
      <c r="B260" s="382"/>
      <c r="C260" s="24"/>
      <c r="D260" s="35" t="s">
        <v>192</v>
      </c>
      <c r="E260" s="401"/>
      <c r="F260" s="26" t="str">
        <f t="shared" si="62"/>
        <v>33.02.025</v>
      </c>
      <c r="G260" s="384" t="str">
        <f>+'Prog 05'!G53</f>
        <v>Gobiernos Regionales - Programas de Inversión</v>
      </c>
      <c r="H260" s="27">
        <f>+'Prog 05'!H53</f>
        <v>0</v>
      </c>
      <c r="I260" s="27">
        <f>+'Prog 05'!I53</f>
        <v>0</v>
      </c>
      <c r="J260" s="27">
        <f ca="1">+'Prog 05'!J53</f>
        <v>0</v>
      </c>
      <c r="K260" s="240" t="str">
        <f t="shared" ca="1" si="55"/>
        <v>0.00%</v>
      </c>
      <c r="L260" s="27">
        <f>+'Prog 05'!L53</f>
        <v>0</v>
      </c>
      <c r="M260" s="240">
        <f t="shared" si="59"/>
        <v>0</v>
      </c>
      <c r="N260" s="27">
        <f>+I260-L260</f>
        <v>0</v>
      </c>
      <c r="O260" s="240">
        <f t="shared" si="60"/>
        <v>0</v>
      </c>
      <c r="P260" s="27">
        <f>+'Prog 05'!P53</f>
        <v>0</v>
      </c>
      <c r="Q260" s="27">
        <f>+'Prog 05'!Q53</f>
        <v>0</v>
      </c>
      <c r="R260" s="240" t="str">
        <f t="shared" si="58"/>
        <v>0.00%</v>
      </c>
      <c r="T260" s="858"/>
      <c r="V260" s="859"/>
      <c r="W260" s="109"/>
      <c r="X260" s="109"/>
      <c r="Y260" s="109"/>
      <c r="Z260" s="113"/>
    </row>
    <row r="261" spans="2:26" ht="15" hidden="1" customHeight="1" outlineLevel="2" x14ac:dyDescent="0.2">
      <c r="B261" s="382"/>
      <c r="C261" s="24"/>
      <c r="D261" s="35" t="s">
        <v>759</v>
      </c>
      <c r="E261" s="401"/>
      <c r="F261" s="26" t="str">
        <f t="shared" si="62"/>
        <v>33.02.018</v>
      </c>
      <c r="G261" s="384" t="s">
        <v>479</v>
      </c>
      <c r="H261" s="27">
        <v>0</v>
      </c>
      <c r="I261" s="27">
        <f>+'Prog 03'!I42</f>
        <v>0</v>
      </c>
      <c r="J261" s="27">
        <f ca="1">+'Prog 03'!J42</f>
        <v>0</v>
      </c>
      <c r="K261" s="240" t="str">
        <f t="shared" ref="K261:K312" ca="1" si="63">IFERROR(J261/I261,"0.00%")</f>
        <v>0.00%</v>
      </c>
      <c r="L261" s="27">
        <f>+'Prog 03'!L42</f>
        <v>0</v>
      </c>
      <c r="M261" s="240">
        <f t="shared" si="59"/>
        <v>0</v>
      </c>
      <c r="N261" s="27">
        <f>+'Prog 03'!N42</f>
        <v>0</v>
      </c>
      <c r="O261" s="240">
        <f t="shared" si="60"/>
        <v>0</v>
      </c>
      <c r="P261" s="27">
        <f>+'Prog 03'!P42</f>
        <v>0</v>
      </c>
      <c r="Q261" s="27">
        <f>+'Prog 03'!Q42</f>
        <v>0</v>
      </c>
      <c r="R261" s="240" t="str">
        <f t="shared" si="58"/>
        <v>0.00%</v>
      </c>
      <c r="T261" s="858"/>
      <c r="V261" s="859"/>
      <c r="W261" s="109"/>
      <c r="X261" s="109"/>
      <c r="Y261" s="109"/>
      <c r="Z261" s="113"/>
    </row>
    <row r="262" spans="2:26" ht="15" hidden="1" customHeight="1" outlineLevel="2" x14ac:dyDescent="0.2">
      <c r="B262" s="382"/>
      <c r="C262" s="24"/>
      <c r="D262" s="35" t="s">
        <v>816</v>
      </c>
      <c r="E262" s="401"/>
      <c r="F262" s="26" t="str">
        <f t="shared" si="62"/>
        <v>33.02.100</v>
      </c>
      <c r="G262" s="384" t="s">
        <v>877</v>
      </c>
      <c r="H262" s="27">
        <f>+'Prog 01'!I207</f>
        <v>0</v>
      </c>
      <c r="I262" s="27">
        <f>'Prog 01'!J207</f>
        <v>0</v>
      </c>
      <c r="J262" s="27">
        <f ca="1">'Prog 01'!K207</f>
        <v>0</v>
      </c>
      <c r="K262" s="240" t="str">
        <f t="shared" ca="1" si="63"/>
        <v>0.00%</v>
      </c>
      <c r="L262" s="27">
        <f>'Prog 01'!M207</f>
        <v>0</v>
      </c>
      <c r="M262" s="240">
        <f t="shared" si="59"/>
        <v>0</v>
      </c>
      <c r="N262" s="27">
        <f>+I262-L262</f>
        <v>0</v>
      </c>
      <c r="O262" s="240">
        <f t="shared" si="60"/>
        <v>0</v>
      </c>
      <c r="P262" s="27">
        <v>0</v>
      </c>
      <c r="Q262" s="27">
        <v>0</v>
      </c>
      <c r="R262" s="240" t="str">
        <f t="shared" si="58"/>
        <v>0.00%</v>
      </c>
      <c r="T262" s="858"/>
      <c r="V262" s="859"/>
      <c r="W262" s="109"/>
      <c r="X262" s="109"/>
      <c r="Y262" s="109"/>
      <c r="Z262" s="113"/>
    </row>
    <row r="263" spans="2:26" ht="15" hidden="1" customHeight="1" outlineLevel="2" x14ac:dyDescent="0.2">
      <c r="B263" s="382"/>
      <c r="C263" s="24"/>
      <c r="D263" s="32" t="s">
        <v>682</v>
      </c>
      <c r="E263" s="401"/>
      <c r="F263" s="26" t="str">
        <f t="shared" si="62"/>
        <v>33.02.107</v>
      </c>
      <c r="G263" s="384" t="s">
        <v>626</v>
      </c>
      <c r="H263" s="27">
        <v>0</v>
      </c>
      <c r="I263" s="27">
        <v>0</v>
      </c>
      <c r="J263" s="27">
        <v>0</v>
      </c>
      <c r="K263" s="240" t="str">
        <f t="shared" si="63"/>
        <v>0.00%</v>
      </c>
      <c r="L263" s="27">
        <v>0</v>
      </c>
      <c r="M263" s="240">
        <f t="shared" si="59"/>
        <v>0</v>
      </c>
      <c r="N263" s="27">
        <v>0</v>
      </c>
      <c r="O263" s="240">
        <f t="shared" si="60"/>
        <v>0</v>
      </c>
      <c r="P263" s="27">
        <f>+'Prog 05'!P54</f>
        <v>0</v>
      </c>
      <c r="Q263" s="27">
        <f ca="1">+'Prog 05'!Q54</f>
        <v>0</v>
      </c>
      <c r="R263" s="240" t="str">
        <f t="shared" ca="1" si="58"/>
        <v>0.00%</v>
      </c>
      <c r="T263" s="858"/>
      <c r="V263" s="859"/>
      <c r="W263" s="109"/>
      <c r="X263" s="109"/>
      <c r="Y263" s="109"/>
      <c r="Z263" s="113"/>
    </row>
    <row r="264" spans="2:26" ht="15" hidden="1" customHeight="1" outlineLevel="2" x14ac:dyDescent="0.2">
      <c r="B264" s="382"/>
      <c r="C264" s="24"/>
      <c r="D264" s="32" t="s">
        <v>683</v>
      </c>
      <c r="E264" s="401"/>
      <c r="F264" s="26" t="str">
        <f t="shared" si="62"/>
        <v>33.02.914</v>
      </c>
      <c r="G264" s="384" t="s">
        <v>506</v>
      </c>
      <c r="H264" s="27">
        <v>0</v>
      </c>
      <c r="I264" s="27">
        <v>0</v>
      </c>
      <c r="J264" s="27">
        <v>0</v>
      </c>
      <c r="K264" s="240" t="str">
        <f t="shared" si="63"/>
        <v>0.00%</v>
      </c>
      <c r="L264" s="27">
        <v>0</v>
      </c>
      <c r="M264" s="240">
        <f t="shared" si="59"/>
        <v>0</v>
      </c>
      <c r="N264" s="27">
        <v>0</v>
      </c>
      <c r="O264" s="240">
        <f t="shared" si="60"/>
        <v>0</v>
      </c>
      <c r="P264" s="27">
        <f>+'Prog 05'!P55</f>
        <v>0</v>
      </c>
      <c r="Q264" s="27">
        <f ca="1">+'Prog 05'!Q55</f>
        <v>0</v>
      </c>
      <c r="R264" s="240" t="str">
        <f t="shared" ca="1" si="58"/>
        <v>0.00%</v>
      </c>
      <c r="T264" s="858"/>
      <c r="V264" s="859"/>
      <c r="W264" s="109"/>
      <c r="X264" s="109"/>
      <c r="Y264" s="109"/>
      <c r="Z264" s="113"/>
    </row>
    <row r="265" spans="2:26" ht="15" hidden="1" customHeight="1" outlineLevel="2" x14ac:dyDescent="0.2">
      <c r="B265" s="382"/>
      <c r="C265" s="24"/>
      <c r="D265" s="32" t="s">
        <v>684</v>
      </c>
      <c r="E265" s="401"/>
      <c r="F265" s="26" t="str">
        <f t="shared" si="62"/>
        <v>33.02.916</v>
      </c>
      <c r="G265" s="384" t="s">
        <v>305</v>
      </c>
      <c r="H265" s="27">
        <v>0</v>
      </c>
      <c r="I265" s="27">
        <v>0</v>
      </c>
      <c r="J265" s="27">
        <v>0</v>
      </c>
      <c r="K265" s="240" t="str">
        <f t="shared" si="63"/>
        <v>0.00%</v>
      </c>
      <c r="L265" s="27">
        <v>0</v>
      </c>
      <c r="M265" s="240">
        <f t="shared" si="59"/>
        <v>0</v>
      </c>
      <c r="N265" s="27">
        <v>0</v>
      </c>
      <c r="O265" s="240">
        <f t="shared" si="60"/>
        <v>0</v>
      </c>
      <c r="P265" s="27">
        <f>+'Prog 05'!P56</f>
        <v>0</v>
      </c>
      <c r="Q265" s="27">
        <f ca="1">+'Prog 05'!Q56</f>
        <v>0</v>
      </c>
      <c r="R265" s="240" t="str">
        <f t="shared" ca="1" si="58"/>
        <v>0.00%</v>
      </c>
      <c r="T265" s="858"/>
      <c r="V265" s="859"/>
      <c r="W265" s="109"/>
      <c r="X265" s="109"/>
      <c r="Y265" s="109"/>
      <c r="Z265" s="113"/>
    </row>
    <row r="266" spans="2:26" ht="15" hidden="1" customHeight="1" outlineLevel="2" x14ac:dyDescent="0.2">
      <c r="B266" s="382"/>
      <c r="C266" s="24"/>
      <c r="D266" s="35" t="s">
        <v>627</v>
      </c>
      <c r="E266" s="401"/>
      <c r="F266" s="26" t="str">
        <f t="shared" si="62"/>
        <v>33.02.020</v>
      </c>
      <c r="G266" s="384" t="s">
        <v>695</v>
      </c>
      <c r="H266" s="27">
        <v>0</v>
      </c>
      <c r="I266" s="27">
        <f>'Prog 05'!I57</f>
        <v>0</v>
      </c>
      <c r="J266" s="27">
        <f ca="1">+'Prog 05'!J57</f>
        <v>0</v>
      </c>
      <c r="K266" s="240" t="str">
        <f t="shared" ca="1" si="63"/>
        <v>0.00%</v>
      </c>
      <c r="L266" s="27">
        <f>+'Prog 05'!L57</f>
        <v>0</v>
      </c>
      <c r="M266" s="240">
        <f t="shared" si="59"/>
        <v>0</v>
      </c>
      <c r="N266" s="27">
        <f>+'Prog 05'!N57</f>
        <v>0</v>
      </c>
      <c r="O266" s="240">
        <f t="shared" si="60"/>
        <v>0</v>
      </c>
      <c r="P266" s="27">
        <f>+'Prog 03'!P43+'Prog 05'!P57</f>
        <v>0</v>
      </c>
      <c r="Q266" s="27">
        <f ca="1">+'Prog 05'!Q57</f>
        <v>0</v>
      </c>
      <c r="R266" s="240" t="str">
        <f t="shared" ca="1" si="58"/>
        <v>0.00%</v>
      </c>
      <c r="T266" s="858"/>
      <c r="V266" s="859"/>
      <c r="W266" s="109"/>
      <c r="X266" s="109"/>
      <c r="Y266" s="109"/>
      <c r="Z266" s="113"/>
    </row>
    <row r="267" spans="2:26" s="46" customFormat="1" ht="15" hidden="1" customHeight="1" outlineLevel="1" x14ac:dyDescent="0.2">
      <c r="B267" s="382"/>
      <c r="C267" s="30" t="s">
        <v>163</v>
      </c>
      <c r="D267" s="25"/>
      <c r="E267" s="26"/>
      <c r="F267" s="26"/>
      <c r="G267" s="383" t="s">
        <v>87</v>
      </c>
      <c r="H267" s="138">
        <f>+H268+H269+H274+H281+H282+H283+H284+H285+H286+H287+H288+H290+H291+H292+H293+H294+H295+H296+H297+H298+H299+H300+H301+H289</f>
        <v>296545699</v>
      </c>
      <c r="I267" s="138">
        <f>+I268+I269+I274+I281+I282+I283+I284+I285+I286+I287+I288+I290+I291+I292+I293+I294+I295+I296+I297+I298+I299+I300+I301+I289</f>
        <v>235972039</v>
      </c>
      <c r="J267" s="27">
        <f ca="1">+J268+J269+J274+J281+J282+J283+J284+J285+J286+J287+J288+J290+J291+J292+J293+J294+J295+J296+J297+J298+J299+J300+J301+J289</f>
        <v>92402809.92400001</v>
      </c>
      <c r="K267" s="240">
        <f t="shared" ca="1" si="63"/>
        <v>0.3915837245615359</v>
      </c>
      <c r="L267" s="27">
        <f>+L268+L269+L274+L281+L282+L283+L284+L285+L286+L287+L288+L290+L291+L292+L293+L294+L295+L296+L297+L298+L299+L300+L301+L289</f>
        <v>97667713.153999999</v>
      </c>
      <c r="M267" s="240">
        <f t="shared" si="59"/>
        <v>0.41389527999967829</v>
      </c>
      <c r="N267" s="27">
        <f>+N268+N269+N274+N281+N282+N283+N284+N285+N286+N287+N288+N290+N291+N292+N293+N294+N295+N296+N297+N298+N299+N300+N301+N289</f>
        <v>138304325.84600002</v>
      </c>
      <c r="O267" s="240">
        <f t="shared" si="60"/>
        <v>0.58610472000032177</v>
      </c>
      <c r="P267" s="27">
        <f>SUM(P281:P301)+P268+P269+P274</f>
        <v>292655401.02000004</v>
      </c>
      <c r="Q267" s="27">
        <f ca="1">SUM(Q281:Q301)+Q268+Q269+Q274</f>
        <v>119103184.19126001</v>
      </c>
      <c r="R267" s="240">
        <f t="shared" ca="1" si="58"/>
        <v>0.40697415382100027</v>
      </c>
      <c r="S267" s="20"/>
      <c r="T267" s="858"/>
      <c r="U267" s="110"/>
      <c r="V267" s="859"/>
      <c r="W267" s="109"/>
      <c r="X267" s="132"/>
      <c r="Y267" s="132"/>
      <c r="Z267" s="133"/>
    </row>
    <row r="268" spans="2:26" ht="15" hidden="1" customHeight="1" outlineLevel="2" x14ac:dyDescent="0.2">
      <c r="B268" s="382"/>
      <c r="C268" s="24"/>
      <c r="D268" s="32" t="s">
        <v>165</v>
      </c>
      <c r="E268" s="26"/>
      <c r="F268" s="26" t="str">
        <f>+CONCATENATE($B$241,"",$C$267,"",D268,"",E268)</f>
        <v>33.03.001</v>
      </c>
      <c r="G268" s="383" t="s">
        <v>241</v>
      </c>
      <c r="H268" s="138">
        <f>+'Prog 05'!H59</f>
        <v>82544640</v>
      </c>
      <c r="I268" s="138">
        <f>+'Prog 05'!I59</f>
        <v>29716070</v>
      </c>
      <c r="J268" s="138">
        <f ca="1">+'Prog 05'!J59</f>
        <v>0</v>
      </c>
      <c r="K268" s="240">
        <f t="shared" ca="1" si="63"/>
        <v>0</v>
      </c>
      <c r="L268" s="138">
        <f>+'Prog 05'!L59</f>
        <v>0</v>
      </c>
      <c r="M268" s="240">
        <f t="shared" si="59"/>
        <v>0</v>
      </c>
      <c r="N268" s="138">
        <f>+'Prog 05'!N59</f>
        <v>29716070</v>
      </c>
      <c r="O268" s="240">
        <f t="shared" si="60"/>
        <v>1</v>
      </c>
      <c r="P268" s="27">
        <f>+'Prog 05'!P59</f>
        <v>42123040.686000004</v>
      </c>
      <c r="Q268" s="27">
        <f>+'Prog 05'!Q59</f>
        <v>0</v>
      </c>
      <c r="R268" s="240">
        <f t="shared" si="58"/>
        <v>0</v>
      </c>
      <c r="T268" s="858"/>
      <c r="V268" s="859"/>
      <c r="W268" s="109"/>
      <c r="X268" s="109"/>
      <c r="Y268" s="109"/>
      <c r="Z268" s="113"/>
    </row>
    <row r="269" spans="2:26" s="46" customFormat="1" ht="15" hidden="1" customHeight="1" outlineLevel="2" x14ac:dyDescent="0.2">
      <c r="B269" s="382"/>
      <c r="C269" s="24"/>
      <c r="D269" s="32" t="s">
        <v>176</v>
      </c>
      <c r="E269" s="26"/>
      <c r="F269" s="26"/>
      <c r="G269" s="383" t="s">
        <v>814</v>
      </c>
      <c r="H269" s="138">
        <f>SUM(H270:H273)</f>
        <v>95697781</v>
      </c>
      <c r="I269" s="138">
        <f t="shared" ref="I269:Q269" si="64">SUM(I270:I273)</f>
        <v>103254006</v>
      </c>
      <c r="J269" s="138">
        <f ca="1">SUM(J270:J273)</f>
        <v>51937036.001999997</v>
      </c>
      <c r="K269" s="240">
        <f t="shared" ca="1" si="63"/>
        <v>0.50300262444054711</v>
      </c>
      <c r="L269" s="138">
        <f t="shared" si="64"/>
        <v>53565848.116999999</v>
      </c>
      <c r="M269" s="240">
        <f t="shared" si="59"/>
        <v>0.51877743239327678</v>
      </c>
      <c r="N269" s="138">
        <f t="shared" si="64"/>
        <v>49688157.883000001</v>
      </c>
      <c r="O269" s="240">
        <f t="shared" si="60"/>
        <v>0.48122256760672316</v>
      </c>
      <c r="P269" s="27">
        <f t="shared" si="64"/>
        <v>124141010.332</v>
      </c>
      <c r="Q269" s="27">
        <f t="shared" si="64"/>
        <v>69271833.316328004</v>
      </c>
      <c r="R269" s="240">
        <f t="shared" si="58"/>
        <v>0.55800926004282492</v>
      </c>
      <c r="S269" s="20"/>
      <c r="T269" s="858"/>
      <c r="U269" s="110"/>
      <c r="V269" s="859"/>
      <c r="W269" s="109"/>
      <c r="X269" s="132"/>
      <c r="Y269" s="132"/>
      <c r="Z269" s="133"/>
    </row>
    <row r="270" spans="2:26" ht="15" hidden="1" customHeight="1" outlineLevel="2" x14ac:dyDescent="0.2">
      <c r="B270" s="382"/>
      <c r="C270" s="24"/>
      <c r="D270" s="35"/>
      <c r="E270" s="26"/>
      <c r="F270" s="65" t="s">
        <v>648</v>
      </c>
      <c r="G270" s="384" t="str">
        <f>+'Prog 03'!G46</f>
        <v>Tradicional (PMU)</v>
      </c>
      <c r="H270" s="27">
        <f>+'Prog 03'!H46</f>
        <v>44226748</v>
      </c>
      <c r="I270" s="27">
        <f>+'Prog 03'!I46</f>
        <v>41426748</v>
      </c>
      <c r="J270" s="27">
        <f ca="1">+'Prog 03'!J46</f>
        <v>16107289.925999999</v>
      </c>
      <c r="K270" s="240">
        <f t="shared" ca="1" si="63"/>
        <v>0.38881376655488381</v>
      </c>
      <c r="L270" s="27">
        <f>+'Prog 03'!L46</f>
        <v>17736102.041000001</v>
      </c>
      <c r="M270" s="240">
        <f t="shared" si="59"/>
        <v>0.42813165158414079</v>
      </c>
      <c r="N270" s="27">
        <f>+'Prog 03'!N46</f>
        <v>23690645.958999999</v>
      </c>
      <c r="O270" s="240">
        <f t="shared" si="60"/>
        <v>0.57186834841585921</v>
      </c>
      <c r="P270" s="27">
        <f>+'Prog 03'!P46</f>
        <v>34978731.00908</v>
      </c>
      <c r="Q270" s="27">
        <f>+'Prog 03'!Q46</f>
        <v>8626669.2990039997</v>
      </c>
      <c r="R270" s="240">
        <f t="shared" si="58"/>
        <v>0.24662613680195072</v>
      </c>
      <c r="T270" s="858"/>
      <c r="V270" s="859"/>
      <c r="W270" s="109"/>
      <c r="X270" s="109"/>
      <c r="Y270" s="109"/>
      <c r="Z270" s="113"/>
    </row>
    <row r="271" spans="2:26" ht="15" hidden="1" customHeight="1" outlineLevel="2" x14ac:dyDescent="0.2">
      <c r="B271" s="382"/>
      <c r="C271" s="24"/>
      <c r="D271" s="35"/>
      <c r="E271" s="26"/>
      <c r="F271" s="65" t="s">
        <v>649</v>
      </c>
      <c r="G271" s="384" t="str">
        <f>+'Prog 03'!G47</f>
        <v>Emergencia (PMU)</v>
      </c>
      <c r="H271" s="27">
        <f>+'Prog 03'!H47</f>
        <v>33521770</v>
      </c>
      <c r="I271" s="27">
        <f>+'Prog 03'!I47</f>
        <v>42577995</v>
      </c>
      <c r="J271" s="27">
        <f ca="1">+'Prog 03'!J47</f>
        <v>16768198.232000001</v>
      </c>
      <c r="K271" s="240">
        <f t="shared" ca="1" si="63"/>
        <v>0.39382310585550118</v>
      </c>
      <c r="L271" s="27">
        <f>+'Prog 03'!L47</f>
        <v>16768198.232000001</v>
      </c>
      <c r="M271" s="240">
        <f t="shared" si="59"/>
        <v>0.39382310585550118</v>
      </c>
      <c r="N271" s="27">
        <f>+'Prog 03'!N47</f>
        <v>25809796.767999999</v>
      </c>
      <c r="O271" s="240">
        <f t="shared" si="60"/>
        <v>0.60617689414449882</v>
      </c>
      <c r="P271" s="27">
        <f>+'Prog 03'!P47</f>
        <v>69472378.218083993</v>
      </c>
      <c r="Q271" s="27">
        <f>+'Prog 03'!Q47</f>
        <v>45329766.394337997</v>
      </c>
      <c r="R271" s="240">
        <f t="shared" si="58"/>
        <v>0.65248617590204272</v>
      </c>
      <c r="T271" s="858"/>
      <c r="V271" s="859"/>
      <c r="W271" s="109"/>
      <c r="X271" s="109"/>
      <c r="Y271" s="109"/>
      <c r="Z271" s="113"/>
    </row>
    <row r="272" spans="2:26" ht="15" hidden="1" customHeight="1" outlineLevel="2" x14ac:dyDescent="0.2">
      <c r="B272" s="382"/>
      <c r="C272" s="24"/>
      <c r="D272" s="35"/>
      <c r="E272" s="26"/>
      <c r="F272" s="65" t="s">
        <v>650</v>
      </c>
      <c r="G272" s="384" t="str">
        <f>+'Prog 03'!G48</f>
        <v>Cuenca del Carbón (PMU)</v>
      </c>
      <c r="H272" s="27">
        <f>+'Prog 03'!H48</f>
        <v>17949263</v>
      </c>
      <c r="I272" s="27">
        <f>+'Prog 03'!I48</f>
        <v>18949263</v>
      </c>
      <c r="J272" s="27">
        <f ca="1">+'Prog 03'!J48</f>
        <v>18917977.829999998</v>
      </c>
      <c r="K272" s="240">
        <f t="shared" ca="1" si="63"/>
        <v>0.99834900333590804</v>
      </c>
      <c r="L272" s="27">
        <f>+'Prog 03'!L48</f>
        <v>18917977.829999998</v>
      </c>
      <c r="M272" s="240">
        <f t="shared" si="59"/>
        <v>0.99834900333590804</v>
      </c>
      <c r="N272" s="27">
        <f>+'Prog 03'!N48</f>
        <v>31285.170000001788</v>
      </c>
      <c r="O272" s="240">
        <f t="shared" si="60"/>
        <v>1.6509966640919907E-3</v>
      </c>
      <c r="P272" s="27">
        <f>+'Prog 03'!P48</f>
        <v>19115747.642836001</v>
      </c>
      <c r="Q272" s="27">
        <f>+'Prog 03'!Q48</f>
        <v>14837623.715494001</v>
      </c>
      <c r="R272" s="240">
        <f t="shared" si="58"/>
        <v>0.77619897441231867</v>
      </c>
      <c r="T272" s="858"/>
      <c r="V272" s="859"/>
      <c r="W272" s="109"/>
      <c r="X272" s="109"/>
      <c r="Y272" s="109"/>
      <c r="Z272" s="113"/>
    </row>
    <row r="273" spans="2:44" ht="15" hidden="1" customHeight="1" outlineLevel="2" x14ac:dyDescent="0.2">
      <c r="B273" s="382"/>
      <c r="C273" s="24"/>
      <c r="D273" s="35"/>
      <c r="E273" s="26"/>
      <c r="F273" s="65" t="s">
        <v>650</v>
      </c>
      <c r="G273" s="384" t="s">
        <v>753</v>
      </c>
      <c r="H273" s="27">
        <f>+'Prog 03'!H49</f>
        <v>0</v>
      </c>
      <c r="I273" s="27">
        <f>+'Prog 03'!I49</f>
        <v>300000</v>
      </c>
      <c r="J273" s="27">
        <f ca="1">+'Prog 03'!J49</f>
        <v>143570.014</v>
      </c>
      <c r="K273" s="240">
        <f t="shared" ca="1" si="63"/>
        <v>0.47856671333333334</v>
      </c>
      <c r="L273" s="27">
        <f>+'Prog 03'!L49</f>
        <v>143570.014</v>
      </c>
      <c r="M273" s="240">
        <f t="shared" si="59"/>
        <v>0.47856671333333334</v>
      </c>
      <c r="N273" s="27">
        <f>+'Prog 03'!N49</f>
        <v>156429.986</v>
      </c>
      <c r="O273" s="240">
        <f t="shared" si="60"/>
        <v>0.52143328666666666</v>
      </c>
      <c r="P273" s="27">
        <f>+'Prog 03'!P49</f>
        <v>574153.46200000006</v>
      </c>
      <c r="Q273" s="27">
        <f>+'Prog 03'!Q49</f>
        <v>477773.90749200003</v>
      </c>
      <c r="R273" s="240">
        <f t="shared" si="58"/>
        <v>0.83213624773371131</v>
      </c>
      <c r="T273" s="858"/>
      <c r="V273" s="859"/>
      <c r="W273" s="109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</row>
    <row r="274" spans="2:44" s="46" customFormat="1" ht="15" hidden="1" customHeight="1" outlineLevel="2" x14ac:dyDescent="0.2">
      <c r="B274" s="382"/>
      <c r="C274" s="24"/>
      <c r="D274" s="32">
        <v>6</v>
      </c>
      <c r="E274" s="26"/>
      <c r="F274" s="26"/>
      <c r="G274" s="383" t="s">
        <v>815</v>
      </c>
      <c r="H274" s="138">
        <f>SUM(H275:H280)</f>
        <v>56114193</v>
      </c>
      <c r="I274" s="138">
        <f t="shared" ref="I274:Q274" si="65">SUM(I275:I280)</f>
        <v>42013645</v>
      </c>
      <c r="J274" s="138">
        <f ca="1">SUM(J275:J280)</f>
        <v>6765819.1390000004</v>
      </c>
      <c r="K274" s="240">
        <f t="shared" ca="1" si="63"/>
        <v>0.16103861350282747</v>
      </c>
      <c r="L274" s="138">
        <f>SUM(L275:L280)</f>
        <v>8051281.2100000009</v>
      </c>
      <c r="M274" s="240">
        <f t="shared" si="59"/>
        <v>0.19163491313357842</v>
      </c>
      <c r="N274" s="138">
        <f t="shared" si="65"/>
        <v>33962363.789999999</v>
      </c>
      <c r="O274" s="240">
        <f t="shared" si="60"/>
        <v>0.80836508686642161</v>
      </c>
      <c r="P274" s="27">
        <f t="shared" si="65"/>
        <v>72715563.620000005</v>
      </c>
      <c r="Q274" s="27">
        <f t="shared" si="65"/>
        <v>23481650.108658001</v>
      </c>
      <c r="R274" s="240">
        <f t="shared" si="58"/>
        <v>0.32292467994017593</v>
      </c>
      <c r="S274" s="20"/>
      <c r="T274" s="858"/>
      <c r="U274" s="110"/>
      <c r="V274" s="859"/>
      <c r="W274" s="109"/>
      <c r="X274" s="132"/>
      <c r="Y274" s="132"/>
      <c r="Z274" s="133"/>
    </row>
    <row r="275" spans="2:44" ht="15" hidden="1" customHeight="1" outlineLevel="2" x14ac:dyDescent="0.2">
      <c r="B275" s="382"/>
      <c r="C275" s="24"/>
      <c r="D275" s="35"/>
      <c r="E275" s="26"/>
      <c r="F275" s="65" t="s">
        <v>651</v>
      </c>
      <c r="G275" s="384" t="str">
        <f>+'Prog 03'!G51</f>
        <v>Asistencia Técnica (PMB)</v>
      </c>
      <c r="H275" s="27">
        <f>+'Prog 03'!H51</f>
        <v>6527670</v>
      </c>
      <c r="I275" s="27">
        <f>+'Prog 03'!I51</f>
        <v>7550100</v>
      </c>
      <c r="J275" s="27">
        <f ca="1">+'Prog 03'!J51</f>
        <v>3082502.8729999997</v>
      </c>
      <c r="K275" s="240">
        <f t="shared" ca="1" si="63"/>
        <v>0.40827311863419025</v>
      </c>
      <c r="L275" s="27">
        <f>+'Prog 03'!L51</f>
        <v>3213902.8730000001</v>
      </c>
      <c r="M275" s="240">
        <f t="shared" si="59"/>
        <v>0.42567686163097179</v>
      </c>
      <c r="N275" s="27">
        <f>+'Prog 03'!N51</f>
        <v>4336197.1270000003</v>
      </c>
      <c r="O275" s="240">
        <f t="shared" si="60"/>
        <v>0.57432313836902826</v>
      </c>
      <c r="P275" s="27">
        <f>+'Prog 03'!P51</f>
        <v>6199843.2693520002</v>
      </c>
      <c r="Q275" s="27">
        <f>+'Prog 03'!Q51</f>
        <v>4634655.9571359996</v>
      </c>
      <c r="R275" s="240">
        <f t="shared" si="58"/>
        <v>0.7475440516451004</v>
      </c>
      <c r="T275" s="858"/>
      <c r="V275" s="859"/>
      <c r="W275" s="109"/>
      <c r="X275" s="109"/>
      <c r="Y275" s="109"/>
      <c r="Z275" s="113"/>
    </row>
    <row r="276" spans="2:44" ht="15" hidden="1" customHeight="1" outlineLevel="2" x14ac:dyDescent="0.2">
      <c r="B276" s="382"/>
      <c r="C276" s="24"/>
      <c r="D276" s="35"/>
      <c r="E276" s="26"/>
      <c r="F276" s="65" t="s">
        <v>652</v>
      </c>
      <c r="G276" s="384" t="str">
        <f>+'Prog 03'!G52</f>
        <v>Terrenos (PMB)</v>
      </c>
      <c r="H276" s="27">
        <f>+'Prog 03'!H52</f>
        <v>5360526</v>
      </c>
      <c r="I276" s="27">
        <f>+'Prog 03'!I52</f>
        <v>0</v>
      </c>
      <c r="J276" s="27">
        <f ca="1">+'Prog 03'!J52</f>
        <v>0</v>
      </c>
      <c r="K276" s="240" t="str">
        <f t="shared" ca="1" si="63"/>
        <v>0.00%</v>
      </c>
      <c r="L276" s="27">
        <f>+'Prog 03'!L52</f>
        <v>0</v>
      </c>
      <c r="M276" s="240">
        <f t="shared" si="59"/>
        <v>0</v>
      </c>
      <c r="N276" s="27">
        <f>+'Prog 03'!N52</f>
        <v>0</v>
      </c>
      <c r="O276" s="240">
        <f t="shared" si="60"/>
        <v>0</v>
      </c>
      <c r="P276" s="27">
        <f>+'Prog 03'!P52</f>
        <v>6540739.3868380003</v>
      </c>
      <c r="Q276" s="27">
        <f>+'Prog 03'!Q52</f>
        <v>1110805.6982800001</v>
      </c>
      <c r="R276" s="240">
        <f t="shared" si="58"/>
        <v>0.16982876592137064</v>
      </c>
      <c r="T276" s="858"/>
      <c r="V276" s="859"/>
      <c r="W276" s="109"/>
      <c r="X276" s="109"/>
      <c r="Y276" s="109"/>
      <c r="Z276" s="113"/>
    </row>
    <row r="277" spans="2:44" ht="15" hidden="1" customHeight="1" outlineLevel="2" x14ac:dyDescent="0.2">
      <c r="B277" s="382"/>
      <c r="C277" s="24"/>
      <c r="D277" s="35"/>
      <c r="E277" s="26"/>
      <c r="F277" s="65" t="s">
        <v>653</v>
      </c>
      <c r="G277" s="384" t="str">
        <f>+'Prog 03'!G53</f>
        <v>Otras Transferencias (PMB)</v>
      </c>
      <c r="H277" s="27">
        <f>+'Prog 03'!H53</f>
        <v>2440674</v>
      </c>
      <c r="I277" s="27">
        <f>+'Prog 03'!I53</f>
        <v>2490344.1719999998</v>
      </c>
      <c r="J277" s="27">
        <f ca="1">+'Prog 03'!J53</f>
        <v>308896.55200000003</v>
      </c>
      <c r="K277" s="240">
        <f t="shared" ca="1" si="63"/>
        <v>0.12403769546115574</v>
      </c>
      <c r="L277" s="27">
        <f>+'Prog 03'!L53</f>
        <v>308896.55200000003</v>
      </c>
      <c r="M277" s="240">
        <f t="shared" si="59"/>
        <v>0.12403769546115574</v>
      </c>
      <c r="N277" s="27">
        <f>+'Prog 03'!N53</f>
        <v>2181447.6199999996</v>
      </c>
      <c r="O277" s="240">
        <f t="shared" si="60"/>
        <v>0.87596230453884416</v>
      </c>
      <c r="P277" s="27">
        <f>+'Prog 03'!P53</f>
        <v>2758206.3030420002</v>
      </c>
      <c r="Q277" s="27">
        <f>+'Prog 03'!Q53</f>
        <v>1909300.25459</v>
      </c>
      <c r="R277" s="240">
        <f t="shared" si="58"/>
        <v>0.69222532501802003</v>
      </c>
      <c r="T277" s="858"/>
      <c r="V277" s="859"/>
      <c r="W277" s="109"/>
      <c r="X277" s="109"/>
      <c r="Y277" s="109"/>
      <c r="Z277" s="113"/>
    </row>
    <row r="278" spans="2:44" ht="15" hidden="1" customHeight="1" outlineLevel="2" x14ac:dyDescent="0.2">
      <c r="B278" s="382"/>
      <c r="C278" s="24"/>
      <c r="D278" s="35"/>
      <c r="E278" s="26"/>
      <c r="F278" s="65" t="s">
        <v>654</v>
      </c>
      <c r="G278" s="384" t="str">
        <f>+'Prog 03'!G54</f>
        <v>Estudios y diseños (PMB)</v>
      </c>
      <c r="H278" s="27">
        <f>+'Prog 03'!H54</f>
        <v>2266492</v>
      </c>
      <c r="I278" s="27">
        <f>+'Prog 03'!I54</f>
        <v>2550000</v>
      </c>
      <c r="J278" s="27">
        <f ca="1">+'Prog 03'!J54</f>
        <v>520368.78200000001</v>
      </c>
      <c r="K278" s="240">
        <f t="shared" ca="1" si="63"/>
        <v>0.20406618901960785</v>
      </c>
      <c r="L278" s="27">
        <f>+'Prog 03'!L54</f>
        <v>520368.78200000001</v>
      </c>
      <c r="M278" s="240">
        <f t="shared" si="59"/>
        <v>0.20406618901960785</v>
      </c>
      <c r="N278" s="27">
        <f>+'Prog 03'!N54</f>
        <v>2029631.2179999999</v>
      </c>
      <c r="O278" s="240">
        <f t="shared" si="60"/>
        <v>0.79593381098039206</v>
      </c>
      <c r="P278" s="27">
        <f>+'Prog 03'!P54</f>
        <v>1996800.5967840001</v>
      </c>
      <c r="Q278" s="27">
        <f>+'Prog 03'!Q54</f>
        <v>911731.67642999999</v>
      </c>
      <c r="R278" s="240">
        <f t="shared" ref="R278:R312" si="66">IFERROR(Q278/P278,"0.00%")</f>
        <v>0.45659625597989778</v>
      </c>
      <c r="T278" s="858"/>
      <c r="V278" s="859"/>
      <c r="W278" s="109"/>
      <c r="X278" s="109"/>
      <c r="Y278" s="109"/>
      <c r="Z278" s="113"/>
    </row>
    <row r="279" spans="2:44" ht="15" hidden="1" customHeight="1" outlineLevel="2" x14ac:dyDescent="0.2">
      <c r="B279" s="382"/>
      <c r="C279" s="24"/>
      <c r="D279" s="35"/>
      <c r="E279" s="26"/>
      <c r="F279" s="65" t="s">
        <v>655</v>
      </c>
      <c r="G279" s="384" t="str">
        <f>+'Prog 03'!G55</f>
        <v>IRAL Inversión Regional de Asignación Local (PMB)</v>
      </c>
      <c r="H279" s="27">
        <f>+'Prog 03'!H55</f>
        <v>8048156</v>
      </c>
      <c r="I279" s="27">
        <f>+'Prog 03'!I55</f>
        <v>17401492.500999998</v>
      </c>
      <c r="J279" s="27">
        <f ca="1">+'Prog 03'!J55</f>
        <v>389231.15099999995</v>
      </c>
      <c r="K279" s="240">
        <f t="shared" ca="1" si="63"/>
        <v>2.2367687770323857E-2</v>
      </c>
      <c r="L279" s="27">
        <f>+'Prog 03'!L55</f>
        <v>1543293.2220000001</v>
      </c>
      <c r="M279" s="240">
        <f t="shared" si="59"/>
        <v>8.8687405514861026E-2</v>
      </c>
      <c r="N279" s="27">
        <f>+'Prog 03'!N55</f>
        <v>15858199.278999999</v>
      </c>
      <c r="O279" s="240">
        <f t="shared" si="60"/>
        <v>0.91131259448513902</v>
      </c>
      <c r="P279" s="27">
        <f>+'Prog 03'!P55</f>
        <v>26520278.757728003</v>
      </c>
      <c r="Q279" s="27">
        <f>+'Prog 03'!Q55</f>
        <v>1945085.2354540001</v>
      </c>
      <c r="R279" s="240">
        <f t="shared" si="66"/>
        <v>7.3343317889794146E-2</v>
      </c>
      <c r="T279" s="858"/>
      <c r="V279" s="859"/>
      <c r="W279" s="109"/>
      <c r="X279" s="109"/>
      <c r="Y279" s="109"/>
      <c r="Z279" s="113"/>
    </row>
    <row r="280" spans="2:44" ht="15" hidden="1" customHeight="1" outlineLevel="2" x14ac:dyDescent="0.2">
      <c r="B280" s="382"/>
      <c r="C280" s="24"/>
      <c r="D280" s="35"/>
      <c r="E280" s="26"/>
      <c r="F280" s="65" t="s">
        <v>656</v>
      </c>
      <c r="G280" s="384" t="str">
        <f>+'Prog 03'!G56</f>
        <v>Obras (PMB)</v>
      </c>
      <c r="H280" s="27">
        <f>+'Prog 03'!H56</f>
        <v>31470675</v>
      </c>
      <c r="I280" s="27">
        <f>+'Prog 03'!I56</f>
        <v>12021708.327</v>
      </c>
      <c r="J280" s="27">
        <f ca="1">+'Prog 03'!J56</f>
        <v>2464819.781</v>
      </c>
      <c r="K280" s="240">
        <f t="shared" ca="1" si="63"/>
        <v>0.20503074221690856</v>
      </c>
      <c r="L280" s="27">
        <f>+'Prog 03'!L56</f>
        <v>2464819.781</v>
      </c>
      <c r="M280" s="240">
        <f t="shared" ref="M280:M312" si="67">+IFERROR(L280/I280,0)</f>
        <v>0.20503074221690856</v>
      </c>
      <c r="N280" s="27">
        <f>+'Prog 03'!N56</f>
        <v>9556888.5460000001</v>
      </c>
      <c r="O280" s="240">
        <f t="shared" ref="O280:O312" si="68">+IFERROR(N280/I280,0)</f>
        <v>0.79496925778309147</v>
      </c>
      <c r="P280" s="27">
        <f>+'Prog 03'!P56</f>
        <v>28699695.306256</v>
      </c>
      <c r="Q280" s="27">
        <f>+'Prog 03'!Q56</f>
        <v>12970071.286768001</v>
      </c>
      <c r="R280" s="240">
        <f t="shared" si="66"/>
        <v>0.45192365801670259</v>
      </c>
      <c r="T280" s="858"/>
      <c r="V280" s="859"/>
      <c r="W280" s="109"/>
      <c r="X280" s="109"/>
      <c r="Y280" s="109"/>
      <c r="Z280" s="113"/>
    </row>
    <row r="281" spans="2:44" ht="15" hidden="1" customHeight="1" outlineLevel="2" x14ac:dyDescent="0.2">
      <c r="B281" s="382"/>
      <c r="C281" s="24"/>
      <c r="D281" s="32" t="s">
        <v>169</v>
      </c>
      <c r="E281" s="26"/>
      <c r="F281" s="26" t="str">
        <f>+CONCATENATE($B$241,"",$C$267,"",D281,"",E281)</f>
        <v>33.03.010</v>
      </c>
      <c r="G281" s="384" t="s">
        <v>685</v>
      </c>
      <c r="H281" s="27">
        <v>0</v>
      </c>
      <c r="I281" s="27">
        <v>0</v>
      </c>
      <c r="J281" s="27">
        <v>0</v>
      </c>
      <c r="K281" s="240" t="str">
        <f t="shared" si="63"/>
        <v>0.00%</v>
      </c>
      <c r="L281" s="27">
        <v>0</v>
      </c>
      <c r="M281" s="240">
        <f t="shared" si="67"/>
        <v>0</v>
      </c>
      <c r="N281" s="27">
        <v>0</v>
      </c>
      <c r="O281" s="240">
        <f t="shared" si="68"/>
        <v>0</v>
      </c>
      <c r="P281" s="27">
        <v>0</v>
      </c>
      <c r="Q281" s="27">
        <v>0</v>
      </c>
      <c r="R281" s="240" t="str">
        <f t="shared" si="66"/>
        <v>0.00%</v>
      </c>
      <c r="T281" s="858"/>
      <c r="V281" s="859"/>
      <c r="W281" s="109"/>
      <c r="X281" s="109"/>
      <c r="Y281" s="109"/>
      <c r="Z281" s="113"/>
    </row>
    <row r="282" spans="2:44" ht="15" hidden="1" customHeight="1" outlineLevel="2" x14ac:dyDescent="0.2">
      <c r="B282" s="382"/>
      <c r="C282" s="24"/>
      <c r="D282" s="32" t="s">
        <v>189</v>
      </c>
      <c r="E282" s="26"/>
      <c r="F282" s="26" t="str">
        <f>+CONCATENATE($B$241,"",$C$267,"",D282,"",E282)</f>
        <v>33.03.017</v>
      </c>
      <c r="G282" s="384" t="s">
        <v>516</v>
      </c>
      <c r="H282" s="27">
        <f>+'Prog 05'!H61</f>
        <v>0</v>
      </c>
      <c r="I282" s="27">
        <f>+'Prog 05'!I61</f>
        <v>0</v>
      </c>
      <c r="J282" s="27">
        <f ca="1">+'Prog 05'!J61</f>
        <v>0</v>
      </c>
      <c r="K282" s="240" t="str">
        <f t="shared" ca="1" si="63"/>
        <v>0.00%</v>
      </c>
      <c r="L282" s="27">
        <f>+'Prog 05'!L61</f>
        <v>0</v>
      </c>
      <c r="M282" s="240">
        <f t="shared" si="67"/>
        <v>0</v>
      </c>
      <c r="N282" s="27">
        <f>+'Prog 05'!N61</f>
        <v>0</v>
      </c>
      <c r="O282" s="240">
        <f t="shared" si="68"/>
        <v>0</v>
      </c>
      <c r="P282" s="27">
        <f>+'Prog 05'!P61</f>
        <v>0</v>
      </c>
      <c r="Q282" s="27">
        <f ca="1">+'Prog 05'!Q61</f>
        <v>0</v>
      </c>
      <c r="R282" s="240" t="str">
        <f t="shared" ca="1" si="66"/>
        <v>0.00%</v>
      </c>
      <c r="T282" s="858"/>
      <c r="V282" s="859"/>
      <c r="W282" s="109"/>
      <c r="X282" s="109"/>
      <c r="Y282" s="109"/>
      <c r="Z282" s="113"/>
    </row>
    <row r="283" spans="2:44" ht="15" hidden="1" customHeight="1" outlineLevel="2" x14ac:dyDescent="0.2">
      <c r="B283" s="382"/>
      <c r="C283" s="24"/>
      <c r="D283" s="32" t="s">
        <v>627</v>
      </c>
      <c r="E283" s="26"/>
      <c r="F283" s="26" t="str">
        <f>+CONCATENATE($B$241,"",$C$267,"",D283,"",E283)</f>
        <v>33.03.020</v>
      </c>
      <c r="G283" s="384" t="s">
        <v>686</v>
      </c>
      <c r="H283" s="27">
        <v>0</v>
      </c>
      <c r="I283" s="27">
        <v>0</v>
      </c>
      <c r="J283" s="27">
        <v>0</v>
      </c>
      <c r="K283" s="240" t="str">
        <f t="shared" si="63"/>
        <v>0.00%</v>
      </c>
      <c r="L283" s="27">
        <v>0</v>
      </c>
      <c r="M283" s="240">
        <f t="shared" si="67"/>
        <v>0</v>
      </c>
      <c r="N283" s="27">
        <v>0</v>
      </c>
      <c r="O283" s="240">
        <f t="shared" si="68"/>
        <v>0</v>
      </c>
      <c r="P283" s="27">
        <v>0</v>
      </c>
      <c r="Q283" s="27">
        <v>0</v>
      </c>
      <c r="R283" s="240" t="str">
        <f t="shared" si="66"/>
        <v>0.00%</v>
      </c>
      <c r="T283" s="858"/>
      <c r="V283" s="859"/>
      <c r="W283" s="109"/>
      <c r="X283" s="109"/>
      <c r="Y283" s="109"/>
      <c r="Z283" s="113"/>
    </row>
    <row r="284" spans="2:44" ht="15" hidden="1" customHeight="1" outlineLevel="2" x14ac:dyDescent="0.2">
      <c r="B284" s="382"/>
      <c r="C284" s="24"/>
      <c r="D284" s="32" t="s">
        <v>190</v>
      </c>
      <c r="E284" s="26"/>
      <c r="F284" s="26" t="str">
        <f>+CONCATENATE($B$241,"",$C$267,"",D284,"",E284)</f>
        <v>33.03.021</v>
      </c>
      <c r="G284" s="384" t="s">
        <v>514</v>
      </c>
      <c r="H284" s="27">
        <f>+'Prog 05'!H62</f>
        <v>0</v>
      </c>
      <c r="I284" s="27">
        <f>+'Prog 05'!I62</f>
        <v>0</v>
      </c>
      <c r="J284" s="27">
        <f ca="1">+'Prog 05'!J62</f>
        <v>0</v>
      </c>
      <c r="K284" s="240" t="str">
        <f t="shared" ca="1" si="63"/>
        <v>0.00%</v>
      </c>
      <c r="L284" s="27">
        <f>+'Prog 05'!L62</f>
        <v>0</v>
      </c>
      <c r="M284" s="240">
        <f t="shared" si="67"/>
        <v>0</v>
      </c>
      <c r="N284" s="27">
        <f>+'Prog 05'!N62</f>
        <v>0</v>
      </c>
      <c r="O284" s="240">
        <f t="shared" si="68"/>
        <v>0</v>
      </c>
      <c r="P284" s="27">
        <f>+'Prog 05'!P62</f>
        <v>0</v>
      </c>
      <c r="Q284" s="27">
        <f ca="1">+'Prog 05'!Q62</f>
        <v>0</v>
      </c>
      <c r="R284" s="240" t="str">
        <f t="shared" ca="1" si="66"/>
        <v>0.00%</v>
      </c>
      <c r="T284" s="858"/>
      <c r="V284" s="859"/>
      <c r="W284" s="109"/>
      <c r="X284" s="109"/>
      <c r="Y284" s="109"/>
      <c r="Z284" s="113"/>
    </row>
    <row r="285" spans="2:44" ht="15" hidden="1" customHeight="1" outlineLevel="2" x14ac:dyDescent="0.2">
      <c r="B285" s="382"/>
      <c r="C285" s="24"/>
      <c r="D285" s="32" t="s">
        <v>192</v>
      </c>
      <c r="E285" s="26"/>
      <c r="F285" s="26" t="str">
        <f>+CONCATENATE($B$241,"",$C$267,"",D285,"",E285)</f>
        <v>33.03.025</v>
      </c>
      <c r="G285" s="384" t="s">
        <v>515</v>
      </c>
      <c r="H285" s="27">
        <f>+'Prog 05'!H63</f>
        <v>0</v>
      </c>
      <c r="I285" s="27">
        <f>+'Prog 05'!I63</f>
        <v>0</v>
      </c>
      <c r="J285" s="27">
        <f ca="1">+'Prog 05'!J63</f>
        <v>0</v>
      </c>
      <c r="K285" s="240" t="str">
        <f t="shared" ca="1" si="63"/>
        <v>0.00%</v>
      </c>
      <c r="L285" s="27">
        <f>+'Prog 05'!L63</f>
        <v>0</v>
      </c>
      <c r="M285" s="240">
        <f t="shared" si="67"/>
        <v>0</v>
      </c>
      <c r="N285" s="27">
        <f>+'Prog 05'!N63</f>
        <v>0</v>
      </c>
      <c r="O285" s="240">
        <f t="shared" si="68"/>
        <v>0</v>
      </c>
      <c r="P285" s="27">
        <f>+'Prog 05'!P63</f>
        <v>0</v>
      </c>
      <c r="Q285" s="27">
        <f ca="1">+'Prog 05'!Q63</f>
        <v>0</v>
      </c>
      <c r="R285" s="240" t="str">
        <f t="shared" ca="1" si="66"/>
        <v>0.00%</v>
      </c>
      <c r="T285" s="858"/>
      <c r="V285" s="859"/>
      <c r="W285" s="109"/>
      <c r="X285" s="109"/>
      <c r="Y285" s="109"/>
      <c r="Z285" s="113"/>
    </row>
    <row r="286" spans="2:44" ht="15" hidden="1" customHeight="1" outlineLevel="2" x14ac:dyDescent="0.2">
      <c r="B286" s="382"/>
      <c r="C286" s="24"/>
      <c r="D286" s="35" t="s">
        <v>816</v>
      </c>
      <c r="E286" s="26"/>
      <c r="F286" s="65" t="s">
        <v>625</v>
      </c>
      <c r="G286" s="384" t="str">
        <f>+'Prog 03'!G57</f>
        <v xml:space="preserve">Municipalidades (Fondo Recuperación de Ciudades - FRC) </v>
      </c>
      <c r="H286" s="27">
        <f>+'Prog 03'!H57</f>
        <v>9562068</v>
      </c>
      <c r="I286" s="27">
        <f>+'Prog 03'!I57</f>
        <v>22730998</v>
      </c>
      <c r="J286" s="27">
        <f ca="1">+'Prog 03'!J57</f>
        <v>14967362.983999999</v>
      </c>
      <c r="K286" s="240">
        <f t="shared" ca="1" si="63"/>
        <v>0.65845604244917</v>
      </c>
      <c r="L286" s="27">
        <f>+'Prog 03'!L57</f>
        <v>15819164.444</v>
      </c>
      <c r="M286" s="240">
        <f t="shared" si="67"/>
        <v>0.69592916439480568</v>
      </c>
      <c r="N286" s="27">
        <f>+'Prog 03'!N57</f>
        <v>6911833.5559999999</v>
      </c>
      <c r="O286" s="240">
        <f t="shared" si="68"/>
        <v>0.30407083560519427</v>
      </c>
      <c r="P286" s="27">
        <f>+'Prog 03'!P57</f>
        <v>10127864.880000001</v>
      </c>
      <c r="Q286" s="27">
        <f>+'Prog 03'!Q57</f>
        <v>44272.710652000002</v>
      </c>
      <c r="R286" s="240">
        <f t="shared" si="66"/>
        <v>4.371376511887271E-3</v>
      </c>
      <c r="T286" s="858"/>
      <c r="V286" s="859"/>
      <c r="W286" s="109"/>
      <c r="X286" s="109"/>
      <c r="Y286" s="109"/>
      <c r="Z286" s="113"/>
    </row>
    <row r="287" spans="2:44" ht="15" hidden="1" customHeight="1" outlineLevel="2" x14ac:dyDescent="0.2">
      <c r="B287" s="382"/>
      <c r="C287" s="24"/>
      <c r="D287" s="32" t="s">
        <v>185</v>
      </c>
      <c r="E287" s="26"/>
      <c r="F287" s="26" t="str">
        <f>+CONCATENATE($B$241,"",$C$267,"",D287,"",E287)</f>
        <v>33.03.110</v>
      </c>
      <c r="G287" s="384" t="s">
        <v>596</v>
      </c>
      <c r="H287" s="27">
        <f>+'Prog 03'!H58</f>
        <v>17361590</v>
      </c>
      <c r="I287" s="27">
        <f>+'Prog 03'!I58</f>
        <v>17361590</v>
      </c>
      <c r="J287" s="27">
        <f ca="1">+'Prog 03'!J58</f>
        <v>17361590</v>
      </c>
      <c r="K287" s="240">
        <f t="shared" ca="1" si="63"/>
        <v>1</v>
      </c>
      <c r="L287" s="27">
        <f>+'Prog 03'!L58</f>
        <v>17361590</v>
      </c>
      <c r="M287" s="240">
        <f t="shared" si="67"/>
        <v>1</v>
      </c>
      <c r="N287" s="27">
        <f>+'Prog 03'!N58</f>
        <v>0</v>
      </c>
      <c r="O287" s="240">
        <f t="shared" si="68"/>
        <v>0</v>
      </c>
      <c r="P287" s="27">
        <f>+'Prog 03'!P58</f>
        <v>17806759.881999999</v>
      </c>
      <c r="Q287" s="27">
        <f>+'Prog 03'!Q58</f>
        <v>17806759.881999999</v>
      </c>
      <c r="R287" s="240">
        <f t="shared" si="66"/>
        <v>1</v>
      </c>
      <c r="T287" s="858"/>
      <c r="V287" s="859"/>
      <c r="W287" s="109"/>
      <c r="X287" s="109"/>
      <c r="Y287" s="109"/>
      <c r="Z287" s="113"/>
    </row>
    <row r="288" spans="2:44" ht="15" hidden="1" customHeight="1" outlineLevel="2" x14ac:dyDescent="0.2">
      <c r="B288" s="382"/>
      <c r="C288" s="24"/>
      <c r="D288" s="35" t="s">
        <v>186</v>
      </c>
      <c r="E288" s="26"/>
      <c r="F288" s="26" t="str">
        <f>+CONCATENATE($B$241,"",$C$267,"",D288,"",E288)</f>
        <v>33.03.111</v>
      </c>
      <c r="G288" s="384" t="s">
        <v>597</v>
      </c>
      <c r="H288" s="27">
        <f>+'Prog 03'!H59</f>
        <v>9905707</v>
      </c>
      <c r="I288" s="27">
        <f>+'Prog 03'!I59</f>
        <v>9905707</v>
      </c>
      <c r="J288" s="27">
        <f ca="1">+'Prog 03'!J59</f>
        <v>1078132.2750000001</v>
      </c>
      <c r="K288" s="240">
        <f t="shared" ca="1" si="63"/>
        <v>0.10883950787157344</v>
      </c>
      <c r="L288" s="27">
        <f>+'Prog 03'!L59</f>
        <v>1809247.1089999999</v>
      </c>
      <c r="M288" s="240">
        <f t="shared" si="67"/>
        <v>0.1826469437264801</v>
      </c>
      <c r="N288" s="27">
        <f>+'Prog 03'!N59</f>
        <v>8096459.8909999998</v>
      </c>
      <c r="O288" s="240">
        <f t="shared" si="68"/>
        <v>0.81735305627351984</v>
      </c>
      <c r="P288" s="27">
        <f>+'Prog 03'!P59</f>
        <v>9312923.9739999995</v>
      </c>
      <c r="Q288" s="27">
        <f>+'Prog 03'!Q59</f>
        <v>6707611.6657600002</v>
      </c>
      <c r="R288" s="240">
        <f t="shared" si="66"/>
        <v>0.72024765632001719</v>
      </c>
      <c r="T288" s="858"/>
      <c r="V288" s="859"/>
      <c r="W288" s="109"/>
      <c r="X288" s="109"/>
      <c r="Y288" s="109"/>
      <c r="Z288" s="113"/>
    </row>
    <row r="289" spans="2:26" ht="15" hidden="1" customHeight="1" outlineLevel="2" x14ac:dyDescent="0.2">
      <c r="B289" s="382"/>
      <c r="C289" s="24"/>
      <c r="D289" s="35" t="s">
        <v>842</v>
      </c>
      <c r="E289" s="26"/>
      <c r="F289" s="26" t="s">
        <v>841</v>
      </c>
      <c r="G289" s="384" t="s">
        <v>840</v>
      </c>
      <c r="H289" s="27">
        <f>+'Prog 03'!H60</f>
        <v>3995732</v>
      </c>
      <c r="I289" s="27">
        <f>+'Prog 03'!I60</f>
        <v>3995732</v>
      </c>
      <c r="J289" s="27">
        <f ca="1">+'Prog 03'!J60</f>
        <v>0</v>
      </c>
      <c r="K289" s="240">
        <f t="shared" ca="1" si="63"/>
        <v>0</v>
      </c>
      <c r="L289" s="27">
        <f>+'Prog 03'!L60</f>
        <v>0</v>
      </c>
      <c r="M289" s="240">
        <f t="shared" si="67"/>
        <v>0</v>
      </c>
      <c r="N289" s="27">
        <f>+'Prog 03'!N60</f>
        <v>3995732</v>
      </c>
      <c r="O289" s="240">
        <f t="shared" si="68"/>
        <v>1</v>
      </c>
      <c r="P289" s="27">
        <f>+'Prog 03'!P60</f>
        <v>4098186</v>
      </c>
      <c r="Q289" s="27">
        <f>+'Prog 03'!Q60</f>
        <v>1294147.328</v>
      </c>
      <c r="R289" s="240">
        <f t="shared" si="66"/>
        <v>0.31578540554284262</v>
      </c>
      <c r="T289" s="858"/>
      <c r="V289" s="859"/>
      <c r="W289" s="109"/>
      <c r="X289" s="109"/>
      <c r="Y289" s="109"/>
      <c r="Z289" s="113"/>
    </row>
    <row r="290" spans="2:26" ht="15" hidden="1" customHeight="1" outlineLevel="2" x14ac:dyDescent="0.2">
      <c r="B290" s="382"/>
      <c r="C290" s="24"/>
      <c r="D290" s="35" t="s">
        <v>193</v>
      </c>
      <c r="E290" s="26"/>
      <c r="F290" s="26" t="str">
        <f t="shared" ref="F290:F306" si="69">+CONCATENATE($B$241,"",$C$267,"",D290,"",E290)</f>
        <v>33.03.130</v>
      </c>
      <c r="G290" s="384" t="s">
        <v>245</v>
      </c>
      <c r="H290" s="27">
        <f>+'Prog 05'!H64</f>
        <v>0</v>
      </c>
      <c r="I290" s="27">
        <f>+'Prog 05'!I64</f>
        <v>0</v>
      </c>
      <c r="J290" s="27">
        <f ca="1">+'Prog 05'!J64</f>
        <v>0</v>
      </c>
      <c r="K290" s="240" t="str">
        <f t="shared" ca="1" si="63"/>
        <v>0.00%</v>
      </c>
      <c r="L290" s="27">
        <f>+'Prog 05'!L64</f>
        <v>0</v>
      </c>
      <c r="M290" s="240">
        <f t="shared" si="67"/>
        <v>0</v>
      </c>
      <c r="N290" s="27">
        <f>+'Prog 05'!N64</f>
        <v>0</v>
      </c>
      <c r="O290" s="240">
        <f t="shared" si="68"/>
        <v>0</v>
      </c>
      <c r="P290" s="27">
        <f>+'Prog 05'!P64</f>
        <v>0</v>
      </c>
      <c r="Q290" s="27">
        <f ca="1">+'Prog 05'!Q64</f>
        <v>0</v>
      </c>
      <c r="R290" s="240" t="str">
        <f t="shared" ca="1" si="66"/>
        <v>0.00%</v>
      </c>
      <c r="T290" s="858"/>
      <c r="V290" s="859"/>
      <c r="W290" s="109"/>
      <c r="X290" s="109"/>
      <c r="Y290" s="109"/>
      <c r="Z290" s="113"/>
    </row>
    <row r="291" spans="2:26" ht="15" hidden="1" customHeight="1" outlineLevel="2" x14ac:dyDescent="0.2">
      <c r="B291" s="382"/>
      <c r="C291" s="24"/>
      <c r="D291" s="35" t="s">
        <v>194</v>
      </c>
      <c r="E291" s="26"/>
      <c r="F291" s="26" t="str">
        <f t="shared" si="69"/>
        <v>33.03.190</v>
      </c>
      <c r="G291" s="384" t="s">
        <v>246</v>
      </c>
      <c r="H291" s="27">
        <f>+'Prog 05'!H65</f>
        <v>0</v>
      </c>
      <c r="I291" s="27">
        <f>+'Prog 05'!I65</f>
        <v>0</v>
      </c>
      <c r="J291" s="27">
        <f ca="1">+'Prog 05'!J65</f>
        <v>0</v>
      </c>
      <c r="K291" s="240" t="str">
        <f t="shared" ca="1" si="63"/>
        <v>0.00%</v>
      </c>
      <c r="L291" s="27">
        <f>+'Prog 05'!L65</f>
        <v>0</v>
      </c>
      <c r="M291" s="240">
        <f t="shared" si="67"/>
        <v>0</v>
      </c>
      <c r="N291" s="27">
        <f>+'Prog 05'!N65</f>
        <v>0</v>
      </c>
      <c r="O291" s="240">
        <f t="shared" si="68"/>
        <v>0</v>
      </c>
      <c r="P291" s="27">
        <f>+'Prog 05'!P65</f>
        <v>0</v>
      </c>
      <c r="Q291" s="27">
        <f ca="1">+'Prog 05'!Q65</f>
        <v>0</v>
      </c>
      <c r="R291" s="240" t="str">
        <f t="shared" ca="1" si="66"/>
        <v>0.00%</v>
      </c>
      <c r="T291" s="858"/>
      <c r="V291" s="859"/>
      <c r="W291" s="109"/>
      <c r="X291" s="109"/>
      <c r="Y291" s="109"/>
      <c r="Z291" s="113"/>
    </row>
    <row r="292" spans="2:26" ht="15" hidden="1" customHeight="1" outlineLevel="2" x14ac:dyDescent="0.2">
      <c r="B292" s="382"/>
      <c r="C292" s="24"/>
      <c r="D292" s="32" t="s">
        <v>195</v>
      </c>
      <c r="E292" s="26"/>
      <c r="F292" s="26" t="str">
        <f t="shared" si="69"/>
        <v>33.03.418</v>
      </c>
      <c r="G292" s="384" t="s">
        <v>603</v>
      </c>
      <c r="H292" s="27">
        <f>+'Prog 05'!H66</f>
        <v>0</v>
      </c>
      <c r="I292" s="27">
        <f>+'Prog 05'!I66</f>
        <v>0</v>
      </c>
      <c r="J292" s="27">
        <f ca="1">+'Prog 05'!J66</f>
        <v>0</v>
      </c>
      <c r="K292" s="240" t="str">
        <f t="shared" ca="1" si="63"/>
        <v>0.00%</v>
      </c>
      <c r="L292" s="27">
        <f>+'Prog 05'!L66</f>
        <v>0</v>
      </c>
      <c r="M292" s="240">
        <f t="shared" si="67"/>
        <v>0</v>
      </c>
      <c r="N292" s="27">
        <f>+'Prog 05'!N66</f>
        <v>0</v>
      </c>
      <c r="O292" s="240">
        <f t="shared" si="68"/>
        <v>0</v>
      </c>
      <c r="P292" s="27">
        <f>+'Prog 05'!P66</f>
        <v>0</v>
      </c>
      <c r="Q292" s="27">
        <f ca="1">+'Prog 05'!Q66</f>
        <v>0</v>
      </c>
      <c r="R292" s="240" t="str">
        <f t="shared" ca="1" si="66"/>
        <v>0.00%</v>
      </c>
      <c r="T292" s="858"/>
      <c r="V292" s="859"/>
      <c r="W292" s="109"/>
      <c r="X292" s="109"/>
      <c r="Y292" s="109"/>
      <c r="Z292" s="113"/>
    </row>
    <row r="293" spans="2:26" ht="15" hidden="1" customHeight="1" outlineLevel="2" x14ac:dyDescent="0.2">
      <c r="B293" s="382"/>
      <c r="C293" s="24"/>
      <c r="D293" s="32" t="s">
        <v>196</v>
      </c>
      <c r="E293" s="26"/>
      <c r="F293" s="26" t="str">
        <f t="shared" si="69"/>
        <v>33.03.421</v>
      </c>
      <c r="G293" s="384" t="s">
        <v>121</v>
      </c>
      <c r="H293" s="27">
        <f>+'Prog 05'!H67</f>
        <v>0</v>
      </c>
      <c r="I293" s="27">
        <f>+'Prog 05'!I67</f>
        <v>0</v>
      </c>
      <c r="J293" s="27">
        <f ca="1">+'Prog 05'!J67</f>
        <v>0</v>
      </c>
      <c r="K293" s="240" t="str">
        <f t="shared" ca="1" si="63"/>
        <v>0.00%</v>
      </c>
      <c r="L293" s="27">
        <f>+'Prog 05'!L67</f>
        <v>0</v>
      </c>
      <c r="M293" s="240">
        <f t="shared" si="67"/>
        <v>0</v>
      </c>
      <c r="N293" s="27">
        <f>+'Prog 05'!N67</f>
        <v>0</v>
      </c>
      <c r="O293" s="240">
        <f t="shared" si="68"/>
        <v>0</v>
      </c>
      <c r="P293" s="27">
        <f>+'Prog 05'!P67</f>
        <v>0</v>
      </c>
      <c r="Q293" s="27">
        <f ca="1">+'Prog 05'!Q67</f>
        <v>0</v>
      </c>
      <c r="R293" s="240" t="str">
        <f t="shared" ca="1" si="66"/>
        <v>0.00%</v>
      </c>
      <c r="T293" s="858"/>
      <c r="V293" s="859"/>
      <c r="W293" s="109"/>
      <c r="X293" s="109"/>
      <c r="Y293" s="109"/>
      <c r="Z293" s="113"/>
    </row>
    <row r="294" spans="2:26" ht="15" hidden="1" customHeight="1" outlineLevel="2" x14ac:dyDescent="0.2">
      <c r="B294" s="382"/>
      <c r="C294" s="24"/>
      <c r="D294" s="32" t="s">
        <v>197</v>
      </c>
      <c r="E294" s="26"/>
      <c r="F294" s="26" t="str">
        <f t="shared" si="69"/>
        <v>33.03.426</v>
      </c>
      <c r="G294" s="384" t="s">
        <v>122</v>
      </c>
      <c r="H294" s="27">
        <f>+'Prog 05'!H68</f>
        <v>0</v>
      </c>
      <c r="I294" s="27">
        <f>+'Prog 05'!I68</f>
        <v>0</v>
      </c>
      <c r="J294" s="27">
        <f ca="1">+'Prog 05'!J68</f>
        <v>0</v>
      </c>
      <c r="K294" s="240" t="str">
        <f t="shared" ca="1" si="63"/>
        <v>0.00%</v>
      </c>
      <c r="L294" s="27">
        <f>+'Prog 05'!L68</f>
        <v>0</v>
      </c>
      <c r="M294" s="240">
        <f t="shared" si="67"/>
        <v>0</v>
      </c>
      <c r="N294" s="27">
        <f>+'Prog 05'!N68</f>
        <v>0</v>
      </c>
      <c r="O294" s="240">
        <f t="shared" si="68"/>
        <v>0</v>
      </c>
      <c r="P294" s="27">
        <f>+'Prog 05'!P68</f>
        <v>0</v>
      </c>
      <c r="Q294" s="27">
        <f ca="1">+'Prog 05'!Q68</f>
        <v>0</v>
      </c>
      <c r="R294" s="240" t="str">
        <f t="shared" ca="1" si="66"/>
        <v>0.00%</v>
      </c>
      <c r="T294" s="858"/>
      <c r="V294" s="859"/>
      <c r="W294" s="109"/>
      <c r="X294" s="109"/>
      <c r="Y294" s="109"/>
      <c r="Z294" s="113"/>
    </row>
    <row r="295" spans="2:26" s="47" customFormat="1" ht="15" hidden="1" customHeight="1" outlineLevel="2" x14ac:dyDescent="0.2">
      <c r="B295" s="382"/>
      <c r="C295" s="24"/>
      <c r="D295" s="32" t="s">
        <v>254</v>
      </c>
      <c r="E295" s="26"/>
      <c r="F295" s="26" t="str">
        <f t="shared" si="69"/>
        <v>33.03.427</v>
      </c>
      <c r="G295" s="384" t="s">
        <v>261</v>
      </c>
      <c r="H295" s="27">
        <v>0</v>
      </c>
      <c r="I295" s="27">
        <v>0</v>
      </c>
      <c r="J295" s="27">
        <v>0</v>
      </c>
      <c r="K295" s="240" t="str">
        <f t="shared" si="63"/>
        <v>0.00%</v>
      </c>
      <c r="L295" s="27">
        <v>0</v>
      </c>
      <c r="M295" s="240">
        <f t="shared" si="67"/>
        <v>0</v>
      </c>
      <c r="N295" s="27">
        <v>0</v>
      </c>
      <c r="O295" s="240">
        <f t="shared" si="68"/>
        <v>0</v>
      </c>
      <c r="P295" s="27">
        <v>0</v>
      </c>
      <c r="Q295" s="27">
        <v>0</v>
      </c>
      <c r="R295" s="240" t="str">
        <f t="shared" si="66"/>
        <v>0.00%</v>
      </c>
      <c r="S295" s="20"/>
      <c r="T295" s="858"/>
      <c r="U295" s="111"/>
      <c r="V295" s="859"/>
      <c r="W295" s="109"/>
      <c r="X295" s="109"/>
      <c r="Y295" s="109"/>
      <c r="Z295" s="113"/>
    </row>
    <row r="296" spans="2:26" ht="15" hidden="1" customHeight="1" outlineLevel="2" x14ac:dyDescent="0.2">
      <c r="B296" s="382"/>
      <c r="C296" s="24"/>
      <c r="D296" s="32" t="s">
        <v>255</v>
      </c>
      <c r="E296" s="26"/>
      <c r="F296" s="26" t="str">
        <f t="shared" si="69"/>
        <v>33.03.428</v>
      </c>
      <c r="G296" s="384" t="s">
        <v>262</v>
      </c>
      <c r="H296" s="27">
        <v>0</v>
      </c>
      <c r="I296" s="27">
        <v>0</v>
      </c>
      <c r="J296" s="27">
        <v>0</v>
      </c>
      <c r="K296" s="240" t="str">
        <f t="shared" si="63"/>
        <v>0.00%</v>
      </c>
      <c r="L296" s="27">
        <v>0</v>
      </c>
      <c r="M296" s="240">
        <f t="shared" si="67"/>
        <v>0</v>
      </c>
      <c r="N296" s="27">
        <v>0</v>
      </c>
      <c r="O296" s="240">
        <f t="shared" si="68"/>
        <v>0</v>
      </c>
      <c r="P296" s="27">
        <v>0</v>
      </c>
      <c r="Q296" s="27">
        <v>0</v>
      </c>
      <c r="R296" s="240" t="str">
        <f t="shared" si="66"/>
        <v>0.00%</v>
      </c>
      <c r="T296" s="858"/>
      <c r="V296" s="859"/>
      <c r="W296" s="109"/>
      <c r="X296" s="109"/>
      <c r="Y296" s="109"/>
      <c r="Z296" s="113"/>
    </row>
    <row r="297" spans="2:26" ht="15" hidden="1" customHeight="1" outlineLevel="2" x14ac:dyDescent="0.2">
      <c r="B297" s="382"/>
      <c r="C297" s="24"/>
      <c r="D297" s="32" t="s">
        <v>198</v>
      </c>
      <c r="E297" s="26"/>
      <c r="F297" s="26" t="str">
        <f t="shared" si="69"/>
        <v>33.03.429</v>
      </c>
      <c r="G297" s="384" t="s">
        <v>593</v>
      </c>
      <c r="H297" s="27">
        <v>0</v>
      </c>
      <c r="I297" s="27">
        <v>0</v>
      </c>
      <c r="J297" s="27">
        <v>0</v>
      </c>
      <c r="K297" s="240" t="str">
        <f t="shared" si="63"/>
        <v>0.00%</v>
      </c>
      <c r="L297" s="27">
        <v>0</v>
      </c>
      <c r="M297" s="240">
        <f t="shared" si="67"/>
        <v>0</v>
      </c>
      <c r="N297" s="27">
        <v>0</v>
      </c>
      <c r="O297" s="240">
        <f t="shared" si="68"/>
        <v>0</v>
      </c>
      <c r="P297" s="27">
        <v>0</v>
      </c>
      <c r="Q297" s="27">
        <v>0</v>
      </c>
      <c r="R297" s="240" t="str">
        <f t="shared" si="66"/>
        <v>0.00%</v>
      </c>
      <c r="T297" s="858"/>
      <c r="V297" s="859"/>
      <c r="W297" s="109"/>
      <c r="X297" s="109"/>
      <c r="Y297" s="109"/>
      <c r="Z297" s="113"/>
    </row>
    <row r="298" spans="2:26" ht="15" hidden="1" customHeight="1" outlineLevel="2" x14ac:dyDescent="0.2">
      <c r="B298" s="382"/>
      <c r="C298" s="24"/>
      <c r="D298" s="32" t="s">
        <v>584</v>
      </c>
      <c r="E298" s="26"/>
      <c r="F298" s="26" t="str">
        <f t="shared" si="69"/>
        <v>33.03.431</v>
      </c>
      <c r="G298" s="384" t="s">
        <v>604</v>
      </c>
      <c r="H298" s="27">
        <v>0</v>
      </c>
      <c r="I298" s="27">
        <v>0</v>
      </c>
      <c r="J298" s="27">
        <v>0</v>
      </c>
      <c r="K298" s="240" t="str">
        <f t="shared" si="63"/>
        <v>0.00%</v>
      </c>
      <c r="L298" s="27">
        <v>0</v>
      </c>
      <c r="M298" s="240">
        <f t="shared" si="67"/>
        <v>0</v>
      </c>
      <c r="N298" s="27">
        <v>0</v>
      </c>
      <c r="O298" s="240">
        <f t="shared" si="68"/>
        <v>0</v>
      </c>
      <c r="P298" s="27">
        <v>0</v>
      </c>
      <c r="Q298" s="27">
        <v>0</v>
      </c>
      <c r="R298" s="240" t="str">
        <f t="shared" si="66"/>
        <v>0.00%</v>
      </c>
      <c r="T298" s="858"/>
      <c r="V298" s="859"/>
      <c r="W298" s="109"/>
      <c r="X298" s="109"/>
      <c r="Y298" s="109"/>
      <c r="Z298" s="113"/>
    </row>
    <row r="299" spans="2:26" ht="15" hidden="1" customHeight="1" outlineLevel="2" x14ac:dyDescent="0.2">
      <c r="B299" s="382"/>
      <c r="C299" s="24"/>
      <c r="D299" s="32" t="s">
        <v>635</v>
      </c>
      <c r="E299" s="26"/>
      <c r="F299" s="26" t="str">
        <f t="shared" si="69"/>
        <v>33.03.432</v>
      </c>
      <c r="G299" s="384" t="s">
        <v>634</v>
      </c>
      <c r="H299" s="27">
        <f>+'Prog 05'!H60</f>
        <v>19944797</v>
      </c>
      <c r="I299" s="27">
        <f>+'Prog 05'!I60</f>
        <v>5646060</v>
      </c>
      <c r="J299" s="27">
        <f ca="1">+'Prog 05'!J60</f>
        <v>0</v>
      </c>
      <c r="K299" s="240">
        <f t="shared" ca="1" si="63"/>
        <v>0</v>
      </c>
      <c r="L299" s="27">
        <f>+'Prog 05'!L60</f>
        <v>0</v>
      </c>
      <c r="M299" s="240">
        <f t="shared" si="67"/>
        <v>0</v>
      </c>
      <c r="N299" s="27">
        <f>+'Prog 05'!N60</f>
        <v>5646060</v>
      </c>
      <c r="O299" s="240">
        <f t="shared" si="68"/>
        <v>1</v>
      </c>
      <c r="P299" s="27">
        <f>+'Prog 05'!P60</f>
        <v>11010972.384</v>
      </c>
      <c r="Q299" s="27">
        <v>0</v>
      </c>
      <c r="R299" s="240">
        <f t="shared" si="66"/>
        <v>0</v>
      </c>
      <c r="T299" s="858"/>
      <c r="V299" s="859"/>
      <c r="W299" s="109"/>
      <c r="X299" s="109"/>
      <c r="Y299" s="109"/>
      <c r="Z299" s="113"/>
    </row>
    <row r="300" spans="2:26" ht="15" hidden="1" customHeight="1" outlineLevel="2" x14ac:dyDescent="0.2">
      <c r="B300" s="382"/>
      <c r="C300" s="24"/>
      <c r="D300" s="32" t="s">
        <v>632</v>
      </c>
      <c r="E300" s="26"/>
      <c r="F300" s="26" t="str">
        <f t="shared" si="69"/>
        <v>33.03.433</v>
      </c>
      <c r="G300" s="384" t="s">
        <v>631</v>
      </c>
      <c r="H300" s="27">
        <v>0</v>
      </c>
      <c r="I300" s="27">
        <v>0</v>
      </c>
      <c r="J300" s="27">
        <v>0</v>
      </c>
      <c r="K300" s="240" t="str">
        <f t="shared" si="63"/>
        <v>0.00%</v>
      </c>
      <c r="L300" s="27">
        <v>0</v>
      </c>
      <c r="M300" s="240">
        <f t="shared" si="67"/>
        <v>0</v>
      </c>
      <c r="N300" s="27">
        <v>0</v>
      </c>
      <c r="O300" s="240">
        <f t="shared" si="68"/>
        <v>0</v>
      </c>
      <c r="P300" s="27">
        <v>0</v>
      </c>
      <c r="Q300" s="27">
        <v>0</v>
      </c>
      <c r="R300" s="240" t="str">
        <f t="shared" si="66"/>
        <v>0.00%</v>
      </c>
      <c r="T300" s="858"/>
      <c r="V300" s="859"/>
      <c r="W300" s="109"/>
      <c r="X300" s="109"/>
      <c r="Y300" s="109"/>
      <c r="Z300" s="113"/>
    </row>
    <row r="301" spans="2:26" ht="15" hidden="1" customHeight="1" outlineLevel="2" x14ac:dyDescent="0.2">
      <c r="B301" s="382"/>
      <c r="C301" s="24"/>
      <c r="D301" s="32" t="s">
        <v>314</v>
      </c>
      <c r="E301" s="26"/>
      <c r="F301" s="26" t="str">
        <f t="shared" si="69"/>
        <v>33.03.602</v>
      </c>
      <c r="G301" s="384" t="s">
        <v>323</v>
      </c>
      <c r="H301" s="27">
        <f>+SUM(H302:H306)</f>
        <v>1419191</v>
      </c>
      <c r="I301" s="27">
        <f>+SUM(I302:I306)</f>
        <v>1348231</v>
      </c>
      <c r="J301" s="27">
        <f ca="1">+SUM(J302:J306)</f>
        <v>292869.52399999998</v>
      </c>
      <c r="K301" s="240">
        <f t="shared" ca="1" si="63"/>
        <v>0.21722503339561244</v>
      </c>
      <c r="L301" s="27">
        <f>+SUM(L302:L306)</f>
        <v>1060582.2739999997</v>
      </c>
      <c r="M301" s="240">
        <f t="shared" si="67"/>
        <v>0.78664729857123872</v>
      </c>
      <c r="N301" s="27">
        <f>+SUM(N302:N306)</f>
        <v>287648.72599999997</v>
      </c>
      <c r="O301" s="240">
        <f t="shared" si="68"/>
        <v>0.21335270142876106</v>
      </c>
      <c r="P301" s="27">
        <f>+SUM(P302:P306)</f>
        <v>1319079.2620000001</v>
      </c>
      <c r="Q301" s="27">
        <f>+SUM(Q302:Q306)</f>
        <v>496909.17986199999</v>
      </c>
      <c r="R301" s="240">
        <f t="shared" si="66"/>
        <v>0.37670911383185701</v>
      </c>
      <c r="T301" s="858"/>
      <c r="V301" s="859"/>
      <c r="W301" s="109"/>
      <c r="X301" s="109"/>
      <c r="Y301" s="109"/>
      <c r="Z301" s="113"/>
    </row>
    <row r="302" spans="2:26" ht="15" hidden="1" customHeight="1" outlineLevel="2" x14ac:dyDescent="0.2">
      <c r="B302" s="382"/>
      <c r="C302" s="24"/>
      <c r="D302" s="32" t="s">
        <v>165</v>
      </c>
      <c r="E302" s="26"/>
      <c r="F302" s="26" t="str">
        <f t="shared" si="69"/>
        <v>33.03.001</v>
      </c>
      <c r="G302" s="384" t="s">
        <v>687</v>
      </c>
      <c r="H302" s="27">
        <f>+'Prog 02'!H56</f>
        <v>707902</v>
      </c>
      <c r="I302" s="27">
        <f>+'Prog 02'!I56</f>
        <v>630000.18299999996</v>
      </c>
      <c r="J302" s="27">
        <f ca="1">+'Prog 02'!J56</f>
        <v>0</v>
      </c>
      <c r="K302" s="240">
        <f t="shared" ca="1" si="63"/>
        <v>0</v>
      </c>
      <c r="L302" s="27">
        <f>+'Prog 02'!L56</f>
        <v>550000</v>
      </c>
      <c r="M302" s="240">
        <f t="shared" si="67"/>
        <v>0.87301561942562167</v>
      </c>
      <c r="N302" s="27">
        <f>+'Prog 02'!N56</f>
        <v>80000.182999999961</v>
      </c>
      <c r="O302" s="240">
        <f t="shared" si="68"/>
        <v>0.12698438057437827</v>
      </c>
      <c r="P302" s="27">
        <f>+'Prog 02'!P56</f>
        <v>533912.46400000004</v>
      </c>
      <c r="Q302" s="27">
        <f>+'Prog 02'!Q56</f>
        <v>310800.96720199997</v>
      </c>
      <c r="R302" s="240">
        <f t="shared" si="66"/>
        <v>0.58211970717731731</v>
      </c>
      <c r="T302" s="858"/>
      <c r="V302" s="859"/>
      <c r="W302" s="109"/>
      <c r="X302" s="109"/>
      <c r="Y302" s="109"/>
      <c r="Z302" s="113"/>
    </row>
    <row r="303" spans="2:26" ht="15" hidden="1" customHeight="1" outlineLevel="2" x14ac:dyDescent="0.2">
      <c r="B303" s="382"/>
      <c r="C303" s="24"/>
      <c r="D303" s="32" t="s">
        <v>161</v>
      </c>
      <c r="E303" s="26"/>
      <c r="F303" s="26" t="str">
        <f t="shared" si="69"/>
        <v>33.03.002</v>
      </c>
      <c r="G303" s="384" t="s">
        <v>688</v>
      </c>
      <c r="H303" s="27">
        <f>+'Prog 02'!H57</f>
        <v>311367.39799999999</v>
      </c>
      <c r="I303" s="27">
        <f>+'Prog 02'!I57</f>
        <v>349310</v>
      </c>
      <c r="J303" s="27">
        <f ca="1">+'Prog 02'!J57</f>
        <v>102099.482</v>
      </c>
      <c r="K303" s="240">
        <f t="shared" ca="1" si="63"/>
        <v>0.29228903266439554</v>
      </c>
      <c r="L303" s="27">
        <f>+'Prog 02'!L57</f>
        <v>188508.32500000001</v>
      </c>
      <c r="M303" s="240">
        <f t="shared" si="67"/>
        <v>0.53965911368125741</v>
      </c>
      <c r="N303" s="27">
        <f>+'Prog 02'!N57</f>
        <v>160801.67499999999</v>
      </c>
      <c r="O303" s="240">
        <f t="shared" si="68"/>
        <v>0.46034088631874265</v>
      </c>
      <c r="P303" s="27">
        <f>+'Prog 02'!P57</f>
        <v>337841.408</v>
      </c>
      <c r="Q303" s="27">
        <f>+'Prog 02'!Q57</f>
        <v>109656.88314400001</v>
      </c>
      <c r="R303" s="240">
        <f t="shared" si="66"/>
        <v>0.32458094403868931</v>
      </c>
      <c r="T303" s="858"/>
      <c r="V303" s="859"/>
      <c r="W303" s="109"/>
      <c r="X303" s="109"/>
      <c r="Y303" s="109"/>
      <c r="Z303" s="113"/>
    </row>
    <row r="304" spans="2:26" ht="15" hidden="1" customHeight="1" outlineLevel="2" x14ac:dyDescent="0.2">
      <c r="B304" s="382"/>
      <c r="C304" s="24"/>
      <c r="D304" s="32" t="s">
        <v>162</v>
      </c>
      <c r="E304" s="26"/>
      <c r="F304" s="26" t="str">
        <f t="shared" si="69"/>
        <v>33.03.003</v>
      </c>
      <c r="G304" s="384" t="s">
        <v>689</v>
      </c>
      <c r="H304" s="27">
        <f>+'Prog 02'!H58</f>
        <v>236820.785</v>
      </c>
      <c r="I304" s="27">
        <f>+'Prog 02'!I58</f>
        <v>254819.58100000001</v>
      </c>
      <c r="J304" s="27">
        <f ca="1">+'Prog 02'!J58</f>
        <v>156513.58300000001</v>
      </c>
      <c r="K304" s="240">
        <f t="shared" ca="1" si="63"/>
        <v>0.61421332844904097</v>
      </c>
      <c r="L304" s="27">
        <f>+'Prog 02'!L58</f>
        <v>254475.19</v>
      </c>
      <c r="M304" s="240">
        <f t="shared" si="67"/>
        <v>0.99864849083163665</v>
      </c>
      <c r="N304" s="27">
        <f>+'Prog 02'!N58</f>
        <v>344.39100000000326</v>
      </c>
      <c r="O304" s="240">
        <f t="shared" si="68"/>
        <v>1.3515091683633342E-3</v>
      </c>
      <c r="P304" s="27">
        <f>+'Prog 02'!P58</f>
        <v>279265.37800000003</v>
      </c>
      <c r="Q304" s="27">
        <f>+'Prog 02'!Q58</f>
        <v>65619.741599999994</v>
      </c>
      <c r="R304" s="240">
        <f t="shared" si="66"/>
        <v>0.23497270614046539</v>
      </c>
      <c r="T304" s="858"/>
      <c r="V304" s="859"/>
      <c r="W304" s="109"/>
      <c r="X304" s="109"/>
      <c r="Y304" s="109"/>
      <c r="Z304" s="113"/>
    </row>
    <row r="305" spans="2:26" ht="15" hidden="1" customHeight="1" outlineLevel="2" x14ac:dyDescent="0.2">
      <c r="B305" s="382"/>
      <c r="C305" s="24"/>
      <c r="D305" s="32" t="s">
        <v>175</v>
      </c>
      <c r="E305" s="26"/>
      <c r="F305" s="26" t="str">
        <f t="shared" si="69"/>
        <v>33.03.004</v>
      </c>
      <c r="G305" s="384" t="s">
        <v>612</v>
      </c>
      <c r="H305" s="27">
        <f>+'Prog 02'!H59</f>
        <v>91100.816999999995</v>
      </c>
      <c r="I305" s="27">
        <f>+'Prog 02'!I59</f>
        <v>49101.235999999997</v>
      </c>
      <c r="J305" s="27">
        <f ca="1">+'Prog 02'!J59</f>
        <v>2598.759</v>
      </c>
      <c r="K305" s="240">
        <f t="shared" ca="1" si="63"/>
        <v>5.2926549547551105E-2</v>
      </c>
      <c r="L305" s="27">
        <f>+'Prog 02'!L59</f>
        <v>2598.759</v>
      </c>
      <c r="M305" s="240">
        <f t="shared" si="67"/>
        <v>5.2926549547551105E-2</v>
      </c>
      <c r="N305" s="27">
        <f>+'Prog 02'!N59</f>
        <v>46502.476999999999</v>
      </c>
      <c r="O305" s="240">
        <f t="shared" si="68"/>
        <v>0.94707345045244895</v>
      </c>
      <c r="P305" s="27">
        <f>+'Prog 02'!P59</f>
        <v>43020.012000000002</v>
      </c>
      <c r="Q305" s="27">
        <f>+'Prog 02'!Q59</f>
        <v>10831.587916</v>
      </c>
      <c r="R305" s="240">
        <f t="shared" si="66"/>
        <v>0.25178021605386813</v>
      </c>
      <c r="T305" s="858"/>
      <c r="V305" s="859"/>
      <c r="W305" s="109"/>
      <c r="X305" s="109"/>
      <c r="Y305" s="109"/>
      <c r="Z305" s="113"/>
    </row>
    <row r="306" spans="2:26" ht="15" hidden="1" customHeight="1" outlineLevel="2" x14ac:dyDescent="0.2">
      <c r="B306" s="382"/>
      <c r="C306" s="24"/>
      <c r="D306" s="32" t="s">
        <v>176</v>
      </c>
      <c r="E306" s="26"/>
      <c r="F306" s="26" t="str">
        <f t="shared" si="69"/>
        <v>33.03.005</v>
      </c>
      <c r="G306" s="384" t="s">
        <v>614</v>
      </c>
      <c r="H306" s="27">
        <f>+'Prog 02'!H60</f>
        <v>72000</v>
      </c>
      <c r="I306" s="27">
        <f>+'Prog 02'!I60</f>
        <v>65000</v>
      </c>
      <c r="J306" s="27">
        <f ca="1">+'Prog 02'!J60</f>
        <v>31657.7</v>
      </c>
      <c r="K306" s="240">
        <f t="shared" ca="1" si="63"/>
        <v>0.48704153846153847</v>
      </c>
      <c r="L306" s="27">
        <f>+'Prog 02'!L60</f>
        <v>65000</v>
      </c>
      <c r="M306" s="240">
        <f t="shared" si="67"/>
        <v>1</v>
      </c>
      <c r="N306" s="27">
        <f>+'Prog 02'!N60</f>
        <v>0</v>
      </c>
      <c r="O306" s="240">
        <f t="shared" si="68"/>
        <v>0</v>
      </c>
      <c r="P306" s="27">
        <f>+'Prog 02'!P60</f>
        <v>125040</v>
      </c>
      <c r="Q306" s="27">
        <f>+'Prog 02'!Q60</f>
        <v>0</v>
      </c>
      <c r="R306" s="240">
        <f t="shared" si="66"/>
        <v>0</v>
      </c>
      <c r="T306" s="858"/>
      <c r="V306" s="859"/>
      <c r="W306" s="109"/>
      <c r="X306" s="109"/>
      <c r="Y306" s="109"/>
      <c r="Z306" s="113"/>
    </row>
    <row r="307" spans="2:26" ht="16.149999999999999" customHeight="1" collapsed="1" x14ac:dyDescent="0.2">
      <c r="B307" s="382">
        <v>34</v>
      </c>
      <c r="C307" s="24"/>
      <c r="D307" s="25"/>
      <c r="E307" s="26"/>
      <c r="F307" s="26"/>
      <c r="G307" s="383" t="s">
        <v>83</v>
      </c>
      <c r="H307" s="27">
        <f>+'Prog 01'!I208+'Prog 02'!H61+'Prog 03'!H61</f>
        <v>16451829.199999999</v>
      </c>
      <c r="I307" s="27">
        <f>'Prog 01'!J208+'Prog 02'!I61+'Prog 03'!I61+'Prog 05'!I70</f>
        <v>63489002.200000003</v>
      </c>
      <c r="J307" s="27">
        <f ca="1">'Prog 01'!K208+'Prog 02'!J61+'Prog 03'!J61+'Prog 05'!J70</f>
        <v>58561846.325999998</v>
      </c>
      <c r="K307" s="240">
        <f t="shared" ca="1" si="63"/>
        <v>0.92239355316250338</v>
      </c>
      <c r="L307" s="27">
        <f>'Prog 01'!M208+'Prog 02'!L61+'Prog 03'!L61+'Prog 05'!L70</f>
        <v>58561846.325999998</v>
      </c>
      <c r="M307" s="240">
        <f t="shared" si="67"/>
        <v>0.92239355316250338</v>
      </c>
      <c r="N307" s="27">
        <f>+'Prog 01'!O208+'Prog 02'!N61+'Prog 03'!N61+'Prog 05'!N70</f>
        <v>4927155.8740000064</v>
      </c>
      <c r="O307" s="240">
        <f t="shared" si="68"/>
        <v>7.7606446837496623E-2</v>
      </c>
      <c r="P307" s="27">
        <f>SUM(P308:P311)</f>
        <v>41410042.182800002</v>
      </c>
      <c r="Q307" s="27">
        <f ca="1">SUM(Q308:Q311)</f>
        <v>35760495.239439994</v>
      </c>
      <c r="R307" s="240">
        <v>1</v>
      </c>
      <c r="T307" s="858"/>
      <c r="V307" s="859"/>
      <c r="W307" s="109"/>
      <c r="X307" s="109"/>
      <c r="Y307" s="109"/>
      <c r="Z307" s="113"/>
    </row>
    <row r="308" spans="2:26" ht="15" hidden="1" customHeight="1" outlineLevel="1" x14ac:dyDescent="0.2">
      <c r="B308" s="382"/>
      <c r="C308" s="555" t="s">
        <v>89</v>
      </c>
      <c r="D308" s="25"/>
      <c r="E308" s="26"/>
      <c r="F308" s="26" t="s">
        <v>199</v>
      </c>
      <c r="G308" s="384" t="s">
        <v>84</v>
      </c>
      <c r="H308" s="27">
        <f>+VLOOKUP(F308,matriz01,3,FALSE)</f>
        <v>13716466</v>
      </c>
      <c r="I308" s="27">
        <f>'Prog 01'!J209</f>
        <v>13716466</v>
      </c>
      <c r="J308" s="27">
        <f ca="1">+VLOOKUP(F308,matriz01,5,FALSE)</f>
        <v>9000105.0170000009</v>
      </c>
      <c r="K308" s="240">
        <f t="shared" ca="1" si="63"/>
        <v>0.65615334277794302</v>
      </c>
      <c r="L308" s="27">
        <f>+'Prog 01'!M204</f>
        <v>0</v>
      </c>
      <c r="M308" s="240">
        <f t="shared" si="67"/>
        <v>0</v>
      </c>
      <c r="N308" s="27">
        <f>+I308-L308</f>
        <v>13716466</v>
      </c>
      <c r="O308" s="240">
        <f t="shared" si="68"/>
        <v>1</v>
      </c>
      <c r="P308" s="27">
        <f>+'Prog 01'!Q209</f>
        <v>13220615.702</v>
      </c>
      <c r="Q308" s="27">
        <f ca="1">+'Prog 01'!R209</f>
        <v>7571170.4620079994</v>
      </c>
      <c r="R308" s="240">
        <f t="shared" ca="1" si="66"/>
        <v>0.57267911212808653</v>
      </c>
      <c r="T308" s="858"/>
      <c r="V308" s="859"/>
      <c r="W308" s="109"/>
      <c r="Z308" s="113"/>
    </row>
    <row r="309" spans="2:26" ht="15" hidden="1" customHeight="1" outlineLevel="1" x14ac:dyDescent="0.2">
      <c r="B309" s="382"/>
      <c r="C309" s="555" t="s">
        <v>90</v>
      </c>
      <c r="D309" s="25"/>
      <c r="E309" s="26"/>
      <c r="F309" s="26" t="s">
        <v>200</v>
      </c>
      <c r="G309" s="384" t="s">
        <v>85</v>
      </c>
      <c r="H309" s="27">
        <f>+VLOOKUP(F309,matriz01,3,FALSE)</f>
        <v>2528207</v>
      </c>
      <c r="I309" s="27">
        <f>'Prog 01'!J210</f>
        <v>2528207</v>
      </c>
      <c r="J309" s="27">
        <f ca="1">+VLOOKUP(F309,matriz01,5,FALSE)</f>
        <v>2528207.0000000005</v>
      </c>
      <c r="K309" s="240">
        <f t="shared" ca="1" si="63"/>
        <v>1.0000000000000002</v>
      </c>
      <c r="L309" s="27">
        <f>+'Prog 01'!M205</f>
        <v>0</v>
      </c>
      <c r="M309" s="240">
        <f t="shared" si="67"/>
        <v>0</v>
      </c>
      <c r="N309" s="27">
        <f>+I309-L309</f>
        <v>2528207</v>
      </c>
      <c r="O309" s="240">
        <f t="shared" si="68"/>
        <v>1</v>
      </c>
      <c r="P309" s="27">
        <f>+'Prog 01'!Q210</f>
        <v>2668877.7260000003</v>
      </c>
      <c r="Q309" s="27">
        <f ca="1">+'Prog 01'!R210</f>
        <v>2668877.7260000003</v>
      </c>
      <c r="R309" s="240">
        <f t="shared" ca="1" si="66"/>
        <v>1</v>
      </c>
      <c r="T309" s="858"/>
      <c r="V309" s="859"/>
      <c r="W309" s="109"/>
      <c r="Z309" s="113"/>
    </row>
    <row r="310" spans="2:26" ht="15" hidden="1" customHeight="1" outlineLevel="1" x14ac:dyDescent="0.2">
      <c r="B310" s="382"/>
      <c r="C310" s="555">
        <v>6</v>
      </c>
      <c r="D310" s="25"/>
      <c r="E310" s="26"/>
      <c r="F310" s="177">
        <v>34.06</v>
      </c>
      <c r="G310" s="384" t="s">
        <v>286</v>
      </c>
      <c r="H310" s="27">
        <v>0</v>
      </c>
      <c r="I310" s="27">
        <f>'Prog 01'!J211</f>
        <v>207126</v>
      </c>
      <c r="J310" s="27">
        <v>0</v>
      </c>
      <c r="K310" s="240">
        <f t="shared" si="63"/>
        <v>0</v>
      </c>
      <c r="L310" s="27">
        <f>+'Prog 01'!M206</f>
        <v>0</v>
      </c>
      <c r="M310" s="240">
        <f t="shared" si="67"/>
        <v>0</v>
      </c>
      <c r="N310" s="27">
        <f>+I310-L310</f>
        <v>207126</v>
      </c>
      <c r="O310" s="240">
        <f t="shared" si="68"/>
        <v>1</v>
      </c>
      <c r="P310" s="27">
        <f>+'Prog 01'!Q211</f>
        <v>0</v>
      </c>
      <c r="Q310" s="27">
        <f ca="1">+'Prog 01'!R211</f>
        <v>0</v>
      </c>
      <c r="R310" s="240" t="str">
        <f t="shared" ca="1" si="66"/>
        <v>0.00%</v>
      </c>
      <c r="T310" s="858"/>
      <c r="V310" s="859"/>
      <c r="W310" s="109"/>
      <c r="Z310" s="113"/>
    </row>
    <row r="311" spans="2:26" ht="15" hidden="1" customHeight="1" outlineLevel="1" x14ac:dyDescent="0.2">
      <c r="B311" s="382"/>
      <c r="C311" s="555">
        <v>7</v>
      </c>
      <c r="D311" s="25"/>
      <c r="E311" s="26"/>
      <c r="F311" s="26" t="s">
        <v>201</v>
      </c>
      <c r="G311" s="384" t="s">
        <v>127</v>
      </c>
      <c r="H311" s="27">
        <f>+'Prog 01'!I212+'Prog 02'!H62+'Prog 03'!H62+'Prog 05'!H71</f>
        <v>30.200000000000003</v>
      </c>
      <c r="I311" s="27">
        <f>'Prog 01'!J212+'Prog 02'!I62+'Prog 03'!I62+'Prog 05'!I71</f>
        <v>47037203.200000003</v>
      </c>
      <c r="J311" s="27">
        <f ca="1">+'Prog 01'!K212+'Prog 02'!J62+'Prog 03'!J62+'Prog 05'!J71</f>
        <v>47033534.308999993</v>
      </c>
      <c r="K311" s="240">
        <f t="shared" ca="1" si="63"/>
        <v>0.9999220002306598</v>
      </c>
      <c r="L311" s="27">
        <f>+'Prog 01'!M207+'Prog 02'!L61+'Prog 03'!L62+'Prog 05'!L71</f>
        <v>45344201.540999994</v>
      </c>
      <c r="M311" s="240">
        <f t="shared" si="67"/>
        <v>0.9640071784922789</v>
      </c>
      <c r="N311" s="27">
        <f>+I311-L311</f>
        <v>1693001.6590000093</v>
      </c>
      <c r="O311" s="240">
        <f t="shared" si="68"/>
        <v>3.599282150772113E-2</v>
      </c>
      <c r="P311" s="27">
        <f>+'Prog 01'!Q212+'Prog 02'!P62+'Prog 03'!P62+'Prog 05'!P71</f>
        <v>25520548.754800003</v>
      </c>
      <c r="Q311" s="27">
        <f ca="1">+'Prog 01'!R212+'Prog 02'!Q62+'Prog 03'!Q62+'Prog 05'!Q70</f>
        <v>25520447.051431999</v>
      </c>
      <c r="R311" s="240">
        <f t="shared" ca="1" si="66"/>
        <v>0.99999601484399958</v>
      </c>
      <c r="T311" s="858"/>
      <c r="V311" s="859"/>
      <c r="W311" s="109"/>
      <c r="Z311" s="113"/>
    </row>
    <row r="312" spans="2:26" ht="15" hidden="1" customHeight="1" collapsed="1" x14ac:dyDescent="0.2">
      <c r="B312" s="382">
        <v>35</v>
      </c>
      <c r="C312" s="24"/>
      <c r="D312" s="25"/>
      <c r="E312" s="26"/>
      <c r="F312" s="26"/>
      <c r="G312" s="383" t="s">
        <v>124</v>
      </c>
      <c r="H312" s="28">
        <f>+'Prog 01'!I213+'Prog 02'!H63+'Prog 03'!H63+'Prog 05'!H72</f>
        <v>0</v>
      </c>
      <c r="I312" s="28">
        <f>'Prog 01'!J213+'Prog 02'!I63+'Prog 03'!I63+'Prog 05'!I72</f>
        <v>0</v>
      </c>
      <c r="J312" s="28">
        <v>0</v>
      </c>
      <c r="K312" s="240" t="str">
        <f t="shared" si="63"/>
        <v>0.00%</v>
      </c>
      <c r="L312" s="27">
        <f>+'Prog 01'!M218+'Prog 02'!L63+'Prog 03'!L63+'Prog 05'!L72</f>
        <v>0</v>
      </c>
      <c r="M312" s="240">
        <f t="shared" si="67"/>
        <v>0</v>
      </c>
      <c r="N312" s="27">
        <f>+'Prog 01'!O213</f>
        <v>0</v>
      </c>
      <c r="O312" s="240">
        <f t="shared" si="68"/>
        <v>0</v>
      </c>
      <c r="P312" s="27">
        <f>+'Prog 01'!Q213+'Prog 02'!P63+'Prog 03'!P63+'Prog 05'!P72</f>
        <v>0</v>
      </c>
      <c r="Q312" s="27">
        <v>0</v>
      </c>
      <c r="R312" s="240" t="str">
        <f t="shared" si="66"/>
        <v>0.00%</v>
      </c>
      <c r="T312" s="858"/>
      <c r="V312" s="859"/>
      <c r="W312" s="109"/>
    </row>
    <row r="313" spans="2:26" s="20" customFormat="1" x14ac:dyDescent="0.2">
      <c r="B313" s="634"/>
      <c r="C313" s="635"/>
      <c r="D313" s="636"/>
      <c r="E313" s="637"/>
      <c r="F313" s="637"/>
      <c r="G313" s="16"/>
      <c r="H313" s="16"/>
      <c r="I313" s="638"/>
      <c r="J313" s="638"/>
      <c r="K313" s="639"/>
      <c r="L313" s="640"/>
      <c r="M313" s="639"/>
      <c r="N313" s="640"/>
      <c r="O313" s="639"/>
      <c r="P313" s="638"/>
      <c r="Q313" s="638"/>
      <c r="R313" s="641"/>
      <c r="S313" s="642"/>
      <c r="T313" s="643"/>
      <c r="U313" s="643"/>
      <c r="V313" s="643"/>
    </row>
    <row r="314" spans="2:26" s="20" customFormat="1" x14ac:dyDescent="0.2">
      <c r="B314" s="1224" t="s">
        <v>148</v>
      </c>
      <c r="C314" s="1224"/>
      <c r="D314" s="1224"/>
      <c r="E314" s="1224"/>
      <c r="F314" s="1224"/>
      <c r="G314" s="1224"/>
      <c r="H314" s="1224"/>
      <c r="I314" s="1224"/>
      <c r="J314" s="1224"/>
      <c r="K314" s="1224"/>
      <c r="L314" s="1224"/>
      <c r="M314" s="1224"/>
      <c r="N314" s="1224"/>
      <c r="O314" s="1224"/>
      <c r="P314" s="1224"/>
      <c r="Q314" s="1224"/>
      <c r="R314" s="1224"/>
      <c r="S314" s="1220"/>
      <c r="T314" s="51"/>
      <c r="U314" s="51"/>
      <c r="V314" s="51"/>
    </row>
    <row r="315" spans="2:26" s="20" customFormat="1" ht="18.75" customHeight="1" x14ac:dyDescent="0.2">
      <c r="B315" s="1227" t="s">
        <v>277</v>
      </c>
      <c r="C315" s="1227"/>
      <c r="D315" s="1227"/>
      <c r="E315" s="1227"/>
      <c r="F315" s="1227"/>
      <c r="G315" s="1227"/>
      <c r="H315" s="1225" t="s">
        <v>1000</v>
      </c>
      <c r="I315" s="1225"/>
      <c r="J315" s="1225"/>
      <c r="K315" s="1225"/>
      <c r="L315" s="1225"/>
      <c r="M315" s="1225"/>
      <c r="N315" s="1225"/>
      <c r="O315" s="1225"/>
      <c r="P315" s="1218" t="s">
        <v>870</v>
      </c>
      <c r="Q315" s="1218"/>
      <c r="R315" s="1218"/>
      <c r="S315" s="1221"/>
      <c r="T315" s="51"/>
      <c r="U315" s="51"/>
      <c r="V315" s="51"/>
    </row>
    <row r="316" spans="2:26" s="20" customFormat="1" ht="15.75" hidden="1" customHeight="1" thickBot="1" x14ac:dyDescent="0.25">
      <c r="B316" s="1227"/>
      <c r="C316" s="1227"/>
      <c r="D316" s="1227"/>
      <c r="E316" s="1227"/>
      <c r="F316" s="1227"/>
      <c r="G316" s="1227"/>
      <c r="H316" s="864" t="s">
        <v>129</v>
      </c>
      <c r="I316" s="839" t="s">
        <v>130</v>
      </c>
      <c r="J316" s="839" t="s">
        <v>131</v>
      </c>
      <c r="K316" s="841" t="s">
        <v>132</v>
      </c>
      <c r="L316" s="865" t="s">
        <v>702</v>
      </c>
      <c r="M316" s="866" t="s">
        <v>704</v>
      </c>
      <c r="N316" s="865" t="s">
        <v>703</v>
      </c>
      <c r="O316" s="867" t="s">
        <v>705</v>
      </c>
      <c r="P316" s="840" t="s">
        <v>129</v>
      </c>
      <c r="Q316" s="840" t="s">
        <v>130</v>
      </c>
      <c r="R316" s="844" t="s">
        <v>133</v>
      </c>
      <c r="S316" s="810" t="s">
        <v>711</v>
      </c>
      <c r="T316" s="51"/>
      <c r="U316" s="51"/>
      <c r="V316" s="51"/>
    </row>
    <row r="317" spans="2:26" s="20" customFormat="1" ht="54" customHeight="1" x14ac:dyDescent="0.2">
      <c r="B317" s="1227"/>
      <c r="C317" s="1227"/>
      <c r="D317" s="1227"/>
      <c r="E317" s="1227"/>
      <c r="F317" s="1227"/>
      <c r="G317" s="1227"/>
      <c r="H317" s="845" t="s">
        <v>993</v>
      </c>
      <c r="I317" s="845" t="s">
        <v>994</v>
      </c>
      <c r="J317" s="845" t="s">
        <v>1143</v>
      </c>
      <c r="K317" s="846" t="s">
        <v>1144</v>
      </c>
      <c r="L317" s="845" t="s">
        <v>715</v>
      </c>
      <c r="M317" s="846" t="s">
        <v>714</v>
      </c>
      <c r="N317" s="845" t="s">
        <v>712</v>
      </c>
      <c r="O317" s="846" t="s">
        <v>713</v>
      </c>
      <c r="P317" s="847" t="s">
        <v>1145</v>
      </c>
      <c r="Q317" s="847" t="s">
        <v>1146</v>
      </c>
      <c r="R317" s="848" t="s">
        <v>1147</v>
      </c>
      <c r="S317" s="811" t="s">
        <v>710</v>
      </c>
      <c r="T317" s="51"/>
      <c r="U317" s="51"/>
      <c r="V317" s="51"/>
    </row>
    <row r="318" spans="2:26" s="20" customFormat="1" ht="71.25" hidden="1" customHeight="1" x14ac:dyDescent="0.2">
      <c r="B318" s="472">
        <v>1</v>
      </c>
      <c r="C318" s="473" t="s">
        <v>282</v>
      </c>
      <c r="D318" s="473" t="s">
        <v>282</v>
      </c>
      <c r="E318" s="473" t="s">
        <v>282</v>
      </c>
      <c r="F318" s="473" t="s">
        <v>282</v>
      </c>
      <c r="G318" s="473" t="s">
        <v>282</v>
      </c>
      <c r="H318" s="845" t="s">
        <v>993</v>
      </c>
      <c r="I318" s="845" t="s">
        <v>994</v>
      </c>
      <c r="J318" s="845" t="s">
        <v>995</v>
      </c>
      <c r="K318" s="846" t="s">
        <v>996</v>
      </c>
      <c r="L318" s="845" t="s">
        <v>715</v>
      </c>
      <c r="M318" s="846" t="s">
        <v>714</v>
      </c>
      <c r="N318" s="845" t="s">
        <v>712</v>
      </c>
      <c r="O318" s="846" t="s">
        <v>713</v>
      </c>
      <c r="P318" s="847" t="s">
        <v>997</v>
      </c>
      <c r="Q318" s="847" t="s">
        <v>998</v>
      </c>
      <c r="R318" s="848" t="s">
        <v>999</v>
      </c>
      <c r="S318" s="811" t="s">
        <v>710</v>
      </c>
      <c r="T318" s="51"/>
      <c r="U318" s="51"/>
      <c r="V318" s="51"/>
    </row>
    <row r="319" spans="2:26" s="20" customFormat="1" ht="15" customHeight="1" x14ac:dyDescent="0.2">
      <c r="B319" s="1228" t="s">
        <v>639</v>
      </c>
      <c r="C319" s="1228"/>
      <c r="D319" s="1228"/>
      <c r="E319" s="1228"/>
      <c r="F319" s="1228"/>
      <c r="G319" s="1228"/>
      <c r="H319" s="474">
        <f>+'Prog 01'!I9</f>
        <v>40123745.100000001</v>
      </c>
      <c r="I319" s="474">
        <f>+'Prog 01'!J9</f>
        <v>44432041.100000001</v>
      </c>
      <c r="J319" s="474">
        <f ca="1">+'Prog 01'!K9</f>
        <v>28932244.487</v>
      </c>
      <c r="K319" s="475">
        <f ca="1">+J319/I319</f>
        <v>0.65115722282224842</v>
      </c>
      <c r="L319" s="476">
        <f>+'Prog 01'!M9</f>
        <v>31145040.955999997</v>
      </c>
      <c r="M319" s="475">
        <f>+L319/I319</f>
        <v>0.70095904182983837</v>
      </c>
      <c r="N319" s="477">
        <f>+'Prog 01'!O9</f>
        <v>13287000.144000003</v>
      </c>
      <c r="O319" s="475">
        <f>+N319/I319</f>
        <v>0.29904095817016163</v>
      </c>
      <c r="P319" s="474">
        <f>+'Prog 01'!Q9</f>
        <v>44150316.394199997</v>
      </c>
      <c r="Q319" s="474">
        <f ca="1">+'Prog 01'!R9</f>
        <v>28240844.25214</v>
      </c>
      <c r="R319" s="475">
        <f ca="1">Q319/P319</f>
        <v>0.63965213748388872</v>
      </c>
      <c r="S319" s="812">
        <f ca="1">+L319-J319</f>
        <v>2212796.4689999968</v>
      </c>
      <c r="T319" s="163"/>
      <c r="U319" s="51"/>
      <c r="V319" s="51"/>
    </row>
    <row r="320" spans="2:26" s="20" customFormat="1" ht="15" customHeight="1" x14ac:dyDescent="0.2">
      <c r="B320" s="1228" t="s">
        <v>247</v>
      </c>
      <c r="C320" s="1228"/>
      <c r="D320" s="1228"/>
      <c r="E320" s="1228"/>
      <c r="F320" s="1228"/>
      <c r="G320" s="1228"/>
      <c r="H320" s="474">
        <f>+'Prog 02'!H9</f>
        <v>6445274</v>
      </c>
      <c r="I320" s="474">
        <f>+'Prog 02'!I9</f>
        <v>7784837</v>
      </c>
      <c r="J320" s="474">
        <f ca="1">+'Prog 02'!J9</f>
        <v>3115503.5069999998</v>
      </c>
      <c r="K320" s="475">
        <f ca="1">+J320/I320</f>
        <v>0.40020150800845283</v>
      </c>
      <c r="L320" s="476">
        <f>+'Prog 02'!L9</f>
        <v>5060873.6679999996</v>
      </c>
      <c r="M320" s="475">
        <f>+L320/I320</f>
        <v>0.65009372296427015</v>
      </c>
      <c r="N320" s="478">
        <f>+'Prog 02'!N9</f>
        <v>2723963.3320000004</v>
      </c>
      <c r="O320" s="475">
        <f>+N320/I320</f>
        <v>0.34990627703572991</v>
      </c>
      <c r="P320" s="474">
        <f>+'Prog 02'!P9</f>
        <v>8215744.9682</v>
      </c>
      <c r="Q320" s="474">
        <f>+'Prog 02'!Q9</f>
        <v>3810378.3997800006</v>
      </c>
      <c r="R320" s="475">
        <f>Q320/P320</f>
        <v>0.46378976155278856</v>
      </c>
      <c r="S320" s="812">
        <f ca="1">+L320-J320</f>
        <v>1945370.1609999998</v>
      </c>
      <c r="T320" s="163"/>
      <c r="U320" s="51"/>
      <c r="V320" s="51"/>
    </row>
    <row r="321" spans="2:22" s="20" customFormat="1" ht="15" customHeight="1" x14ac:dyDescent="0.2">
      <c r="B321" s="1229" t="s">
        <v>248</v>
      </c>
      <c r="C321" s="1229"/>
      <c r="D321" s="1229"/>
      <c r="E321" s="1229"/>
      <c r="F321" s="1229"/>
      <c r="G321" s="1229"/>
      <c r="H321" s="28">
        <f>+'Prog 03'!H11</f>
        <v>282286863.09600002</v>
      </c>
      <c r="I321" s="28">
        <f>+'Prog 03'!I11</f>
        <v>332845197.09600002</v>
      </c>
      <c r="J321" s="28">
        <f ca="1">+'Prog 03'!J11</f>
        <v>216392926.92499998</v>
      </c>
      <c r="K321" s="475">
        <f ca="1">+J321/I321</f>
        <v>0.65013083803816285</v>
      </c>
      <c r="L321" s="476">
        <f>+'Prog 03'!L11</f>
        <v>221318740.30199999</v>
      </c>
      <c r="M321" s="475">
        <f>+L321/I321</f>
        <v>0.66492995011782219</v>
      </c>
      <c r="N321" s="478">
        <f>+'Prog 03'!N11</f>
        <v>111526456.79400003</v>
      </c>
      <c r="O321" s="475">
        <f>+N321/I321</f>
        <v>0.33507004988217781</v>
      </c>
      <c r="P321" s="474">
        <f>+'Prog 03'!P11</f>
        <v>345442102.15240002</v>
      </c>
      <c r="Q321" s="474">
        <f ca="1">+'Prog 03'!Q11</f>
        <v>220127007.07826197</v>
      </c>
      <c r="R321" s="475">
        <f ca="1">Q321/P321</f>
        <v>0.63723271050830887</v>
      </c>
      <c r="S321" s="812">
        <f ca="1">+L321-J321</f>
        <v>4925813.3770000041</v>
      </c>
      <c r="T321" s="163"/>
      <c r="U321" s="51"/>
      <c r="V321" s="51"/>
    </row>
    <row r="322" spans="2:22" s="20" customFormat="1" ht="15" customHeight="1" x14ac:dyDescent="0.2">
      <c r="B322" s="1229" t="s">
        <v>630</v>
      </c>
      <c r="C322" s="1229"/>
      <c r="D322" s="1229"/>
      <c r="E322" s="1229"/>
      <c r="F322" s="1229"/>
      <c r="G322" s="1229"/>
      <c r="H322" s="28">
        <f>+'Prog 05'!H9</f>
        <v>102489437</v>
      </c>
      <c r="I322" s="28">
        <f>+'Prog 05'!I9</f>
        <v>57420732</v>
      </c>
      <c r="J322" s="28">
        <f ca="1">+'Prog 05'!J9</f>
        <v>0</v>
      </c>
      <c r="K322" s="479">
        <f ca="1">+J322/I322</f>
        <v>0</v>
      </c>
      <c r="L322" s="394">
        <f>+'Prog 05'!L9</f>
        <v>0</v>
      </c>
      <c r="M322" s="479">
        <f>+L322/I322</f>
        <v>0</v>
      </c>
      <c r="N322" s="480">
        <f>+'Prog 05'!N9</f>
        <v>57420732</v>
      </c>
      <c r="O322" s="479">
        <f>+N322/I322</f>
        <v>1</v>
      </c>
      <c r="P322" s="28">
        <f>+'Prog 05'!P9</f>
        <v>61321186.398200005</v>
      </c>
      <c r="Q322" s="474">
        <f ca="1">+'Prog 05'!Q9</f>
        <v>10619639.905999999</v>
      </c>
      <c r="R322" s="479">
        <f ca="1">Q322/P322</f>
        <v>0.17318060086182097</v>
      </c>
      <c r="S322" s="812">
        <f ca="1">+L322-J322</f>
        <v>0</v>
      </c>
      <c r="T322" s="163"/>
      <c r="U322" s="51"/>
      <c r="V322" s="51"/>
    </row>
    <row r="323" spans="2:22" s="20" customFormat="1" ht="12.75" customHeight="1" thickBot="1" x14ac:dyDescent="0.25">
      <c r="B323" s="1222"/>
      <c r="C323" s="1222"/>
      <c r="D323" s="1222"/>
      <c r="E323" s="1222"/>
      <c r="F323" s="1222"/>
      <c r="G323" s="1222"/>
      <c r="H323" s="1222"/>
      <c r="I323" s="1222"/>
      <c r="J323" s="1222"/>
      <c r="K323" s="1222"/>
      <c r="L323" s="1222"/>
      <c r="M323" s="1222"/>
      <c r="N323" s="1222"/>
      <c r="O323" s="1222"/>
      <c r="P323" s="1222"/>
      <c r="Q323" s="1222"/>
      <c r="R323" s="1222"/>
      <c r="T323" s="163"/>
      <c r="U323" s="51"/>
      <c r="V323" s="51"/>
    </row>
    <row r="324" spans="2:22" s="20" customFormat="1" ht="13.5" thickBot="1" x14ac:dyDescent="0.25">
      <c r="B324" s="1223" t="s">
        <v>139</v>
      </c>
      <c r="C324" s="1223"/>
      <c r="D324" s="1223"/>
      <c r="E324" s="1223"/>
      <c r="F324" s="1223"/>
      <c r="G324" s="1223"/>
      <c r="H324" s="868">
        <f>SUM(H319:H322)</f>
        <v>431345319.19600004</v>
      </c>
      <c r="I324" s="868">
        <f>SUM(I319:I322)+1</f>
        <v>442482808.19600004</v>
      </c>
      <c r="J324" s="868">
        <f ca="1">SUM(J319:J322)</f>
        <v>248440674.91899997</v>
      </c>
      <c r="K324" s="854">
        <f ca="1">+J324/I324</f>
        <v>0.56146966688240663</v>
      </c>
      <c r="L324" s="869">
        <f>SUM(L319:L322)</f>
        <v>257524654.926</v>
      </c>
      <c r="M324" s="870">
        <f>+L324/I324</f>
        <v>0.58199923286494815</v>
      </c>
      <c r="N324" s="869">
        <f>SUM(N319:N322)+1</f>
        <v>184958153.27000004</v>
      </c>
      <c r="O324" s="854">
        <f>+N324/I324</f>
        <v>0.41800076713505191</v>
      </c>
      <c r="P324" s="868">
        <f>+P319+P320+P321+P322</f>
        <v>459129349.91299999</v>
      </c>
      <c r="Q324" s="868">
        <f ca="1">+Q319+Q320+Q321+Q322</f>
        <v>262797869.63618195</v>
      </c>
      <c r="R324" s="854">
        <f ca="1">Q324/P324</f>
        <v>0.5723830761112948</v>
      </c>
      <c r="S324" s="176">
        <f ca="1">+J324-L324</f>
        <v>-9083980.0070000291</v>
      </c>
      <c r="T324" s="163"/>
      <c r="U324" s="989"/>
      <c r="V324" s="51"/>
    </row>
    <row r="325" spans="2:22" s="20" customFormat="1" ht="15" hidden="1" customHeight="1" x14ac:dyDescent="0.2">
      <c r="B325" s="41"/>
      <c r="C325" s="42"/>
      <c r="D325" s="43"/>
      <c r="E325" s="44"/>
      <c r="F325" s="44"/>
      <c r="G325" s="21"/>
      <c r="H325" s="20">
        <f t="shared" ref="H325:R325" si="70">+H9-H324</f>
        <v>0</v>
      </c>
      <c r="I325" s="20">
        <f t="shared" si="70"/>
        <v>0</v>
      </c>
      <c r="J325" s="20">
        <f t="shared" ca="1" si="70"/>
        <v>0</v>
      </c>
      <c r="K325" s="162">
        <f t="shared" ca="1" si="70"/>
        <v>0</v>
      </c>
      <c r="L325" s="45">
        <f t="shared" si="70"/>
        <v>0</v>
      </c>
      <c r="M325" s="365">
        <f t="shared" si="70"/>
        <v>0</v>
      </c>
      <c r="N325" s="20">
        <f t="shared" si="70"/>
        <v>0</v>
      </c>
      <c r="O325" s="162">
        <f t="shared" si="70"/>
        <v>0</v>
      </c>
      <c r="P325" s="100">
        <f t="shared" si="70"/>
        <v>0</v>
      </c>
      <c r="Q325" s="20">
        <f t="shared" ca="1" si="70"/>
        <v>0</v>
      </c>
      <c r="R325" s="163">
        <f t="shared" ca="1" si="70"/>
        <v>0</v>
      </c>
      <c r="T325" s="51"/>
      <c r="U325" s="51"/>
      <c r="V325" s="51"/>
    </row>
    <row r="326" spans="2:22" ht="12.75" hidden="1" customHeight="1" x14ac:dyDescent="0.2">
      <c r="H326" s="137">
        <f t="shared" ref="H326:R326" si="71">+H9-H324</f>
        <v>0</v>
      </c>
      <c r="I326" s="137">
        <f t="shared" si="71"/>
        <v>0</v>
      </c>
      <c r="J326" s="137">
        <f t="shared" ca="1" si="71"/>
        <v>0</v>
      </c>
      <c r="K326" s="367">
        <f t="shared" ca="1" si="71"/>
        <v>0</v>
      </c>
      <c r="L326" s="137">
        <f t="shared" si="71"/>
        <v>0</v>
      </c>
      <c r="M326" s="366">
        <f t="shared" si="71"/>
        <v>0</v>
      </c>
      <c r="N326" s="137">
        <f t="shared" si="71"/>
        <v>0</v>
      </c>
      <c r="O326" s="367">
        <f t="shared" si="71"/>
        <v>0</v>
      </c>
      <c r="P326" s="137">
        <f t="shared" si="71"/>
        <v>0</v>
      </c>
      <c r="Q326" s="137">
        <f t="shared" ca="1" si="71"/>
        <v>0</v>
      </c>
      <c r="R326" s="367">
        <f t="shared" ca="1" si="71"/>
        <v>0</v>
      </c>
      <c r="S326" s="101">
        <f ca="1">+S324-S9</f>
        <v>-9083980.0070000291</v>
      </c>
    </row>
    <row r="327" spans="2:22" ht="12.75" hidden="1" customHeight="1" x14ac:dyDescent="0.2">
      <c r="G327" s="20"/>
      <c r="H327" s="136">
        <f t="shared" ref="H327:R327" si="72">+H9-H324</f>
        <v>0</v>
      </c>
      <c r="I327" s="136">
        <f t="shared" si="72"/>
        <v>0</v>
      </c>
      <c r="J327" s="136">
        <f t="shared" ca="1" si="72"/>
        <v>0</v>
      </c>
      <c r="K327" s="162">
        <f t="shared" ca="1" si="72"/>
        <v>0</v>
      </c>
      <c r="L327" s="136">
        <f t="shared" si="72"/>
        <v>0</v>
      </c>
      <c r="M327" s="365">
        <f t="shared" si="72"/>
        <v>0</v>
      </c>
      <c r="N327" s="136">
        <f t="shared" si="72"/>
        <v>0</v>
      </c>
      <c r="O327" s="162">
        <f t="shared" si="72"/>
        <v>0</v>
      </c>
      <c r="P327" s="136">
        <f t="shared" si="72"/>
        <v>0</v>
      </c>
      <c r="Q327" s="136">
        <f t="shared" ca="1" si="72"/>
        <v>0</v>
      </c>
      <c r="R327" s="162">
        <f t="shared" ca="1" si="72"/>
        <v>0</v>
      </c>
    </row>
    <row r="328" spans="2:22" s="491" customFormat="1" ht="12.75" customHeight="1" x14ac:dyDescent="0.2">
      <c r="B328" s="484"/>
      <c r="C328" s="485"/>
      <c r="D328" s="486"/>
      <c r="E328" s="487"/>
      <c r="F328" s="487"/>
      <c r="G328" s="488"/>
      <c r="H328" s="489">
        <f>+H9-H324</f>
        <v>0</v>
      </c>
      <c r="I328" s="489">
        <f>+I9-I324</f>
        <v>0</v>
      </c>
      <c r="J328" s="489">
        <f t="shared" ref="J328:O328" ca="1" si="73">+J9-J324</f>
        <v>0</v>
      </c>
      <c r="K328" s="489">
        <f t="shared" ca="1" si="73"/>
        <v>0</v>
      </c>
      <c r="L328" s="489">
        <f t="shared" si="73"/>
        <v>0</v>
      </c>
      <c r="M328" s="489">
        <f t="shared" si="73"/>
        <v>0</v>
      </c>
      <c r="N328" s="489">
        <f>+N9-N324</f>
        <v>0</v>
      </c>
      <c r="O328" s="489">
        <f t="shared" si="73"/>
        <v>0</v>
      </c>
      <c r="P328" s="489">
        <f>+P9-P324</f>
        <v>0</v>
      </c>
      <c r="Q328" s="799">
        <f ca="1">+Q9-Q324</f>
        <v>0</v>
      </c>
      <c r="R328" s="489">
        <f ca="1">+R9-R324</f>
        <v>0</v>
      </c>
      <c r="S328" s="488"/>
      <c r="T328" s="490"/>
      <c r="U328" s="490"/>
      <c r="V328" s="490"/>
    </row>
    <row r="329" spans="2:22" ht="12.75" customHeight="1" x14ac:dyDescent="0.2">
      <c r="G329" s="20"/>
      <c r="H329" s="20"/>
    </row>
    <row r="330" spans="2:22" ht="12.75" customHeight="1" x14ac:dyDescent="0.2">
      <c r="G330" s="20"/>
      <c r="H330" s="20"/>
    </row>
    <row r="331" spans="2:22" ht="12.75" customHeight="1" x14ac:dyDescent="0.2">
      <c r="G331" s="20"/>
      <c r="H331" s="20"/>
    </row>
    <row r="332" spans="2:22" ht="12.75" customHeight="1" x14ac:dyDescent="0.2">
      <c r="G332" s="20"/>
      <c r="H332" s="20"/>
    </row>
    <row r="333" spans="2:22" ht="12.75" customHeight="1" x14ac:dyDescent="0.2">
      <c r="G333" s="20"/>
      <c r="H333" s="20"/>
    </row>
    <row r="335" spans="2:22" ht="12.75" customHeight="1" x14ac:dyDescent="0.2">
      <c r="I335" s="52"/>
    </row>
    <row r="336" spans="2:22" ht="12.75" customHeight="1" x14ac:dyDescent="0.2">
      <c r="I336" s="52"/>
    </row>
    <row r="337" spans="8:9" ht="12.75" customHeight="1" x14ac:dyDescent="0.2">
      <c r="I337" s="52"/>
    </row>
    <row r="338" spans="8:9" ht="12.75" customHeight="1" x14ac:dyDescent="0.2">
      <c r="I338" s="52"/>
    </row>
    <row r="347" spans="8:9" ht="12.75" customHeight="1" x14ac:dyDescent="0.2">
      <c r="H347" s="51"/>
    </row>
    <row r="348" spans="8:9" ht="12.75" customHeight="1" x14ac:dyDescent="0.2">
      <c r="H348" s="51"/>
    </row>
    <row r="349" spans="8:9" ht="12.75" customHeight="1" x14ac:dyDescent="0.2">
      <c r="H349" s="20"/>
    </row>
  </sheetData>
  <mergeCells count="17">
    <mergeCell ref="S314:S315"/>
    <mergeCell ref="B323:R323"/>
    <mergeCell ref="B324:G324"/>
    <mergeCell ref="B314:R314"/>
    <mergeCell ref="H5:O5"/>
    <mergeCell ref="H315:O315"/>
    <mergeCell ref="B5:G7"/>
    <mergeCell ref="B315:G317"/>
    <mergeCell ref="B319:G319"/>
    <mergeCell ref="B320:G320"/>
    <mergeCell ref="B321:G321"/>
    <mergeCell ref="B322:G322"/>
    <mergeCell ref="B2:R2"/>
    <mergeCell ref="B4:R4"/>
    <mergeCell ref="P315:R315"/>
    <mergeCell ref="P5:R5"/>
    <mergeCell ref="B3:R3"/>
  </mergeCells>
  <phoneticPr fontId="17" type="noConversion"/>
  <printOptions horizontalCentered="1"/>
  <pageMargins left="1" right="1" top="1" bottom="1" header="0.5" footer="0.5"/>
  <pageSetup paperSize="5" scale="80" orientation="landscape" r:id="rId1"/>
  <ignoredErrors>
    <ignoredError sqref="H103 H121:H122 I88:J88 H112:H113 J129:J131 H129:H136 I128:I131 H140 J121:J122 H124:I126 H65:J67 P38 P42 H38:J38 I105:I111 H77 H70:J70 H69:I69 H87 H89 J125:J126 H138 Q39:Q41 P48:Q48 Q49:Q51 Q58:Q59 Q61 P70:Q72 Q65:Q67 Q75 M313 P57 I146 H34:J35 L69:L72 M324 L74:L76 N11 L33:L42 P53:Q54 L44:L54 P62:Q62 J138 N69:N72 N74:N77 N18:N23 N26:N28 N30:N31 N33:N42 N44:N54 N57:N59 N61:N62 L57:L59 L61:L62 P44:P47 N65:N67 L64:L67 I64:J64 H59:J59 H57:H58 L92:L112 Q94 K324 P80:Q80 Q124 P52 N13:N15 H26:H31 I24:J33 J57:J58 H60:H62 J61:J62 J113 J133:J136 L14 L17:L23 L12 L25:L31 N83:N90 L124:L126 L83:L90 N92 N124:N126 P128:Q131 P137:Q139 P136 P133:Q135 P132 P85:Q90 P125:Q126 P92:Q92 P95:Q119 P234:Q235 N308:N310 P220:Q220 O216:R218 H217:J218 P230:R233 H152:J155 H312:Q312 H191 R227:R228 P242:R306 R311:R312 R234 R237:R240 N220:N235 H220:M228 P227:Q229 P222:R226 J191 P238:Q240 Q236:Q237 P310:R310 P145:Q148 Q140:Q144 N152:R155 L217:L218 K9:K10 O10 O220:O306 N217:N218 M9:M10 K80:M80 H158:J161 N160:R162 H208:M214 N208:R213 N214:Q214 H205:R206 N196:O196 R196 N243:N257 H307:J311 L307:L310 Q221:R221 Q308:R309 Q241 I36:J36 H190:J190 J189 I188:J188 H230:M233 I229:M229 H235:M306 I234:M234 H176:J176 H175 J175 H167:J170 H156:H157 J157 H162:H166 J162:J166 M124:M148 O124:O148 K124:K148 L128:L148 N128:N148 N197:R203 K152:M203 H192:J203 O159:R159 N157:R158 O156:Q156 N192:R195 O191:R191 N189:R190 O188:R188 N237:N240 N187:R187 O167:R186 H172:J174 H171 J171 H178:J179 H177 J177 H181:J182 H180 J180 H186:J187 H183:H185 J183:J185 N164:R166 O163:R163 K149:R149 I9 I324 N259:N306 K83:K122 O84:O122 M83:M122 N94:N119 L121:L122 N121:N122 P121:Q122 Q120" formula="1"/>
    <ignoredError sqref="B10 C242 C198:D198 C267:D267 F311 C166:D166 D243:D258 C206:D207 F308:F309 D194 C191:D191 D201 D205 C188:D189 D199 D203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5DFDD"/>
  </sheetPr>
  <dimension ref="A1:GA226"/>
  <sheetViews>
    <sheetView showGridLines="0" zoomScale="80" zoomScaleNormal="80" workbookViewId="0">
      <pane xSplit="1" ySplit="2" topLeftCell="BU144" activePane="bottomRight" state="frozen"/>
      <selection pane="topRight" activeCell="B1" sqref="B1"/>
      <selection pane="bottomLeft" activeCell="A3" sqref="A3"/>
      <selection pane="bottomRight" activeCell="DJ162" sqref="DJ162"/>
    </sheetView>
  </sheetViews>
  <sheetFormatPr baseColWidth="10" defaultColWidth="11.42578125" defaultRowHeight="15" customHeight="1" x14ac:dyDescent="0.2"/>
  <cols>
    <col min="1" max="1" width="4.85546875" style="743" hidden="1" customWidth="1"/>
    <col min="2" max="2" width="53.42578125" style="731" hidden="1" customWidth="1"/>
    <col min="3" max="3" width="21.140625" style="731" hidden="1" customWidth="1"/>
    <col min="4" max="4" width="18.85546875" style="731" hidden="1" customWidth="1"/>
    <col min="5" max="5" width="17.5703125" style="731" hidden="1" customWidth="1"/>
    <col min="6" max="6" width="21.42578125" style="731" hidden="1" customWidth="1"/>
    <col min="7" max="7" width="17.42578125" style="731" hidden="1" customWidth="1"/>
    <col min="8" max="11" width="13" style="731" hidden="1" customWidth="1"/>
    <col min="12" max="14" width="4.7109375" style="731" hidden="1" customWidth="1"/>
    <col min="15" max="15" width="34.7109375" style="731" hidden="1" customWidth="1"/>
    <col min="16" max="17" width="10" style="731" hidden="1" customWidth="1"/>
    <col min="18" max="18" width="11.42578125" style="731" hidden="1" customWidth="1"/>
    <col min="19" max="19" width="33.85546875" style="731" hidden="1" customWidth="1"/>
    <col min="20" max="20" width="17.7109375" style="731" hidden="1" customWidth="1"/>
    <col min="21" max="21" width="17.42578125" style="731" hidden="1" customWidth="1"/>
    <col min="22" max="22" width="17.5703125" style="731" hidden="1" customWidth="1"/>
    <col min="23" max="23" width="20.5703125" style="731" hidden="1" customWidth="1"/>
    <col min="24" max="27" width="13.7109375" style="731" hidden="1" customWidth="1"/>
    <col min="28" max="28" width="11.42578125" style="731" hidden="1" customWidth="1"/>
    <col min="29" max="29" width="53.42578125" style="731" hidden="1" customWidth="1"/>
    <col min="30" max="30" width="17.42578125" style="731" hidden="1" customWidth="1"/>
    <col min="31" max="31" width="18.5703125" style="731" hidden="1" customWidth="1"/>
    <col min="32" max="32" width="11.42578125" style="731" hidden="1" customWidth="1"/>
    <col min="33" max="33" width="53.42578125" style="731" hidden="1" customWidth="1"/>
    <col min="34" max="34" width="17.7109375" style="731" hidden="1" customWidth="1"/>
    <col min="35" max="35" width="17.42578125" style="731" hidden="1" customWidth="1"/>
    <col min="36" max="36" width="17.5703125" style="731" hidden="1" customWidth="1"/>
    <col min="37" max="37" width="20.5703125" style="731" hidden="1" customWidth="1"/>
    <col min="38" max="41" width="12.28515625" style="731" hidden="1" customWidth="1"/>
    <col min="42" max="43" width="11.42578125" style="731" hidden="1" customWidth="1"/>
    <col min="44" max="44" width="39.28515625" style="731" hidden="1" customWidth="1"/>
    <col min="45" max="46" width="11.140625" style="731" hidden="1" customWidth="1"/>
    <col min="47" max="47" width="11.42578125" style="731" hidden="1" customWidth="1"/>
    <col min="48" max="48" width="33.7109375" style="731" hidden="1" customWidth="1"/>
    <col min="49" max="49" width="17.7109375" style="731" hidden="1" customWidth="1"/>
    <col min="50" max="50" width="17.42578125" style="731" hidden="1" customWidth="1"/>
    <col min="51" max="51" width="17.5703125" style="731" hidden="1" customWidth="1"/>
    <col min="52" max="52" width="18.5703125" style="731" hidden="1" customWidth="1"/>
    <col min="53" max="56" width="13.28515625" style="731" hidden="1" customWidth="1"/>
    <col min="57" max="58" width="11.42578125" style="731" hidden="1" customWidth="1"/>
    <col min="59" max="59" width="53.140625" style="731" hidden="1" customWidth="1"/>
    <col min="60" max="60" width="17.42578125" style="731" hidden="1" customWidth="1"/>
    <col min="61" max="61" width="18.5703125" style="731" hidden="1" customWidth="1"/>
    <col min="62" max="62" width="11.42578125" style="731" hidden="1" customWidth="1"/>
    <col min="63" max="63" width="54.5703125" style="731" hidden="1" customWidth="1"/>
    <col min="64" max="64" width="17.7109375" style="731" hidden="1" customWidth="1"/>
    <col min="65" max="65" width="17.42578125" style="731" hidden="1" customWidth="1"/>
    <col min="66" max="66" width="17.5703125" style="731" hidden="1" customWidth="1"/>
    <col min="67" max="67" width="20.5703125" style="731" hidden="1" customWidth="1"/>
    <col min="68" max="68" width="21.85546875" style="731" hidden="1" customWidth="1"/>
    <col min="69" max="69" width="18.5703125" style="731" hidden="1" customWidth="1"/>
    <col min="70" max="70" width="19.7109375" style="731" hidden="1" customWidth="1"/>
    <col min="71" max="71" width="20.5703125" style="731" hidden="1" customWidth="1"/>
    <col min="72" max="72" width="11.42578125" style="731" hidden="1" customWidth="1"/>
    <col min="73" max="73" width="11.42578125" style="731" customWidth="1"/>
    <col min="74" max="74" width="53.42578125" style="731" hidden="1" customWidth="1"/>
    <col min="75" max="76" width="18.5703125" style="731" hidden="1" customWidth="1"/>
    <col min="77" max="77" width="11.42578125" style="731" hidden="1" customWidth="1"/>
    <col min="78" max="78" width="54.5703125" style="731" hidden="1" customWidth="1"/>
    <col min="79" max="79" width="17.7109375" style="731" hidden="1" customWidth="1"/>
    <col min="80" max="80" width="17.42578125" style="731" hidden="1" customWidth="1"/>
    <col min="81" max="81" width="17.5703125" style="731" hidden="1" customWidth="1"/>
    <col min="82" max="82" width="20.5703125" style="731" hidden="1" customWidth="1"/>
    <col min="83" max="83" width="21.85546875" style="731" hidden="1" customWidth="1"/>
    <col min="84" max="84" width="18.5703125" style="731" hidden="1" customWidth="1"/>
    <col min="85" max="85" width="19.7109375" style="731" hidden="1" customWidth="1"/>
    <col min="86" max="86" width="20.5703125" style="731" hidden="1" customWidth="1"/>
    <col min="87" max="88" width="11.42578125" style="731" hidden="1" customWidth="1"/>
    <col min="89" max="89" width="53.140625" style="731" hidden="1" customWidth="1"/>
    <col min="90" max="90" width="18.5703125" style="730" hidden="1" customWidth="1"/>
    <col min="91" max="91" width="18.5703125" style="731" hidden="1" customWidth="1"/>
    <col min="92" max="92" width="8.28515625" style="731" hidden="1" customWidth="1"/>
    <col min="93" max="93" width="11.42578125" style="731" hidden="1" customWidth="1"/>
    <col min="94" max="94" width="54.5703125" style="731" hidden="1" customWidth="1"/>
    <col min="95" max="95" width="20.7109375" style="730" hidden="1" customWidth="1"/>
    <col min="96" max="96" width="18.5703125" style="730" hidden="1" customWidth="1"/>
    <col min="97" max="97" width="19.7109375" style="730" hidden="1" customWidth="1"/>
    <col min="98" max="98" width="20.5703125" style="730" hidden="1" customWidth="1"/>
    <col min="99" max="99" width="21.85546875" style="731" hidden="1" customWidth="1"/>
    <col min="100" max="100" width="18.5703125" style="731" hidden="1" customWidth="1"/>
    <col min="101" max="101" width="19.7109375" style="731" hidden="1" customWidth="1"/>
    <col min="102" max="102" width="20.5703125" style="731" hidden="1" customWidth="1"/>
    <col min="103" max="103" width="11.42578125" style="731" hidden="1" customWidth="1"/>
    <col min="104" max="104" width="43" style="731" customWidth="1"/>
    <col min="105" max="105" width="18.5703125" style="730" hidden="1" customWidth="1"/>
    <col min="106" max="106" width="13.85546875" style="731" customWidth="1"/>
    <col min="107" max="107" width="7.7109375" style="731" customWidth="1"/>
    <col min="108" max="108" width="11.42578125" style="731" customWidth="1"/>
    <col min="109" max="109" width="41.7109375" style="731" customWidth="1"/>
    <col min="110" max="110" width="18.85546875" style="731" hidden="1" customWidth="1"/>
    <col min="111" max="111" width="18.5703125" style="731" hidden="1" customWidth="1"/>
    <col min="112" max="112" width="18.7109375" style="731" hidden="1" customWidth="1"/>
    <col min="113" max="113" width="20.5703125" style="731" hidden="1" customWidth="1"/>
    <col min="114" max="117" width="13" style="731" customWidth="1"/>
    <col min="118" max="119" width="11.42578125" style="731" customWidth="1"/>
    <col min="120" max="120" width="53.140625" style="731" hidden="1" customWidth="1"/>
    <col min="121" max="121" width="18.5703125" style="731" hidden="1" customWidth="1"/>
    <col min="122" max="122" width="17.85546875" style="731" hidden="1" customWidth="1"/>
    <col min="123" max="123" width="11.42578125" style="731" hidden="1" customWidth="1"/>
    <col min="124" max="124" width="54.5703125" style="731" hidden="1" customWidth="1"/>
    <col min="125" max="125" width="20.140625" style="730" hidden="1" customWidth="1"/>
    <col min="126" max="126" width="18.5703125" style="730" hidden="1" customWidth="1"/>
    <col min="127" max="127" width="19.7109375" style="730" hidden="1" customWidth="1"/>
    <col min="128" max="128" width="20.5703125" style="730" hidden="1" customWidth="1"/>
    <col min="129" max="129" width="21.85546875" style="731" hidden="1" customWidth="1"/>
    <col min="130" max="130" width="18.5703125" style="731" hidden="1" customWidth="1"/>
    <col min="131" max="131" width="19.7109375" style="731" hidden="1" customWidth="1"/>
    <col min="132" max="132" width="20.5703125" style="731" hidden="1" customWidth="1"/>
    <col min="133" max="134" width="11.42578125" style="731" hidden="1" customWidth="1"/>
    <col min="135" max="135" width="53.42578125" style="731" hidden="1" customWidth="1"/>
    <col min="136" max="136" width="18.5703125" style="730" hidden="1" customWidth="1"/>
    <col min="137" max="137" width="18.5703125" style="731" hidden="1" customWidth="1"/>
    <col min="138" max="138" width="11.42578125" style="731" hidden="1" customWidth="1"/>
    <col min="139" max="139" width="54.5703125" style="731" hidden="1" customWidth="1"/>
    <col min="140" max="140" width="21.85546875" style="730" hidden="1" customWidth="1"/>
    <col min="141" max="141" width="19.7109375" style="730" hidden="1" customWidth="1"/>
    <col min="142" max="142" width="18.5703125" style="730" hidden="1" customWidth="1"/>
    <col min="143" max="143" width="21.85546875" style="731" hidden="1" customWidth="1"/>
    <col min="144" max="144" width="22" style="731" hidden="1" customWidth="1"/>
    <col min="145" max="145" width="23.28515625" style="731" hidden="1" customWidth="1"/>
    <col min="146" max="147" width="11.42578125" style="731" hidden="1" customWidth="1"/>
    <col min="148" max="148" width="54.5703125" style="731" hidden="1" customWidth="1"/>
    <col min="149" max="149" width="18.5703125" style="731" hidden="1" customWidth="1"/>
    <col min="150" max="150" width="17.42578125" style="731" hidden="1" customWidth="1"/>
    <col min="151" max="151" width="2.42578125" style="731" hidden="1" customWidth="1"/>
    <col min="152" max="152" width="11.42578125" style="731" hidden="1" customWidth="1"/>
    <col min="153" max="153" width="54.5703125" style="731" hidden="1" customWidth="1"/>
    <col min="154" max="154" width="21.140625" style="731" hidden="1" customWidth="1"/>
    <col min="155" max="155" width="20.7109375" style="731" hidden="1" customWidth="1"/>
    <col min="156" max="156" width="18.5703125" style="731" hidden="1" customWidth="1"/>
    <col min="157" max="157" width="19.7109375" style="731" hidden="1" customWidth="1"/>
    <col min="158" max="158" width="21.42578125" style="731" hidden="1" customWidth="1"/>
    <col min="159" max="159" width="21.140625" style="655" hidden="1" customWidth="1"/>
    <col min="160" max="160" width="21.85546875" style="731" hidden="1" customWidth="1"/>
    <col min="161" max="161" width="18.5703125" style="731" hidden="1" customWidth="1"/>
    <col min="162" max="162" width="19.7109375" style="731" hidden="1" customWidth="1"/>
    <col min="163" max="163" width="20.5703125" style="731" hidden="1" customWidth="1"/>
    <col min="164" max="165" width="11.42578125" style="731" hidden="1" customWidth="1"/>
    <col min="166" max="166" width="54.5703125" style="731" hidden="1" customWidth="1"/>
    <col min="167" max="167" width="13.28515625" style="730" hidden="1" customWidth="1"/>
    <col min="168" max="168" width="12.28515625" style="731" hidden="1" customWidth="1"/>
    <col min="169" max="169" width="11.42578125" style="731" hidden="1" customWidth="1"/>
    <col min="170" max="170" width="54.5703125" style="731" hidden="1" customWidth="1"/>
    <col min="171" max="171" width="12.42578125" style="731" hidden="1" customWidth="1"/>
    <col min="172" max="173" width="12.7109375" style="731" hidden="1" customWidth="1"/>
    <col min="174" max="174" width="15.5703125" style="655" hidden="1" customWidth="1"/>
    <col min="175" max="175" width="12.28515625" style="731" hidden="1" customWidth="1"/>
    <col min="176" max="176" width="13.42578125" style="731" hidden="1" customWidth="1"/>
    <col min="177" max="183" width="11.42578125" style="731" hidden="1" customWidth="1"/>
    <col min="184" max="184" width="0" style="731" hidden="1" customWidth="1"/>
    <col min="185" max="16384" width="11.42578125" style="731"/>
  </cols>
  <sheetData>
    <row r="1" spans="1:176" s="723" customFormat="1" ht="16.5" customHeight="1" x14ac:dyDescent="0.25">
      <c r="A1" s="1230" t="s">
        <v>1010</v>
      </c>
      <c r="B1" s="1230"/>
      <c r="C1" s="1230"/>
      <c r="D1" s="1230"/>
      <c r="E1" s="1230"/>
      <c r="F1" s="1230"/>
      <c r="G1" s="1230"/>
      <c r="I1" s="723">
        <v>1000</v>
      </c>
      <c r="J1" s="723">
        <v>1.042</v>
      </c>
      <c r="O1" s="723" t="s">
        <v>135</v>
      </c>
      <c r="P1" s="723">
        <v>1000</v>
      </c>
      <c r="Q1" s="723">
        <v>1.042</v>
      </c>
      <c r="S1" s="1231" t="s">
        <v>902</v>
      </c>
      <c r="T1" s="1231"/>
      <c r="U1" s="1231"/>
      <c r="V1" s="1231"/>
      <c r="W1" s="1231"/>
      <c r="X1" s="1231"/>
      <c r="Y1" s="1231"/>
      <c r="Z1" s="723">
        <v>1000</v>
      </c>
      <c r="AA1" s="723">
        <v>1.042</v>
      </c>
      <c r="AC1" s="723" t="s">
        <v>6</v>
      </c>
      <c r="AD1" s="723">
        <v>1000</v>
      </c>
      <c r="AE1" s="723">
        <v>1.042</v>
      </c>
      <c r="AG1" s="1231" t="s">
        <v>828</v>
      </c>
      <c r="AH1" s="1231"/>
      <c r="AI1" s="1231"/>
      <c r="AJ1" s="1231"/>
      <c r="AK1" s="1231"/>
      <c r="AL1" s="1231"/>
      <c r="AM1" s="1231"/>
      <c r="AN1" s="723">
        <v>1000</v>
      </c>
      <c r="AO1" s="723">
        <v>1.042</v>
      </c>
      <c r="AR1" s="723" t="s">
        <v>7</v>
      </c>
      <c r="AS1" s="723">
        <v>1000</v>
      </c>
      <c r="AT1" s="723">
        <v>1.042</v>
      </c>
      <c r="AV1" s="1231" t="s">
        <v>921</v>
      </c>
      <c r="AW1" s="1231"/>
      <c r="AX1" s="1231"/>
      <c r="AY1" s="1231"/>
      <c r="AZ1" s="1231"/>
      <c r="BA1" s="1231"/>
      <c r="BB1" s="1231"/>
      <c r="BC1" s="723">
        <v>1000</v>
      </c>
      <c r="BD1" s="723">
        <v>1.042</v>
      </c>
      <c r="BG1" s="724" t="s">
        <v>8</v>
      </c>
      <c r="BK1" s="1231" t="s">
        <v>835</v>
      </c>
      <c r="BL1" s="1231"/>
      <c r="BM1" s="1231"/>
      <c r="BN1" s="1231"/>
      <c r="BO1" s="1231"/>
      <c r="BP1" s="1231"/>
      <c r="BQ1" s="1231"/>
      <c r="BR1" s="723">
        <v>1000</v>
      </c>
      <c r="BS1" s="723">
        <v>1.042</v>
      </c>
      <c r="BV1" s="723" t="s">
        <v>1106</v>
      </c>
      <c r="BW1" s="723">
        <v>1000</v>
      </c>
      <c r="BX1" s="723">
        <v>1.042</v>
      </c>
      <c r="BZ1" s="1231" t="s">
        <v>1109</v>
      </c>
      <c r="CA1" s="1231"/>
      <c r="CB1" s="1231"/>
      <c r="CC1" s="1231"/>
      <c r="CD1" s="1231"/>
      <c r="CE1" s="1231"/>
      <c r="CF1" s="1231"/>
      <c r="CG1" s="723">
        <v>1000</v>
      </c>
      <c r="CH1" s="723">
        <v>1.042</v>
      </c>
      <c r="CK1" s="1231" t="s">
        <v>79</v>
      </c>
      <c r="CL1" s="1231"/>
      <c r="CM1" s="723">
        <v>1000</v>
      </c>
      <c r="CN1" s="723">
        <v>1.042</v>
      </c>
      <c r="CP1" s="1231" t="s">
        <v>738</v>
      </c>
      <c r="CQ1" s="1231"/>
      <c r="CR1" s="1231"/>
      <c r="CS1" s="1231"/>
      <c r="CT1" s="725"/>
      <c r="CV1" s="723">
        <v>1000</v>
      </c>
      <c r="CW1" s="723">
        <v>1.042</v>
      </c>
      <c r="CZ1" s="1231" t="s">
        <v>10</v>
      </c>
      <c r="DA1" s="1231"/>
      <c r="DB1" s="723">
        <v>1000</v>
      </c>
      <c r="DC1" s="723">
        <v>1.042</v>
      </c>
      <c r="DE1" s="1231" t="s">
        <v>739</v>
      </c>
      <c r="DF1" s="1231"/>
      <c r="DG1" s="1231"/>
      <c r="DH1" s="1231"/>
      <c r="DI1" s="1231"/>
      <c r="DL1" s="723">
        <v>1000</v>
      </c>
      <c r="DM1" s="723">
        <v>1.042</v>
      </c>
      <c r="DP1" s="724" t="s">
        <v>11</v>
      </c>
      <c r="DQ1" s="723">
        <v>1000</v>
      </c>
      <c r="DR1" s="723">
        <v>1</v>
      </c>
      <c r="DT1" s="1233" t="s">
        <v>857</v>
      </c>
      <c r="DU1" s="1233"/>
      <c r="DV1" s="1233"/>
      <c r="DW1" s="1233"/>
      <c r="DX1" s="1233"/>
      <c r="DY1" s="1233"/>
      <c r="DZ1" s="1233"/>
      <c r="EA1" s="725">
        <v>1000</v>
      </c>
      <c r="EB1" s="725">
        <v>1</v>
      </c>
      <c r="EE1" s="724" t="s">
        <v>12</v>
      </c>
      <c r="EF1" s="725">
        <v>1000</v>
      </c>
      <c r="EG1" s="725">
        <v>1</v>
      </c>
      <c r="EI1" s="724" t="s">
        <v>966</v>
      </c>
      <c r="EJ1" s="725"/>
      <c r="EK1" s="725"/>
      <c r="EL1" s="725"/>
      <c r="EM1" s="725"/>
      <c r="EN1" s="725">
        <v>1000</v>
      </c>
      <c r="EO1" s="725">
        <v>1</v>
      </c>
      <c r="ER1" s="1231" t="s">
        <v>975</v>
      </c>
      <c r="ES1" s="1231"/>
      <c r="ET1" s="723">
        <v>1000</v>
      </c>
      <c r="EU1" s="723">
        <v>1</v>
      </c>
      <c r="EW1" s="1232" t="s">
        <v>758</v>
      </c>
      <c r="EX1" s="1231"/>
      <c r="EY1" s="1231"/>
      <c r="EZ1" s="1231"/>
      <c r="FA1" s="1231"/>
      <c r="FB1" s="1231"/>
      <c r="FC1" s="1231"/>
      <c r="FD1" s="1231"/>
      <c r="FE1" s="1231"/>
      <c r="FF1" s="723">
        <v>1000</v>
      </c>
      <c r="FG1" s="723">
        <v>1</v>
      </c>
      <c r="FJ1" s="723" t="s">
        <v>981</v>
      </c>
      <c r="FK1" s="725">
        <v>1000</v>
      </c>
      <c r="FL1" s="723">
        <v>1</v>
      </c>
      <c r="FN1" s="1231" t="s">
        <v>983</v>
      </c>
      <c r="FO1" s="1231"/>
      <c r="FP1" s="1231"/>
      <c r="FQ1" s="1231"/>
      <c r="FR1" s="723">
        <v>1000</v>
      </c>
      <c r="FS1" s="723">
        <v>1</v>
      </c>
    </row>
    <row r="2" spans="1:176" s="727" customFormat="1" ht="48" x14ac:dyDescent="0.25">
      <c r="A2" s="746" t="s">
        <v>878</v>
      </c>
      <c r="B2" s="747" t="s">
        <v>336</v>
      </c>
      <c r="C2" s="747" t="s">
        <v>872</v>
      </c>
      <c r="D2" s="747" t="s">
        <v>340</v>
      </c>
      <c r="E2" s="747" t="s">
        <v>337</v>
      </c>
      <c r="F2" s="747" t="s">
        <v>406</v>
      </c>
      <c r="G2" s="747" t="s">
        <v>338</v>
      </c>
      <c r="H2" s="747" t="s">
        <v>925</v>
      </c>
      <c r="I2" s="747" t="s">
        <v>922</v>
      </c>
      <c r="J2" s="747" t="s">
        <v>924</v>
      </c>
      <c r="K2" s="747" t="s">
        <v>923</v>
      </c>
      <c r="L2" s="748"/>
      <c r="M2" s="749"/>
      <c r="N2" s="749"/>
      <c r="O2" s="747" t="s">
        <v>336</v>
      </c>
      <c r="P2" s="747" t="s">
        <v>338</v>
      </c>
      <c r="Q2" s="747" t="s">
        <v>338</v>
      </c>
      <c r="R2" s="749"/>
      <c r="S2" s="747" t="s">
        <v>336</v>
      </c>
      <c r="T2" s="747" t="s">
        <v>340</v>
      </c>
      <c r="U2" s="747" t="s">
        <v>338</v>
      </c>
      <c r="V2" s="747" t="s">
        <v>337</v>
      </c>
      <c r="W2" s="747" t="s">
        <v>406</v>
      </c>
      <c r="X2" s="747" t="s">
        <v>925</v>
      </c>
      <c r="Y2" s="747" t="s">
        <v>923</v>
      </c>
      <c r="Z2" s="747" t="s">
        <v>922</v>
      </c>
      <c r="AA2" s="747" t="s">
        <v>924</v>
      </c>
      <c r="AB2" s="749"/>
      <c r="AC2" s="747" t="s">
        <v>336</v>
      </c>
      <c r="AD2" s="747" t="s">
        <v>338</v>
      </c>
      <c r="AE2" s="747" t="s">
        <v>338</v>
      </c>
      <c r="AF2" s="749"/>
      <c r="AG2" s="747" t="s">
        <v>336</v>
      </c>
      <c r="AH2" s="747" t="s">
        <v>340</v>
      </c>
      <c r="AI2" s="747" t="s">
        <v>338</v>
      </c>
      <c r="AJ2" s="747" t="s">
        <v>337</v>
      </c>
      <c r="AK2" s="747" t="s">
        <v>406</v>
      </c>
      <c r="AL2" s="747" t="s">
        <v>907</v>
      </c>
      <c r="AM2" s="747" t="s">
        <v>338</v>
      </c>
      <c r="AN2" s="747" t="s">
        <v>337</v>
      </c>
      <c r="AO2" s="747" t="s">
        <v>406</v>
      </c>
      <c r="AP2" s="749"/>
      <c r="AQ2" s="749"/>
      <c r="AR2" s="747" t="s">
        <v>336</v>
      </c>
      <c r="AS2" s="747" t="s">
        <v>338</v>
      </c>
      <c r="AT2" s="747" t="s">
        <v>338</v>
      </c>
      <c r="AU2" s="749"/>
      <c r="AV2" s="747" t="s">
        <v>336</v>
      </c>
      <c r="AW2" s="747" t="s">
        <v>340</v>
      </c>
      <c r="AX2" s="747" t="s">
        <v>338</v>
      </c>
      <c r="AY2" s="747" t="s">
        <v>337</v>
      </c>
      <c r="AZ2" s="747" t="s">
        <v>406</v>
      </c>
      <c r="BA2" s="747" t="s">
        <v>925</v>
      </c>
      <c r="BB2" s="747" t="s">
        <v>923</v>
      </c>
      <c r="BC2" s="747" t="s">
        <v>922</v>
      </c>
      <c r="BD2" s="747" t="s">
        <v>924</v>
      </c>
      <c r="BE2" s="749"/>
      <c r="BF2" s="749"/>
      <c r="BG2" s="747" t="s">
        <v>336</v>
      </c>
      <c r="BH2" s="747" t="s">
        <v>338</v>
      </c>
      <c r="BI2" s="750" t="s">
        <v>923</v>
      </c>
      <c r="BK2" s="763" t="s">
        <v>336</v>
      </c>
      <c r="BL2" s="747" t="s">
        <v>340</v>
      </c>
      <c r="BM2" s="747" t="s">
        <v>338</v>
      </c>
      <c r="BN2" s="747" t="s">
        <v>337</v>
      </c>
      <c r="BO2" s="747" t="s">
        <v>406</v>
      </c>
      <c r="BP2" s="747" t="s">
        <v>925</v>
      </c>
      <c r="BQ2" s="747" t="s">
        <v>923</v>
      </c>
      <c r="BR2" s="747" t="s">
        <v>922</v>
      </c>
      <c r="BS2" s="750" t="s">
        <v>924</v>
      </c>
      <c r="BV2" s="726" t="s">
        <v>336</v>
      </c>
      <c r="BW2" s="726" t="s">
        <v>338</v>
      </c>
      <c r="BX2" s="726" t="s">
        <v>923</v>
      </c>
      <c r="BZ2" s="726" t="s">
        <v>336</v>
      </c>
      <c r="CA2" s="726" t="s">
        <v>340</v>
      </c>
      <c r="CB2" s="726" t="s">
        <v>338</v>
      </c>
      <c r="CC2" s="726" t="s">
        <v>337</v>
      </c>
      <c r="CD2" s="726" t="s">
        <v>406</v>
      </c>
      <c r="CE2" s="726" t="s">
        <v>925</v>
      </c>
      <c r="CF2" s="726" t="s">
        <v>923</v>
      </c>
      <c r="CG2" s="726" t="s">
        <v>922</v>
      </c>
      <c r="CH2" s="726" t="s">
        <v>924</v>
      </c>
      <c r="CK2" s="726" t="s">
        <v>336</v>
      </c>
      <c r="CL2" s="726" t="s">
        <v>338</v>
      </c>
      <c r="CM2" s="726" t="s">
        <v>923</v>
      </c>
      <c r="CP2" s="726" t="s">
        <v>336</v>
      </c>
      <c r="CQ2" s="726" t="s">
        <v>340</v>
      </c>
      <c r="CR2" s="726" t="s">
        <v>338</v>
      </c>
      <c r="CS2" s="726" t="s">
        <v>337</v>
      </c>
      <c r="CT2" s="726" t="s">
        <v>406</v>
      </c>
      <c r="CU2" s="726" t="s">
        <v>925</v>
      </c>
      <c r="CV2" s="726" t="s">
        <v>923</v>
      </c>
      <c r="CW2" s="726" t="s">
        <v>922</v>
      </c>
      <c r="CX2" s="726" t="s">
        <v>924</v>
      </c>
      <c r="CZ2" s="726" t="s">
        <v>336</v>
      </c>
      <c r="DA2" s="726" t="s">
        <v>338</v>
      </c>
      <c r="DB2" s="726" t="s">
        <v>923</v>
      </c>
      <c r="DE2" s="726" t="s">
        <v>336</v>
      </c>
      <c r="DF2" s="726" t="s">
        <v>340</v>
      </c>
      <c r="DG2" s="726" t="s">
        <v>338</v>
      </c>
      <c r="DH2" s="726" t="s">
        <v>337</v>
      </c>
      <c r="DI2" s="726" t="s">
        <v>406</v>
      </c>
      <c r="DJ2" s="726" t="s">
        <v>925</v>
      </c>
      <c r="DK2" s="726" t="s">
        <v>923</v>
      </c>
      <c r="DL2" s="726" t="s">
        <v>922</v>
      </c>
      <c r="DM2" s="726" t="s">
        <v>924</v>
      </c>
      <c r="DP2" s="726" t="s">
        <v>336</v>
      </c>
      <c r="DQ2" s="726" t="s">
        <v>338</v>
      </c>
      <c r="DR2" s="726" t="s">
        <v>956</v>
      </c>
      <c r="DT2" s="726" t="s">
        <v>336</v>
      </c>
      <c r="DU2" s="726" t="s">
        <v>340</v>
      </c>
      <c r="DV2" s="726" t="s">
        <v>338</v>
      </c>
      <c r="DW2" s="726" t="s">
        <v>337</v>
      </c>
      <c r="DX2" s="726" t="s">
        <v>406</v>
      </c>
      <c r="DY2" s="726" t="s">
        <v>925</v>
      </c>
      <c r="DZ2" s="726" t="s">
        <v>923</v>
      </c>
      <c r="EA2" s="726" t="s">
        <v>922</v>
      </c>
      <c r="EB2" s="726" t="s">
        <v>924</v>
      </c>
      <c r="EE2" s="726" t="s">
        <v>336</v>
      </c>
      <c r="EF2" s="726" t="s">
        <v>338</v>
      </c>
      <c r="EG2" s="726" t="s">
        <v>923</v>
      </c>
      <c r="EI2" s="726" t="s">
        <v>336</v>
      </c>
      <c r="EJ2" s="726" t="s">
        <v>340</v>
      </c>
      <c r="EK2" s="726" t="s">
        <v>337</v>
      </c>
      <c r="EL2" s="726" t="s">
        <v>338</v>
      </c>
      <c r="EM2" s="726" t="s">
        <v>925</v>
      </c>
      <c r="EN2" s="726" t="s">
        <v>923</v>
      </c>
      <c r="EO2" s="726" t="s">
        <v>922</v>
      </c>
      <c r="ER2" s="726" t="s">
        <v>336</v>
      </c>
      <c r="ES2" s="726" t="s">
        <v>338</v>
      </c>
      <c r="ET2" s="726" t="s">
        <v>338</v>
      </c>
      <c r="EW2" s="726" t="s">
        <v>336</v>
      </c>
      <c r="EX2" s="726" t="s">
        <v>872</v>
      </c>
      <c r="EY2" s="726" t="s">
        <v>340</v>
      </c>
      <c r="EZ2" s="726" t="s">
        <v>338</v>
      </c>
      <c r="FA2" s="726" t="s">
        <v>337</v>
      </c>
      <c r="FB2" s="726" t="s">
        <v>406</v>
      </c>
      <c r="FC2" s="726" t="s">
        <v>976</v>
      </c>
      <c r="FD2" s="726" t="s">
        <v>925</v>
      </c>
      <c r="FE2" s="726" t="s">
        <v>923</v>
      </c>
      <c r="FF2" s="726" t="s">
        <v>977</v>
      </c>
      <c r="FG2" s="726" t="s">
        <v>924</v>
      </c>
      <c r="FJ2" s="726" t="s">
        <v>336</v>
      </c>
      <c r="FK2" s="726" t="s">
        <v>338</v>
      </c>
      <c r="FL2" s="726" t="s">
        <v>923</v>
      </c>
      <c r="FN2" s="726" t="s">
        <v>336</v>
      </c>
      <c r="FO2" s="726" t="s">
        <v>340</v>
      </c>
      <c r="FP2" s="726" t="s">
        <v>338</v>
      </c>
      <c r="FQ2" s="726" t="s">
        <v>337</v>
      </c>
      <c r="FR2" s="726" t="s">
        <v>925</v>
      </c>
      <c r="FS2" s="726" t="s">
        <v>923</v>
      </c>
      <c r="FT2" s="726" t="s">
        <v>922</v>
      </c>
    </row>
    <row r="3" spans="1:176" ht="15" customHeight="1" x14ac:dyDescent="0.25">
      <c r="A3" s="728" t="s">
        <v>428</v>
      </c>
      <c r="B3" s="729" t="s">
        <v>456</v>
      </c>
      <c r="C3" s="687">
        <v>19060021000</v>
      </c>
      <c r="D3" s="687">
        <v>19060021000</v>
      </c>
      <c r="E3" s="687">
        <v>1271754440</v>
      </c>
      <c r="F3" s="687">
        <v>17788266560</v>
      </c>
      <c r="G3" s="687">
        <v>1271754440</v>
      </c>
      <c r="H3" s="730">
        <f>+D3/$I$1*$J$1</f>
        <v>19860541.881999999</v>
      </c>
      <c r="I3" s="730">
        <f>+E3/$I$1*$J$1</f>
        <v>1325168.1264800001</v>
      </c>
      <c r="J3" s="730">
        <f>+F3/$I$1*$J$1</f>
        <v>18535373.755520001</v>
      </c>
      <c r="K3" s="730">
        <f>+G3/$I$1*$J$1</f>
        <v>1325168.1264800001</v>
      </c>
      <c r="O3" s="729" t="s">
        <v>456</v>
      </c>
      <c r="P3" s="687">
        <v>1289694690</v>
      </c>
      <c r="Q3" s="730">
        <f>+P3/$P$1*$Q$1</f>
        <v>1343861.8669799999</v>
      </c>
      <c r="S3" s="729" t="s">
        <v>456</v>
      </c>
      <c r="T3" s="687">
        <v>19060021000</v>
      </c>
      <c r="U3" s="687">
        <v>2561449130</v>
      </c>
      <c r="V3" s="687">
        <v>2561449130</v>
      </c>
      <c r="W3" s="687">
        <v>16498571870</v>
      </c>
      <c r="X3" s="730">
        <f>+T3/$Z$1*$AA$1</f>
        <v>19860541.881999999</v>
      </c>
      <c r="Y3" s="730">
        <f>+U3/$Z$1*$AA$1</f>
        <v>2669029.99346</v>
      </c>
      <c r="Z3" s="730">
        <f>+V3/$Z$1*$AA$1</f>
        <v>2669029.99346</v>
      </c>
      <c r="AA3" s="730">
        <f>+W3/$Z$1*$AA$1</f>
        <v>17191511.88854</v>
      </c>
      <c r="AC3" s="729" t="s">
        <v>456</v>
      </c>
      <c r="AD3" s="687">
        <v>2224450593</v>
      </c>
      <c r="AE3" s="730">
        <f>+AD3/$AD$1*$AE$1</f>
        <v>2317877.5179059999</v>
      </c>
      <c r="AG3" s="732" t="s">
        <v>456</v>
      </c>
      <c r="AH3" s="687">
        <v>19060021000</v>
      </c>
      <c r="AI3" s="687">
        <v>4785899723</v>
      </c>
      <c r="AJ3" s="687">
        <v>4785899723</v>
      </c>
      <c r="AK3" s="687">
        <v>14274121277</v>
      </c>
      <c r="AL3" s="733">
        <f>+AH3/$AN$1*$AO$1</f>
        <v>19860541.881999999</v>
      </c>
      <c r="AM3" s="733">
        <f>+AI3/$AN$1*$AO$1</f>
        <v>4986907.5113660004</v>
      </c>
      <c r="AN3" s="733">
        <f>+AJ3/$AN$1*$AO$1</f>
        <v>4986907.5113660004</v>
      </c>
      <c r="AO3" s="733">
        <f>+AK3/$AN$1*$AO$1</f>
        <v>14873634.370634001</v>
      </c>
      <c r="AR3" s="729" t="s">
        <v>456</v>
      </c>
      <c r="AS3" s="687">
        <v>1325958870</v>
      </c>
      <c r="AT3" s="687">
        <f>+AS3/$AS$1*$AT$1</f>
        <v>1381649.1425400001</v>
      </c>
      <c r="AV3" s="729" t="s">
        <v>456</v>
      </c>
      <c r="AW3" s="687">
        <v>19078325000</v>
      </c>
      <c r="AX3" s="687">
        <v>6111858593</v>
      </c>
      <c r="AY3" s="687">
        <v>6111858593</v>
      </c>
      <c r="AZ3" s="687">
        <v>12966466407</v>
      </c>
      <c r="BA3" s="730">
        <f>+AW3/$BC$1*$BD$1</f>
        <v>19879614.650000002</v>
      </c>
      <c r="BB3" s="730">
        <f>+AX3/$BC$1*$BD$1</f>
        <v>6368556.6539060008</v>
      </c>
      <c r="BC3" s="730">
        <f>+AY3/$BC$1*$BD$1</f>
        <v>6368556.6539060008</v>
      </c>
      <c r="BD3" s="730">
        <f>+AZ3/$BC$1*$BD$1</f>
        <v>13511057.996094</v>
      </c>
      <c r="BG3" s="751" t="s">
        <v>456</v>
      </c>
      <c r="BH3" s="752">
        <v>1314037568</v>
      </c>
      <c r="BI3" s="753">
        <f>+BH3/$BR$1*$BS$1</f>
        <v>1369227.145856</v>
      </c>
      <c r="BK3" s="751" t="s">
        <v>456</v>
      </c>
      <c r="BL3" s="752">
        <v>19078325000</v>
      </c>
      <c r="BM3" s="752">
        <v>7425896161</v>
      </c>
      <c r="BN3" s="752">
        <v>7425896161</v>
      </c>
      <c r="BO3" s="752">
        <v>11652428839</v>
      </c>
      <c r="BP3" s="752">
        <f>+BL3/$BR$1*$BS$1</f>
        <v>19879614.650000002</v>
      </c>
      <c r="BQ3" s="752">
        <f t="shared" ref="BQ3:BR3" si="0">+BM3/$BR$1*$BS$1</f>
        <v>7737783.7997620003</v>
      </c>
      <c r="BR3" s="752">
        <f t="shared" si="0"/>
        <v>7737783.7997620003</v>
      </c>
      <c r="BS3" s="753">
        <f>+BO3/$BR$1*$BS$1</f>
        <v>12141830.850238001</v>
      </c>
      <c r="BV3" s="729" t="s">
        <v>456</v>
      </c>
      <c r="BW3" s="687">
        <v>2268204696</v>
      </c>
      <c r="BX3" s="730">
        <f>+BW3/$BW$1*$BX$1</f>
        <v>2363469.293232</v>
      </c>
      <c r="BZ3" s="729" t="s">
        <v>456</v>
      </c>
      <c r="CA3" s="687">
        <v>19078325000</v>
      </c>
      <c r="CB3" s="687">
        <v>9694100857</v>
      </c>
      <c r="CC3" s="687">
        <v>9694100857</v>
      </c>
      <c r="CD3" s="687">
        <v>9384224143</v>
      </c>
      <c r="CE3" s="687">
        <f>+CA3/$CG$1*$CH$1</f>
        <v>19879614.650000002</v>
      </c>
      <c r="CF3" s="687">
        <f t="shared" ref="CF3:CH3" si="1">+CB3/$CG$1*$CH$1</f>
        <v>10101253.092994001</v>
      </c>
      <c r="CG3" s="687">
        <f t="shared" si="1"/>
        <v>10101253.092994001</v>
      </c>
      <c r="CH3" s="687">
        <f t="shared" si="1"/>
        <v>9778361.5570059996</v>
      </c>
      <c r="CK3" s="731" t="s">
        <v>456</v>
      </c>
      <c r="CL3" s="730">
        <v>1318116511</v>
      </c>
      <c r="CM3" s="730">
        <f>+CL3/$CM$1*$CN$1</f>
        <v>1373477.4044619999</v>
      </c>
      <c r="CP3" s="731" t="s">
        <v>456</v>
      </c>
      <c r="CQ3" s="730">
        <v>19013020000</v>
      </c>
      <c r="CR3" s="730">
        <v>11012217368</v>
      </c>
      <c r="CS3" s="730">
        <v>11012217368</v>
      </c>
      <c r="CT3" s="730">
        <v>8000802632</v>
      </c>
      <c r="CU3" s="730">
        <f t="shared" ref="CU3:CU34" si="2">+CQ3/$CV$1*$CW$1</f>
        <v>19811566.84</v>
      </c>
      <c r="CV3" s="730">
        <f t="shared" ref="CV3:CV34" si="3">+CR3/$CV$1*$CW$1</f>
        <v>11474730.497456001</v>
      </c>
      <c r="CW3" s="730">
        <f t="shared" ref="CW3:CW34" si="4">+CS3/$CV$1*$CW$1</f>
        <v>11474730.497456001</v>
      </c>
      <c r="CX3" s="730">
        <f t="shared" ref="CX3:CX34" si="5">+CT3/$CV$1*$CW$1</f>
        <v>8336836.3425440006</v>
      </c>
      <c r="CZ3" s="731" t="s">
        <v>456</v>
      </c>
      <c r="DA3" s="730">
        <v>1314059529</v>
      </c>
      <c r="DB3" s="730">
        <f>+DA3/$DB$1*$DC$1</f>
        <v>1369250.0292180001</v>
      </c>
      <c r="DE3" s="729" t="s">
        <v>456</v>
      </c>
      <c r="DF3" s="687">
        <v>19013020000</v>
      </c>
      <c r="DG3" s="687">
        <v>12326276897</v>
      </c>
      <c r="DH3" s="687">
        <v>12326276897</v>
      </c>
      <c r="DI3" s="687">
        <v>6686743103</v>
      </c>
      <c r="DJ3" s="730">
        <f>+DF3/$DL$1*$DM$1</f>
        <v>19811566.84</v>
      </c>
      <c r="DK3" s="730">
        <f t="shared" ref="DK3:DM3" si="6">+DG3/$DL$1*$DM$1</f>
        <v>12843980.526674001</v>
      </c>
      <c r="DL3" s="730">
        <f t="shared" si="6"/>
        <v>12843980.526674001</v>
      </c>
      <c r="DM3" s="730">
        <f t="shared" si="6"/>
        <v>6967586.3133260002</v>
      </c>
      <c r="DP3" s="729" t="s">
        <v>456</v>
      </c>
      <c r="DQ3" s="687">
        <v>2273246202</v>
      </c>
      <c r="DR3" s="730">
        <f>+DQ3/$DQ$1*$DR$1</f>
        <v>2273246.202</v>
      </c>
      <c r="DT3" s="729" t="s">
        <v>456</v>
      </c>
      <c r="DU3" s="687">
        <v>19013020000</v>
      </c>
      <c r="DV3" s="687">
        <v>14599523099</v>
      </c>
      <c r="DW3" s="687">
        <v>14599523099</v>
      </c>
      <c r="DX3" s="687">
        <v>4413496901</v>
      </c>
      <c r="DY3" s="730">
        <f>+DU3/$EA$1*$EB$1</f>
        <v>19013020</v>
      </c>
      <c r="DZ3" s="730">
        <f t="shared" ref="DZ3:EB3" si="7">+DV3/$EA$1*$EB$1</f>
        <v>14599523.098999999</v>
      </c>
      <c r="EA3" s="730">
        <f t="shared" si="7"/>
        <v>14599523.098999999</v>
      </c>
      <c r="EB3" s="730">
        <f t="shared" si="7"/>
        <v>4413496.9009999996</v>
      </c>
      <c r="EE3" s="731" t="s">
        <v>456</v>
      </c>
      <c r="EF3" s="730">
        <v>1298474094</v>
      </c>
      <c r="EG3" s="734">
        <f>EF3/$EF$1*$EG$1</f>
        <v>1298474.094</v>
      </c>
      <c r="EI3" s="731" t="s">
        <v>456</v>
      </c>
      <c r="EJ3" s="730">
        <v>19013020000</v>
      </c>
      <c r="EK3" s="730">
        <v>15897997193</v>
      </c>
      <c r="EL3" s="730">
        <v>15897997193</v>
      </c>
      <c r="EM3" s="734">
        <f>EJ3/$EN$1*$EO$1</f>
        <v>19013020</v>
      </c>
      <c r="EN3" s="734">
        <f>EK3/$EN$1*$EO$1</f>
        <v>15897997.193</v>
      </c>
      <c r="EO3" s="734">
        <f>EL3/$EN$1*$EO$1</f>
        <v>15897997.193</v>
      </c>
      <c r="ER3" s="729" t="s">
        <v>456</v>
      </c>
      <c r="ES3" s="687">
        <v>1304211056</v>
      </c>
      <c r="ET3" s="730">
        <f>+ES3/$ET$1*$EU$1</f>
        <v>1304211.0560000001</v>
      </c>
      <c r="EW3" s="729" t="s">
        <v>456</v>
      </c>
      <c r="EX3" s="687">
        <v>19013020000</v>
      </c>
      <c r="EY3" s="687">
        <v>19013020000</v>
      </c>
      <c r="EZ3" s="687">
        <v>17202208249</v>
      </c>
      <c r="FA3" s="687">
        <v>17202208249</v>
      </c>
      <c r="FB3" s="687">
        <v>1810811751</v>
      </c>
      <c r="FC3" s="730">
        <f>+EX3/$FF$1*$FG$1</f>
        <v>19013020</v>
      </c>
      <c r="FD3" s="730">
        <f t="shared" ref="FD3:FF3" si="8">+EY3/$FF$1*$FG$1</f>
        <v>19013020</v>
      </c>
      <c r="FE3" s="730">
        <f t="shared" si="8"/>
        <v>17202208.249000002</v>
      </c>
      <c r="FF3" s="730">
        <f t="shared" si="8"/>
        <v>17202208.249000002</v>
      </c>
      <c r="FG3" s="730">
        <f>+FB3/$FF$1*$FG$1</f>
        <v>1810811.7509999999</v>
      </c>
      <c r="FJ3" s="731" t="s">
        <v>456</v>
      </c>
      <c r="FK3" s="730">
        <v>2384792100</v>
      </c>
      <c r="FL3" s="734">
        <f>+FK3/$FK$1*$FL$1</f>
        <v>2384792.1</v>
      </c>
      <c r="FN3" s="735" t="s">
        <v>456</v>
      </c>
      <c r="FO3" s="736">
        <v>20131855000</v>
      </c>
      <c r="FP3" s="736">
        <v>19587000349</v>
      </c>
      <c r="FQ3" s="736">
        <v>19587000349</v>
      </c>
      <c r="FR3" s="736">
        <f>+FO3/$FR$1*$FS$1</f>
        <v>20131855</v>
      </c>
      <c r="FS3" s="736">
        <f t="shared" ref="FS3:FT3" si="9">+FP3/$FR$1*$FS$1</f>
        <v>19587000.348999999</v>
      </c>
      <c r="FT3" s="736">
        <f t="shared" si="9"/>
        <v>19587000.348999999</v>
      </c>
    </row>
    <row r="4" spans="1:176" ht="15" customHeight="1" x14ac:dyDescent="0.25">
      <c r="A4" s="728" t="s">
        <v>879</v>
      </c>
      <c r="B4" s="729" t="s">
        <v>455</v>
      </c>
      <c r="C4" s="687">
        <v>0</v>
      </c>
      <c r="D4" s="687">
        <v>980243500</v>
      </c>
      <c r="E4" s="687">
        <v>61946520</v>
      </c>
      <c r="F4" s="687">
        <v>918296980</v>
      </c>
      <c r="G4" s="687">
        <v>61946520</v>
      </c>
      <c r="H4" s="730">
        <f t="shared" ref="H4:H67" si="10">+D4/$I$1*$J$1</f>
        <v>1021413.7270000001</v>
      </c>
      <c r="I4" s="730">
        <f t="shared" ref="I4:I67" si="11">+E4/$I$1*$J$1</f>
        <v>64548.273840000002</v>
      </c>
      <c r="J4" s="730">
        <f t="shared" ref="J4:J67" si="12">+F4/$I$1*$J$1</f>
        <v>956865.45316000003</v>
      </c>
      <c r="K4" s="730">
        <f t="shared" ref="K4:K67" si="13">+G4/$I$1*$J$1</f>
        <v>64548.273840000002</v>
      </c>
      <c r="O4" s="729" t="s">
        <v>455</v>
      </c>
      <c r="P4" s="687">
        <v>60628006</v>
      </c>
      <c r="Q4" s="730">
        <f t="shared" ref="Q4:Q67" si="14">+P4/$P$1*$Q$1</f>
        <v>63174.382252000003</v>
      </c>
      <c r="S4" s="729" t="s">
        <v>455</v>
      </c>
      <c r="T4" s="687">
        <v>982743500</v>
      </c>
      <c r="U4" s="687">
        <v>122574526</v>
      </c>
      <c r="V4" s="687">
        <v>122574526</v>
      </c>
      <c r="W4" s="687">
        <v>860168974</v>
      </c>
      <c r="X4" s="730">
        <f t="shared" ref="X4:X67" si="15">+T4/$Z$1*$AA$1</f>
        <v>1024018.7270000001</v>
      </c>
      <c r="Y4" s="730">
        <f t="shared" ref="Y4:Y67" si="16">+U4/$Z$1*$AA$1</f>
        <v>127722.656092</v>
      </c>
      <c r="Z4" s="730">
        <f t="shared" ref="Z4:Z67" si="17">+V4/$Z$1*$AA$1</f>
        <v>127722.656092</v>
      </c>
      <c r="AA4" s="730">
        <f t="shared" ref="AA4:AA67" si="18">+W4/$Z$1*$AA$1</f>
        <v>896296.07090800011</v>
      </c>
      <c r="AC4" s="729" t="s">
        <v>455</v>
      </c>
      <c r="AD4" s="687">
        <v>95449534</v>
      </c>
      <c r="AE4" s="730">
        <f t="shared" ref="AE4:AE67" si="19">+AD4/$AD$1*$AE$1</f>
        <v>99458.414428000004</v>
      </c>
      <c r="AG4" s="729" t="s">
        <v>455</v>
      </c>
      <c r="AH4" s="687">
        <v>982743500</v>
      </c>
      <c r="AI4" s="687">
        <v>218024060</v>
      </c>
      <c r="AJ4" s="687">
        <v>218024060</v>
      </c>
      <c r="AK4" s="687">
        <v>764719440</v>
      </c>
      <c r="AL4" s="687">
        <f t="shared" ref="AL4:AL67" si="20">+AH4/$AN$1*$AO$1</f>
        <v>1024018.7270000001</v>
      </c>
      <c r="AM4" s="687">
        <f t="shared" ref="AM4:AM67" si="21">+AI4/$AN$1*$AO$1</f>
        <v>227181.07052000001</v>
      </c>
      <c r="AN4" s="687">
        <f t="shared" ref="AN4:AN67" si="22">+AJ4/$AN$1*$AO$1</f>
        <v>227181.07052000001</v>
      </c>
      <c r="AO4" s="687">
        <f t="shared" ref="AO4:AO67" si="23">+AK4/$AN$1*$AO$1</f>
        <v>796837.65648000001</v>
      </c>
      <c r="AR4" s="729" t="s">
        <v>455</v>
      </c>
      <c r="AS4" s="687">
        <v>60448628</v>
      </c>
      <c r="AT4" s="687">
        <f t="shared" ref="AT4:AT67" si="24">+AS4/$AS$1*$AT$1</f>
        <v>62987.470375999997</v>
      </c>
      <c r="AV4" s="729" t="s">
        <v>455</v>
      </c>
      <c r="AW4" s="687">
        <v>982943500</v>
      </c>
      <c r="AX4" s="687">
        <v>278472688</v>
      </c>
      <c r="AY4" s="687">
        <v>278472688</v>
      </c>
      <c r="AZ4" s="687">
        <v>704470812</v>
      </c>
      <c r="BA4" s="730">
        <f t="shared" ref="BA4:BA67" si="25">+AW4/$BC$1*$BD$1</f>
        <v>1024227.127</v>
      </c>
      <c r="BB4" s="730">
        <f t="shared" ref="BB4:BB67" si="26">+AX4/$BC$1*$BD$1</f>
        <v>290168.54089600005</v>
      </c>
      <c r="BC4" s="730">
        <f t="shared" ref="BC4:BC67" si="27">+AY4/$BC$1*$BD$1</f>
        <v>290168.54089600005</v>
      </c>
      <c r="BD4" s="730">
        <f t="shared" ref="BD4:BD67" si="28">+AZ4/$BC$1*$BD$1</f>
        <v>734058.5861040001</v>
      </c>
      <c r="BG4" s="754" t="s">
        <v>455</v>
      </c>
      <c r="BH4" s="687">
        <v>56809208</v>
      </c>
      <c r="BI4" s="755">
        <f t="shared" ref="BI4:BI67" si="29">+BH4/$BR$1*$BS$1</f>
        <v>59195.194735999998</v>
      </c>
      <c r="BK4" s="754" t="s">
        <v>455</v>
      </c>
      <c r="BL4" s="687">
        <v>982243500</v>
      </c>
      <c r="BM4" s="687">
        <v>335281896</v>
      </c>
      <c r="BN4" s="687">
        <v>335281896</v>
      </c>
      <c r="BO4" s="687">
        <v>646961604</v>
      </c>
      <c r="BP4" s="687">
        <f t="shared" ref="BP4:BP67" si="30">+BL4/$BR$1*$BS$1</f>
        <v>1023497.7270000001</v>
      </c>
      <c r="BQ4" s="687">
        <f t="shared" ref="BQ4:BQ67" si="31">+BM4/$BR$1*$BS$1</f>
        <v>349363.73563200003</v>
      </c>
      <c r="BR4" s="687">
        <f t="shared" ref="BR4:BR67" si="32">+BN4/$BR$1*$BS$1</f>
        <v>349363.73563200003</v>
      </c>
      <c r="BS4" s="755">
        <f t="shared" ref="BS4:BS67" si="33">+BO4/$BR$1*$BS$1</f>
        <v>674133.99136800005</v>
      </c>
      <c r="BV4" s="729" t="s">
        <v>455</v>
      </c>
      <c r="BW4" s="687">
        <v>91423101</v>
      </c>
      <c r="BX4" s="730">
        <f t="shared" ref="BX4:BX67" si="34">+BW4/$BW$1*$BX$1</f>
        <v>95262.871241999994</v>
      </c>
      <c r="BZ4" s="729" t="s">
        <v>455</v>
      </c>
      <c r="CA4" s="687">
        <v>982127278</v>
      </c>
      <c r="CB4" s="687">
        <v>426704997</v>
      </c>
      <c r="CC4" s="687">
        <v>426704997</v>
      </c>
      <c r="CD4" s="687">
        <v>555422281</v>
      </c>
      <c r="CE4" s="687">
        <f t="shared" ref="CE4:CE67" si="35">+CA4/$CG$1*$CH$1</f>
        <v>1023376.623676</v>
      </c>
      <c r="CF4" s="687">
        <f t="shared" ref="CF4:CF67" si="36">+CB4/$CG$1*$CH$1</f>
        <v>444626.60687399999</v>
      </c>
      <c r="CG4" s="687">
        <f t="shared" ref="CG4:CG67" si="37">+CC4/$CG$1*$CH$1</f>
        <v>444626.60687399999</v>
      </c>
      <c r="CH4" s="687">
        <f t="shared" ref="CH4:CH67" si="38">+CD4/$CG$1*$CH$1</f>
        <v>578750.016802</v>
      </c>
      <c r="CK4" s="731" t="s">
        <v>455</v>
      </c>
      <c r="CL4" s="730">
        <v>52293329</v>
      </c>
      <c r="CM4" s="730">
        <f t="shared" ref="CM4:CM67" si="39">+CL4/$CM$1*$CN$1</f>
        <v>54489.648818000001</v>
      </c>
      <c r="CP4" s="731" t="s">
        <v>455</v>
      </c>
      <c r="CQ4" s="730">
        <v>982558012</v>
      </c>
      <c r="CR4" s="730">
        <v>478998326</v>
      </c>
      <c r="CS4" s="730">
        <v>478998326</v>
      </c>
      <c r="CT4" s="730">
        <v>503559686</v>
      </c>
      <c r="CU4" s="730">
        <f t="shared" si="2"/>
        <v>1023825.448504</v>
      </c>
      <c r="CV4" s="730">
        <f t="shared" si="3"/>
        <v>499116.25569200004</v>
      </c>
      <c r="CW4" s="730">
        <f t="shared" si="4"/>
        <v>499116.25569200004</v>
      </c>
      <c r="CX4" s="730">
        <f t="shared" si="5"/>
        <v>524709.19281200005</v>
      </c>
      <c r="CZ4" s="731" t="s">
        <v>455</v>
      </c>
      <c r="DA4" s="730">
        <v>52533410</v>
      </c>
      <c r="DB4" s="730">
        <f t="shared" ref="DB4:DB67" si="40">+DA4/$DB$1*$DC$1</f>
        <v>54739.813220000004</v>
      </c>
      <c r="DE4" s="729" t="s">
        <v>455</v>
      </c>
      <c r="DF4" s="687">
        <v>983674012</v>
      </c>
      <c r="DG4" s="687">
        <v>531531736</v>
      </c>
      <c r="DH4" s="687">
        <v>531531736</v>
      </c>
      <c r="DI4" s="687">
        <v>452142276</v>
      </c>
      <c r="DJ4" s="730">
        <f t="shared" ref="DJ4:DJ67" si="41">+DF4/$DL$1*$DM$1</f>
        <v>1024988.3205040001</v>
      </c>
      <c r="DK4" s="730">
        <f t="shared" ref="DK4:DK67" si="42">+DG4/$DL$1*$DM$1</f>
        <v>553856.06891200005</v>
      </c>
      <c r="DL4" s="730">
        <f t="shared" ref="DL4:DL67" si="43">+DH4/$DL$1*$DM$1</f>
        <v>553856.06891200005</v>
      </c>
      <c r="DM4" s="730">
        <f t="shared" ref="DM4:DM67" si="44">+DI4/$DL$1*$DM$1</f>
        <v>471132.25159200002</v>
      </c>
      <c r="DP4" s="729" t="s">
        <v>455</v>
      </c>
      <c r="DQ4" s="687">
        <v>82497582</v>
      </c>
      <c r="DR4" s="730">
        <f t="shared" ref="DR4:DR67" si="45">+DQ4/$DQ$1*$DR$1</f>
        <v>82497.581999999995</v>
      </c>
      <c r="DT4" s="729" t="s">
        <v>455</v>
      </c>
      <c r="DU4" s="687">
        <v>984293012</v>
      </c>
      <c r="DV4" s="687">
        <v>614029318</v>
      </c>
      <c r="DW4" s="687">
        <v>614029318</v>
      </c>
      <c r="DX4" s="687">
        <v>370263694</v>
      </c>
      <c r="DY4" s="730">
        <f t="shared" ref="DY4:DY67" si="46">+DU4/$EA$1*$EB$1</f>
        <v>984293.01199999999</v>
      </c>
      <c r="DZ4" s="730">
        <f t="shared" ref="DZ4:DZ67" si="47">+DV4/$EA$1*$EB$1</f>
        <v>614029.31799999997</v>
      </c>
      <c r="EA4" s="730">
        <f t="shared" ref="EA4:EA67" si="48">+DW4/$EA$1*$EB$1</f>
        <v>614029.31799999997</v>
      </c>
      <c r="EB4" s="730">
        <f t="shared" ref="EB4:EB67" si="49">+DX4/$EA$1*$EB$1</f>
        <v>370263.69400000002</v>
      </c>
      <c r="EE4" s="731" t="s">
        <v>455</v>
      </c>
      <c r="EF4" s="730">
        <v>52885635</v>
      </c>
      <c r="EG4" s="734">
        <f t="shared" ref="EG4:EG67" si="50">EF4/$EF$1*$EG$1</f>
        <v>52885.635000000002</v>
      </c>
      <c r="EI4" s="731" t="s">
        <v>455</v>
      </c>
      <c r="EJ4" s="730">
        <v>985350047</v>
      </c>
      <c r="EK4" s="730">
        <v>666914953</v>
      </c>
      <c r="EL4" s="730">
        <v>666914953</v>
      </c>
      <c r="EM4" s="734">
        <f t="shared" ref="EM4:EM67" si="51">EJ4/$EN$1*$EO$1</f>
        <v>985350.04700000002</v>
      </c>
      <c r="EN4" s="734">
        <f t="shared" ref="EN4:EN67" si="52">EK4/$EN$1*$EO$1</f>
        <v>666914.95299999998</v>
      </c>
      <c r="EO4" s="734">
        <f t="shared" ref="EO4:EO67" si="53">EL4/$EN$1*$EO$1</f>
        <v>666914.95299999998</v>
      </c>
      <c r="ER4" s="729" t="s">
        <v>455</v>
      </c>
      <c r="ES4" s="687">
        <v>52342317</v>
      </c>
      <c r="ET4" s="730">
        <f t="shared" ref="ET4:ET67" si="54">+ES4/$ET$1*$EU$1</f>
        <v>52342.317000000003</v>
      </c>
      <c r="EW4" s="729" t="s">
        <v>455</v>
      </c>
      <c r="EX4" s="687">
        <v>0</v>
      </c>
      <c r="EY4" s="687">
        <v>985350047</v>
      </c>
      <c r="EZ4" s="687">
        <v>719257270</v>
      </c>
      <c r="FA4" s="687">
        <v>719257270</v>
      </c>
      <c r="FB4" s="687">
        <v>266092777</v>
      </c>
      <c r="FC4" s="730">
        <f t="shared" ref="FC4:FC67" si="55">+EX4/$FF$1*$FG$1</f>
        <v>0</v>
      </c>
      <c r="FD4" s="730">
        <f t="shared" ref="FD4:FD67" si="56">+EY4/$FF$1*$FG$1</f>
        <v>985350.04700000002</v>
      </c>
      <c r="FE4" s="730">
        <f t="shared" ref="FE4:FE67" si="57">+EZ4/$FF$1*$FG$1</f>
        <v>719257.27</v>
      </c>
      <c r="FF4" s="730">
        <f t="shared" ref="FF4:FF67" si="58">+FA4/$FF$1*$FG$1</f>
        <v>719257.27</v>
      </c>
      <c r="FG4" s="730">
        <f t="shared" ref="FG4:FG67" si="59">+FB4/$FF$1*$FG$1</f>
        <v>266092.777</v>
      </c>
      <c r="FJ4" s="731" t="s">
        <v>455</v>
      </c>
      <c r="FK4" s="730">
        <v>84096785</v>
      </c>
      <c r="FL4" s="734">
        <f t="shared" ref="FL4:FL67" si="60">+FK4/$FK$1*$FL$1</f>
        <v>84096.785000000003</v>
      </c>
      <c r="FN4" s="735" t="s">
        <v>455</v>
      </c>
      <c r="FO4" s="736">
        <v>886446180</v>
      </c>
      <c r="FP4" s="736">
        <v>803354055</v>
      </c>
      <c r="FQ4" s="736">
        <v>803354055</v>
      </c>
      <c r="FR4" s="736">
        <f t="shared" ref="FR4:FR67" si="61">+FO4/$FR$1*$FS$1</f>
        <v>886446.18</v>
      </c>
      <c r="FS4" s="736">
        <f t="shared" ref="FS4:FS67" si="62">+FP4/$FR$1*$FS$1</f>
        <v>803354.05500000005</v>
      </c>
      <c r="FT4" s="736">
        <f t="shared" ref="FT4:FT67" si="63">+FQ4/$FR$1*$FS$1</f>
        <v>803354.05500000005</v>
      </c>
    </row>
    <row r="5" spans="1:176" ht="15" customHeight="1" x14ac:dyDescent="0.25">
      <c r="A5" s="728" t="s">
        <v>880</v>
      </c>
      <c r="B5" s="729" t="s">
        <v>454</v>
      </c>
      <c r="C5" s="687">
        <v>0</v>
      </c>
      <c r="D5" s="687">
        <v>689990000</v>
      </c>
      <c r="E5" s="687">
        <v>50675289</v>
      </c>
      <c r="F5" s="687">
        <v>639314711</v>
      </c>
      <c r="G5" s="687">
        <v>50675289</v>
      </c>
      <c r="H5" s="730">
        <f t="shared" si="10"/>
        <v>718969.58000000007</v>
      </c>
      <c r="I5" s="730">
        <f t="shared" si="11"/>
        <v>52803.651138000001</v>
      </c>
      <c r="J5" s="730">
        <f t="shared" si="12"/>
        <v>666165.928862</v>
      </c>
      <c r="K5" s="730">
        <f t="shared" si="13"/>
        <v>52803.651138000001</v>
      </c>
      <c r="O5" s="729" t="s">
        <v>454</v>
      </c>
      <c r="P5" s="687">
        <v>50639978</v>
      </c>
      <c r="Q5" s="730">
        <f t="shared" si="14"/>
        <v>52766.857076000008</v>
      </c>
      <c r="S5" s="729" t="s">
        <v>454</v>
      </c>
      <c r="T5" s="687">
        <v>689990000</v>
      </c>
      <c r="U5" s="687">
        <v>101315267</v>
      </c>
      <c r="V5" s="687">
        <v>101315267</v>
      </c>
      <c r="W5" s="687">
        <v>588674733</v>
      </c>
      <c r="X5" s="730">
        <f t="shared" si="15"/>
        <v>718969.58000000007</v>
      </c>
      <c r="Y5" s="730">
        <f t="shared" si="16"/>
        <v>105570.50821400002</v>
      </c>
      <c r="Z5" s="730">
        <f t="shared" si="17"/>
        <v>105570.50821400002</v>
      </c>
      <c r="AA5" s="730">
        <f t="shared" si="18"/>
        <v>613399.07178600004</v>
      </c>
      <c r="AC5" s="729" t="s">
        <v>454</v>
      </c>
      <c r="AD5" s="687">
        <v>70344421</v>
      </c>
      <c r="AE5" s="730">
        <f t="shared" si="19"/>
        <v>73298.886682000011</v>
      </c>
      <c r="AG5" s="729" t="s">
        <v>454</v>
      </c>
      <c r="AH5" s="687">
        <v>689990000</v>
      </c>
      <c r="AI5" s="687">
        <v>171659688</v>
      </c>
      <c r="AJ5" s="687">
        <v>171659688</v>
      </c>
      <c r="AK5" s="687">
        <v>518330312</v>
      </c>
      <c r="AL5" s="687">
        <f t="shared" si="20"/>
        <v>718969.58000000007</v>
      </c>
      <c r="AM5" s="687">
        <f t="shared" si="21"/>
        <v>178869.39489600001</v>
      </c>
      <c r="AN5" s="687">
        <f t="shared" si="22"/>
        <v>178869.39489600001</v>
      </c>
      <c r="AO5" s="687">
        <f t="shared" si="23"/>
        <v>540100.18510400003</v>
      </c>
      <c r="AR5" s="729" t="s">
        <v>454</v>
      </c>
      <c r="AS5" s="687">
        <v>50704452</v>
      </c>
      <c r="AT5" s="687">
        <f t="shared" si="24"/>
        <v>52834.038983999999</v>
      </c>
      <c r="AV5" s="729" t="s">
        <v>454</v>
      </c>
      <c r="AW5" s="687">
        <v>689990000</v>
      </c>
      <c r="AX5" s="687">
        <v>222364140</v>
      </c>
      <c r="AY5" s="687">
        <v>222364140</v>
      </c>
      <c r="AZ5" s="687">
        <v>467625860</v>
      </c>
      <c r="BA5" s="730">
        <f t="shared" si="25"/>
        <v>718969.58000000007</v>
      </c>
      <c r="BB5" s="730">
        <f t="shared" si="26"/>
        <v>231703.43388000003</v>
      </c>
      <c r="BC5" s="730">
        <f t="shared" si="27"/>
        <v>231703.43388000003</v>
      </c>
      <c r="BD5" s="730">
        <f t="shared" si="28"/>
        <v>487266.14611999999</v>
      </c>
      <c r="BG5" s="754" t="s">
        <v>454</v>
      </c>
      <c r="BH5" s="687">
        <v>47218468</v>
      </c>
      <c r="BI5" s="755">
        <f t="shared" si="29"/>
        <v>49201.643656</v>
      </c>
      <c r="BK5" s="754" t="s">
        <v>454</v>
      </c>
      <c r="BL5" s="687">
        <v>689990000</v>
      </c>
      <c r="BM5" s="687">
        <v>269582608</v>
      </c>
      <c r="BN5" s="687">
        <v>269582608</v>
      </c>
      <c r="BO5" s="687">
        <v>420407392</v>
      </c>
      <c r="BP5" s="687">
        <f t="shared" si="30"/>
        <v>718969.58000000007</v>
      </c>
      <c r="BQ5" s="687">
        <f t="shared" si="31"/>
        <v>280905.077536</v>
      </c>
      <c r="BR5" s="687">
        <f t="shared" si="32"/>
        <v>280905.077536</v>
      </c>
      <c r="BS5" s="755">
        <f t="shared" si="33"/>
        <v>438064.50246400002</v>
      </c>
      <c r="BV5" s="729" t="s">
        <v>454</v>
      </c>
      <c r="BW5" s="687">
        <v>66374207</v>
      </c>
      <c r="BX5" s="730">
        <f t="shared" si="34"/>
        <v>69161.923693999997</v>
      </c>
      <c r="BZ5" s="729" t="s">
        <v>454</v>
      </c>
      <c r="CA5" s="687">
        <v>689990000</v>
      </c>
      <c r="CB5" s="687">
        <v>335956815</v>
      </c>
      <c r="CC5" s="687">
        <v>335956815</v>
      </c>
      <c r="CD5" s="687">
        <v>354033185</v>
      </c>
      <c r="CE5" s="687">
        <f t="shared" si="35"/>
        <v>718969.58000000007</v>
      </c>
      <c r="CF5" s="687">
        <f t="shared" si="36"/>
        <v>350067.00122999999</v>
      </c>
      <c r="CG5" s="687">
        <f t="shared" si="37"/>
        <v>350067.00122999999</v>
      </c>
      <c r="CH5" s="687">
        <f t="shared" si="38"/>
        <v>368902.57877000002</v>
      </c>
      <c r="CK5" s="731" t="s">
        <v>454</v>
      </c>
      <c r="CL5" s="730">
        <v>42983643</v>
      </c>
      <c r="CM5" s="730">
        <f t="shared" si="39"/>
        <v>44788.956006</v>
      </c>
      <c r="CP5" s="731" t="s">
        <v>454</v>
      </c>
      <c r="CQ5" s="730">
        <v>689990000</v>
      </c>
      <c r="CR5" s="730">
        <v>378940458</v>
      </c>
      <c r="CS5" s="730">
        <v>378940458</v>
      </c>
      <c r="CT5" s="730">
        <v>311049542</v>
      </c>
      <c r="CU5" s="730">
        <f t="shared" si="2"/>
        <v>718969.58000000007</v>
      </c>
      <c r="CV5" s="730">
        <f t="shared" si="3"/>
        <v>394855.95723599999</v>
      </c>
      <c r="CW5" s="730">
        <f t="shared" si="4"/>
        <v>394855.95723599999</v>
      </c>
      <c r="CX5" s="730">
        <f t="shared" si="5"/>
        <v>324113.62276400003</v>
      </c>
      <c r="CZ5" s="731" t="s">
        <v>454</v>
      </c>
      <c r="DA5" s="730">
        <v>42937440</v>
      </c>
      <c r="DB5" s="730">
        <f t="shared" si="40"/>
        <v>44740.812480000001</v>
      </c>
      <c r="DE5" s="729" t="s">
        <v>454</v>
      </c>
      <c r="DF5" s="687">
        <v>689990000</v>
      </c>
      <c r="DG5" s="687">
        <v>421877898</v>
      </c>
      <c r="DH5" s="687">
        <v>421877898</v>
      </c>
      <c r="DI5" s="687">
        <v>268112102</v>
      </c>
      <c r="DJ5" s="730">
        <f t="shared" si="41"/>
        <v>718969.58000000007</v>
      </c>
      <c r="DK5" s="730">
        <f t="shared" si="42"/>
        <v>439596.76971600001</v>
      </c>
      <c r="DL5" s="730">
        <f t="shared" si="43"/>
        <v>439596.76971600001</v>
      </c>
      <c r="DM5" s="730">
        <f t="shared" si="44"/>
        <v>279372.81028400001</v>
      </c>
      <c r="DP5" s="729" t="s">
        <v>454</v>
      </c>
      <c r="DQ5" s="687">
        <v>59826603</v>
      </c>
      <c r="DR5" s="730">
        <f t="shared" si="45"/>
        <v>59826.603000000003</v>
      </c>
      <c r="DT5" s="729" t="s">
        <v>454</v>
      </c>
      <c r="DU5" s="687">
        <v>689990000</v>
      </c>
      <c r="DV5" s="687">
        <v>481704501</v>
      </c>
      <c r="DW5" s="687">
        <v>481704501</v>
      </c>
      <c r="DX5" s="687">
        <v>208285499</v>
      </c>
      <c r="DY5" s="730">
        <f t="shared" si="46"/>
        <v>689990</v>
      </c>
      <c r="DZ5" s="730">
        <f t="shared" si="47"/>
        <v>481704.50099999999</v>
      </c>
      <c r="EA5" s="730">
        <f t="shared" si="48"/>
        <v>481704.50099999999</v>
      </c>
      <c r="EB5" s="730">
        <f t="shared" si="49"/>
        <v>208285.49900000001</v>
      </c>
      <c r="EE5" s="731" t="s">
        <v>454</v>
      </c>
      <c r="EF5" s="730">
        <v>43180753</v>
      </c>
      <c r="EG5" s="734">
        <f t="shared" si="50"/>
        <v>43180.752999999997</v>
      </c>
      <c r="EI5" s="731" t="s">
        <v>454</v>
      </c>
      <c r="EJ5" s="730">
        <v>690153035</v>
      </c>
      <c r="EK5" s="730">
        <v>524885254</v>
      </c>
      <c r="EL5" s="730">
        <v>524885254</v>
      </c>
      <c r="EM5" s="734">
        <f t="shared" si="51"/>
        <v>690153.03500000003</v>
      </c>
      <c r="EN5" s="734">
        <f t="shared" si="52"/>
        <v>524885.25399999996</v>
      </c>
      <c r="EO5" s="734">
        <f t="shared" si="53"/>
        <v>524885.25399999996</v>
      </c>
      <c r="ER5" s="729" t="s">
        <v>454</v>
      </c>
      <c r="ES5" s="687">
        <v>43020819</v>
      </c>
      <c r="ET5" s="730">
        <f t="shared" si="54"/>
        <v>43020.819000000003</v>
      </c>
      <c r="EW5" s="729" t="s">
        <v>454</v>
      </c>
      <c r="EX5" s="687">
        <v>0</v>
      </c>
      <c r="EY5" s="687">
        <v>690153035</v>
      </c>
      <c r="EZ5" s="687">
        <v>567906073</v>
      </c>
      <c r="FA5" s="687">
        <v>567906073</v>
      </c>
      <c r="FB5" s="687">
        <v>122246962</v>
      </c>
      <c r="FC5" s="730">
        <f t="shared" si="55"/>
        <v>0</v>
      </c>
      <c r="FD5" s="730">
        <f t="shared" si="56"/>
        <v>690153.03500000003</v>
      </c>
      <c r="FE5" s="730">
        <f t="shared" si="57"/>
        <v>567906.07299999997</v>
      </c>
      <c r="FF5" s="730">
        <f t="shared" si="58"/>
        <v>567906.07299999997</v>
      </c>
      <c r="FG5" s="730">
        <f t="shared" si="59"/>
        <v>122246.962</v>
      </c>
      <c r="FJ5" s="731" t="s">
        <v>454</v>
      </c>
      <c r="FK5" s="730">
        <v>61068572</v>
      </c>
      <c r="FL5" s="734">
        <f t="shared" si="60"/>
        <v>61068.572</v>
      </c>
      <c r="FN5" s="735" t="s">
        <v>454</v>
      </c>
      <c r="FO5" s="736">
        <v>628990025</v>
      </c>
      <c r="FP5" s="736">
        <v>628974645</v>
      </c>
      <c r="FQ5" s="736">
        <v>628974645</v>
      </c>
      <c r="FR5" s="736">
        <f t="shared" si="61"/>
        <v>628990.02500000002</v>
      </c>
      <c r="FS5" s="736">
        <f t="shared" si="62"/>
        <v>628974.64500000002</v>
      </c>
      <c r="FT5" s="736">
        <f t="shared" si="63"/>
        <v>628974.64500000002</v>
      </c>
    </row>
    <row r="6" spans="1:176" ht="15" customHeight="1" x14ac:dyDescent="0.25">
      <c r="A6" s="728" t="s">
        <v>881</v>
      </c>
      <c r="B6" s="729" t="s">
        <v>453</v>
      </c>
      <c r="C6" s="687">
        <v>0</v>
      </c>
      <c r="D6" s="687">
        <v>154140000</v>
      </c>
      <c r="E6" s="687">
        <v>10765321</v>
      </c>
      <c r="F6" s="687">
        <v>143374679</v>
      </c>
      <c r="G6" s="687">
        <v>10765321</v>
      </c>
      <c r="H6" s="730">
        <f t="shared" si="10"/>
        <v>160613.88</v>
      </c>
      <c r="I6" s="730">
        <f t="shared" si="11"/>
        <v>11217.464481999999</v>
      </c>
      <c r="J6" s="730">
        <f t="shared" si="12"/>
        <v>149396.41551800002</v>
      </c>
      <c r="K6" s="730">
        <f t="shared" si="13"/>
        <v>11217.464481999999</v>
      </c>
      <c r="O6" s="729" t="s">
        <v>453</v>
      </c>
      <c r="P6" s="687">
        <v>10765321</v>
      </c>
      <c r="Q6" s="730">
        <f t="shared" si="14"/>
        <v>11217.464481999999</v>
      </c>
      <c r="S6" s="729" t="s">
        <v>453</v>
      </c>
      <c r="T6" s="687">
        <v>154140000</v>
      </c>
      <c r="U6" s="687">
        <v>21530642</v>
      </c>
      <c r="V6" s="687">
        <v>21530642</v>
      </c>
      <c r="W6" s="687">
        <v>132609358</v>
      </c>
      <c r="X6" s="730">
        <f t="shared" si="15"/>
        <v>160613.88</v>
      </c>
      <c r="Y6" s="730">
        <f t="shared" si="16"/>
        <v>22434.928963999999</v>
      </c>
      <c r="Z6" s="730">
        <f t="shared" si="17"/>
        <v>22434.928963999999</v>
      </c>
      <c r="AA6" s="730">
        <f t="shared" si="18"/>
        <v>138178.95103600001</v>
      </c>
      <c r="AC6" s="729" t="s">
        <v>453</v>
      </c>
      <c r="AD6" s="687">
        <v>10750431</v>
      </c>
      <c r="AE6" s="730">
        <f t="shared" si="19"/>
        <v>11201.949102</v>
      </c>
      <c r="AG6" s="729" t="s">
        <v>453</v>
      </c>
      <c r="AH6" s="687">
        <v>154140000</v>
      </c>
      <c r="AI6" s="687">
        <v>32281073</v>
      </c>
      <c r="AJ6" s="687">
        <v>32281073</v>
      </c>
      <c r="AK6" s="687">
        <v>121858927</v>
      </c>
      <c r="AL6" s="687">
        <f t="shared" si="20"/>
        <v>160613.88</v>
      </c>
      <c r="AM6" s="687">
        <f t="shared" si="21"/>
        <v>33636.878066000005</v>
      </c>
      <c r="AN6" s="687">
        <f t="shared" si="22"/>
        <v>33636.878066000005</v>
      </c>
      <c r="AO6" s="687">
        <f t="shared" si="23"/>
        <v>126977.001934</v>
      </c>
      <c r="AR6" s="729" t="s">
        <v>453</v>
      </c>
      <c r="AS6" s="687">
        <v>10765321</v>
      </c>
      <c r="AT6" s="687">
        <f t="shared" si="24"/>
        <v>11217.464481999999</v>
      </c>
      <c r="AV6" s="729" t="s">
        <v>453</v>
      </c>
      <c r="AW6" s="687">
        <v>154140000</v>
      </c>
      <c r="AX6" s="687">
        <v>43046394</v>
      </c>
      <c r="AY6" s="687">
        <v>43046394</v>
      </c>
      <c r="AZ6" s="687">
        <v>111093606</v>
      </c>
      <c r="BA6" s="730">
        <f t="shared" si="25"/>
        <v>160613.88</v>
      </c>
      <c r="BB6" s="730">
        <f t="shared" si="26"/>
        <v>44854.342548000001</v>
      </c>
      <c r="BC6" s="730">
        <f t="shared" si="27"/>
        <v>44854.342548000001</v>
      </c>
      <c r="BD6" s="730">
        <f t="shared" si="28"/>
        <v>115759.537452</v>
      </c>
      <c r="BG6" s="754" t="s">
        <v>453</v>
      </c>
      <c r="BH6" s="687">
        <v>10011031</v>
      </c>
      <c r="BI6" s="755">
        <f t="shared" si="29"/>
        <v>10431.494302000001</v>
      </c>
      <c r="BK6" s="754" t="s">
        <v>453</v>
      </c>
      <c r="BL6" s="687">
        <v>154140000</v>
      </c>
      <c r="BM6" s="687">
        <v>53057425</v>
      </c>
      <c r="BN6" s="687">
        <v>53057425</v>
      </c>
      <c r="BO6" s="687">
        <v>101082575</v>
      </c>
      <c r="BP6" s="687">
        <f t="shared" si="30"/>
        <v>160613.88</v>
      </c>
      <c r="BQ6" s="687">
        <f t="shared" si="31"/>
        <v>55285.836850000007</v>
      </c>
      <c r="BR6" s="687">
        <f t="shared" si="32"/>
        <v>55285.836850000007</v>
      </c>
      <c r="BS6" s="755">
        <f t="shared" si="33"/>
        <v>105328.04315</v>
      </c>
      <c r="BV6" s="729" t="s">
        <v>453</v>
      </c>
      <c r="BW6" s="687">
        <v>10057987</v>
      </c>
      <c r="BX6" s="730">
        <f t="shared" si="34"/>
        <v>10480.422454</v>
      </c>
      <c r="BZ6" s="729" t="s">
        <v>453</v>
      </c>
      <c r="CA6" s="687">
        <v>154140000</v>
      </c>
      <c r="CB6" s="687">
        <v>63115412</v>
      </c>
      <c r="CC6" s="687">
        <v>63115412</v>
      </c>
      <c r="CD6" s="687">
        <v>91024588</v>
      </c>
      <c r="CE6" s="687">
        <f t="shared" si="35"/>
        <v>160613.88</v>
      </c>
      <c r="CF6" s="687">
        <f t="shared" si="36"/>
        <v>65766.259303999992</v>
      </c>
      <c r="CG6" s="687">
        <f t="shared" si="37"/>
        <v>65766.259303999992</v>
      </c>
      <c r="CH6" s="687">
        <f t="shared" si="38"/>
        <v>94847.620696000013</v>
      </c>
      <c r="CK6" s="731" t="s">
        <v>453</v>
      </c>
      <c r="CL6" s="730">
        <v>8774799</v>
      </c>
      <c r="CM6" s="730">
        <f t="shared" si="39"/>
        <v>9143.3405580000017</v>
      </c>
      <c r="CP6" s="731" t="s">
        <v>453</v>
      </c>
      <c r="CQ6" s="730">
        <v>154140000</v>
      </c>
      <c r="CR6" s="730">
        <v>71890211</v>
      </c>
      <c r="CS6" s="730">
        <v>71890211</v>
      </c>
      <c r="CT6" s="730">
        <v>82249789</v>
      </c>
      <c r="CU6" s="730">
        <f t="shared" si="2"/>
        <v>160613.88</v>
      </c>
      <c r="CV6" s="730">
        <f t="shared" si="3"/>
        <v>74909.599862000003</v>
      </c>
      <c r="CW6" s="730">
        <f t="shared" si="4"/>
        <v>74909.599862000003</v>
      </c>
      <c r="CX6" s="730">
        <f t="shared" si="5"/>
        <v>85704.280138000002</v>
      </c>
      <c r="CZ6" s="731" t="s">
        <v>453</v>
      </c>
      <c r="DA6" s="730">
        <v>8769969</v>
      </c>
      <c r="DB6" s="730">
        <f t="shared" si="40"/>
        <v>9138.3076979999987</v>
      </c>
      <c r="DE6" s="729" t="s">
        <v>453</v>
      </c>
      <c r="DF6" s="687">
        <v>154140000</v>
      </c>
      <c r="DG6" s="687">
        <v>80660180</v>
      </c>
      <c r="DH6" s="687">
        <v>80660180</v>
      </c>
      <c r="DI6" s="687">
        <v>73479820</v>
      </c>
      <c r="DJ6" s="730">
        <f t="shared" si="41"/>
        <v>160613.88</v>
      </c>
      <c r="DK6" s="730">
        <f t="shared" si="42"/>
        <v>84047.907559999992</v>
      </c>
      <c r="DL6" s="730">
        <f t="shared" si="43"/>
        <v>84047.907559999992</v>
      </c>
      <c r="DM6" s="730">
        <f t="shared" si="44"/>
        <v>76565.972440000012</v>
      </c>
      <c r="DP6" s="729" t="s">
        <v>453</v>
      </c>
      <c r="DQ6" s="687">
        <v>8776734</v>
      </c>
      <c r="DR6" s="730">
        <f t="shared" si="45"/>
        <v>8776.7340000000004</v>
      </c>
      <c r="DT6" s="729" t="s">
        <v>453</v>
      </c>
      <c r="DU6" s="687">
        <v>154140000</v>
      </c>
      <c r="DV6" s="687">
        <v>89436914</v>
      </c>
      <c r="DW6" s="687">
        <v>89436914</v>
      </c>
      <c r="DX6" s="687">
        <v>64703086</v>
      </c>
      <c r="DY6" s="730">
        <f t="shared" si="46"/>
        <v>154140</v>
      </c>
      <c r="DZ6" s="730">
        <f t="shared" si="47"/>
        <v>89436.914000000004</v>
      </c>
      <c r="EA6" s="730">
        <f t="shared" si="48"/>
        <v>89436.914000000004</v>
      </c>
      <c r="EB6" s="730">
        <f t="shared" si="49"/>
        <v>64703.086000000003</v>
      </c>
      <c r="EE6" s="731" t="s">
        <v>453</v>
      </c>
      <c r="EF6" s="730">
        <v>8776389</v>
      </c>
      <c r="EG6" s="734">
        <f t="shared" si="50"/>
        <v>8776.3889999999992</v>
      </c>
      <c r="EI6" s="731" t="s">
        <v>453</v>
      </c>
      <c r="EJ6" s="730">
        <v>154140000</v>
      </c>
      <c r="EK6" s="730">
        <v>98213303</v>
      </c>
      <c r="EL6" s="730">
        <v>98213303</v>
      </c>
      <c r="EM6" s="734">
        <f t="shared" si="51"/>
        <v>154140</v>
      </c>
      <c r="EN6" s="734">
        <f t="shared" si="52"/>
        <v>98213.303</v>
      </c>
      <c r="EO6" s="734">
        <f t="shared" si="53"/>
        <v>98213.303</v>
      </c>
      <c r="ER6" s="729" t="s">
        <v>453</v>
      </c>
      <c r="ES6" s="687">
        <v>8776734</v>
      </c>
      <c r="ET6" s="730">
        <f t="shared" si="54"/>
        <v>8776.7340000000004</v>
      </c>
      <c r="EW6" s="729" t="s">
        <v>453</v>
      </c>
      <c r="EX6" s="687">
        <v>0</v>
      </c>
      <c r="EY6" s="687">
        <v>154140000</v>
      </c>
      <c r="EZ6" s="687">
        <v>106990037</v>
      </c>
      <c r="FA6" s="687">
        <v>106990037</v>
      </c>
      <c r="FB6" s="687">
        <v>47149963</v>
      </c>
      <c r="FC6" s="730">
        <f t="shared" si="55"/>
        <v>0</v>
      </c>
      <c r="FD6" s="730">
        <f t="shared" si="56"/>
        <v>154140</v>
      </c>
      <c r="FE6" s="730">
        <f t="shared" si="57"/>
        <v>106990.037</v>
      </c>
      <c r="FF6" s="730">
        <f t="shared" si="58"/>
        <v>106990.037</v>
      </c>
      <c r="FG6" s="730">
        <f t="shared" si="59"/>
        <v>47149.963000000003</v>
      </c>
      <c r="FJ6" s="731" t="s">
        <v>453</v>
      </c>
      <c r="FK6" s="730">
        <v>9019899</v>
      </c>
      <c r="FL6" s="734">
        <f t="shared" si="60"/>
        <v>9019.8989999999994</v>
      </c>
      <c r="FN6" s="735" t="s">
        <v>453</v>
      </c>
      <c r="FO6" s="736">
        <v>116011474</v>
      </c>
      <c r="FP6" s="736">
        <v>116009936</v>
      </c>
      <c r="FQ6" s="736">
        <v>116009936</v>
      </c>
      <c r="FR6" s="736">
        <f t="shared" si="61"/>
        <v>116011.474</v>
      </c>
      <c r="FS6" s="736">
        <f t="shared" si="62"/>
        <v>116009.936</v>
      </c>
      <c r="FT6" s="736">
        <f t="shared" si="63"/>
        <v>116009.936</v>
      </c>
    </row>
    <row r="7" spans="1:176" ht="15" customHeight="1" x14ac:dyDescent="0.25">
      <c r="A7" s="728" t="s">
        <v>881</v>
      </c>
      <c r="B7" s="729" t="s">
        <v>517</v>
      </c>
      <c r="C7" s="687">
        <v>0</v>
      </c>
      <c r="D7" s="687">
        <v>16600000</v>
      </c>
      <c r="E7" s="687">
        <v>1512568</v>
      </c>
      <c r="F7" s="687">
        <v>15087432</v>
      </c>
      <c r="G7" s="687">
        <v>1512568</v>
      </c>
      <c r="H7" s="730">
        <f t="shared" si="10"/>
        <v>17297.2</v>
      </c>
      <c r="I7" s="730">
        <f t="shared" si="11"/>
        <v>1576.0958560000001</v>
      </c>
      <c r="J7" s="730">
        <f t="shared" si="12"/>
        <v>15721.104144000001</v>
      </c>
      <c r="K7" s="730">
        <f t="shared" si="13"/>
        <v>1576.0958560000001</v>
      </c>
      <c r="O7" s="729" t="s">
        <v>517</v>
      </c>
      <c r="P7" s="687">
        <v>1481333</v>
      </c>
      <c r="Q7" s="730">
        <f t="shared" si="14"/>
        <v>1543.5489860000002</v>
      </c>
      <c r="S7" s="729" t="s">
        <v>517</v>
      </c>
      <c r="T7" s="687">
        <v>16600000</v>
      </c>
      <c r="U7" s="687">
        <v>2993901</v>
      </c>
      <c r="V7" s="687">
        <v>2993901</v>
      </c>
      <c r="W7" s="687">
        <v>13606099</v>
      </c>
      <c r="X7" s="730">
        <f t="shared" si="15"/>
        <v>17297.2</v>
      </c>
      <c r="Y7" s="730">
        <f t="shared" si="16"/>
        <v>3119.6448420000002</v>
      </c>
      <c r="Z7" s="730">
        <f t="shared" si="17"/>
        <v>3119.6448420000002</v>
      </c>
      <c r="AA7" s="730">
        <f t="shared" si="18"/>
        <v>14177.555158000001</v>
      </c>
      <c r="AC7" s="729" t="s">
        <v>517</v>
      </c>
      <c r="AD7" s="687">
        <v>1481333</v>
      </c>
      <c r="AE7" s="730">
        <f t="shared" si="19"/>
        <v>1543.5489860000002</v>
      </c>
      <c r="AG7" s="729" t="s">
        <v>517</v>
      </c>
      <c r="AH7" s="687">
        <v>16600000</v>
      </c>
      <c r="AI7" s="687">
        <v>4475234</v>
      </c>
      <c r="AJ7" s="687">
        <v>4475234</v>
      </c>
      <c r="AK7" s="687">
        <v>12124766</v>
      </c>
      <c r="AL7" s="687">
        <f t="shared" si="20"/>
        <v>17297.2</v>
      </c>
      <c r="AM7" s="687">
        <f t="shared" si="21"/>
        <v>4663.1938280000004</v>
      </c>
      <c r="AN7" s="687">
        <f t="shared" si="22"/>
        <v>4663.1938280000004</v>
      </c>
      <c r="AO7" s="687">
        <f t="shared" si="23"/>
        <v>12634.006171999999</v>
      </c>
      <c r="AR7" s="729" t="s">
        <v>517</v>
      </c>
      <c r="AS7" s="687">
        <v>1523486</v>
      </c>
      <c r="AT7" s="687">
        <f t="shared" si="24"/>
        <v>1587.4724120000001</v>
      </c>
      <c r="AV7" s="729" t="s">
        <v>517</v>
      </c>
      <c r="AW7" s="687">
        <v>16600000</v>
      </c>
      <c r="AX7" s="687">
        <v>5998720</v>
      </c>
      <c r="AY7" s="687">
        <v>5998720</v>
      </c>
      <c r="AZ7" s="687">
        <v>10601280</v>
      </c>
      <c r="BA7" s="730">
        <f t="shared" si="25"/>
        <v>17297.2</v>
      </c>
      <c r="BB7" s="730">
        <f t="shared" si="26"/>
        <v>6250.6662400000005</v>
      </c>
      <c r="BC7" s="730">
        <f t="shared" si="27"/>
        <v>6250.6662400000005</v>
      </c>
      <c r="BD7" s="730">
        <f t="shared" si="28"/>
        <v>11046.53376</v>
      </c>
      <c r="BG7" s="754" t="s">
        <v>517</v>
      </c>
      <c r="BH7" s="687">
        <v>1297199</v>
      </c>
      <c r="BI7" s="755">
        <f t="shared" si="29"/>
        <v>1351.681358</v>
      </c>
      <c r="BK7" s="754" t="s">
        <v>517</v>
      </c>
      <c r="BL7" s="687">
        <v>16600000</v>
      </c>
      <c r="BM7" s="687">
        <v>7295919</v>
      </c>
      <c r="BN7" s="687">
        <v>7295919</v>
      </c>
      <c r="BO7" s="687">
        <v>9304081</v>
      </c>
      <c r="BP7" s="687">
        <f t="shared" si="30"/>
        <v>17297.2</v>
      </c>
      <c r="BQ7" s="687">
        <f t="shared" si="31"/>
        <v>7602.3475980000003</v>
      </c>
      <c r="BR7" s="687">
        <f t="shared" si="32"/>
        <v>7602.3475980000003</v>
      </c>
      <c r="BS7" s="755">
        <f t="shared" si="33"/>
        <v>9694.8524020000004</v>
      </c>
      <c r="BV7" s="729" t="s">
        <v>517</v>
      </c>
      <c r="BW7" s="687">
        <v>1303622</v>
      </c>
      <c r="BX7" s="730">
        <f t="shared" si="34"/>
        <v>1358.3741240000002</v>
      </c>
      <c r="BZ7" s="729" t="s">
        <v>517</v>
      </c>
      <c r="CA7" s="687">
        <v>16600000</v>
      </c>
      <c r="CB7" s="687">
        <v>8599541</v>
      </c>
      <c r="CC7" s="687">
        <v>8599541</v>
      </c>
      <c r="CD7" s="687">
        <v>8000459</v>
      </c>
      <c r="CE7" s="687">
        <f t="shared" si="35"/>
        <v>17297.2</v>
      </c>
      <c r="CF7" s="687">
        <f t="shared" si="36"/>
        <v>8960.7217220000002</v>
      </c>
      <c r="CG7" s="687">
        <f t="shared" si="37"/>
        <v>8960.7217220000002</v>
      </c>
      <c r="CH7" s="687">
        <f t="shared" si="38"/>
        <v>8336.4782780000005</v>
      </c>
      <c r="CK7" s="731" t="s">
        <v>517</v>
      </c>
      <c r="CL7" s="730">
        <v>1225882</v>
      </c>
      <c r="CM7" s="730">
        <f t="shared" si="39"/>
        <v>1277.369044</v>
      </c>
      <c r="CP7" s="731" t="s">
        <v>517</v>
      </c>
      <c r="CQ7" s="730">
        <v>16600000</v>
      </c>
      <c r="CR7" s="730">
        <v>9825423</v>
      </c>
      <c r="CS7" s="730">
        <v>9825423</v>
      </c>
      <c r="CT7" s="730">
        <v>6774577</v>
      </c>
      <c r="CU7" s="730">
        <f t="shared" si="2"/>
        <v>17297.2</v>
      </c>
      <c r="CV7" s="730">
        <f t="shared" si="3"/>
        <v>10238.090766000001</v>
      </c>
      <c r="CW7" s="730">
        <f t="shared" si="4"/>
        <v>10238.090766000001</v>
      </c>
      <c r="CX7" s="730">
        <f t="shared" si="5"/>
        <v>7059.1092340000005</v>
      </c>
      <c r="CZ7" s="731" t="s">
        <v>517</v>
      </c>
      <c r="DA7" s="730">
        <v>1221051</v>
      </c>
      <c r="DB7" s="730">
        <f t="shared" si="40"/>
        <v>1272.3351419999999</v>
      </c>
      <c r="DE7" s="729" t="s">
        <v>517</v>
      </c>
      <c r="DF7" s="687">
        <v>16600000</v>
      </c>
      <c r="DG7" s="687">
        <v>11046474</v>
      </c>
      <c r="DH7" s="687">
        <v>11046474</v>
      </c>
      <c r="DI7" s="687">
        <v>5553526</v>
      </c>
      <c r="DJ7" s="730">
        <f t="shared" si="41"/>
        <v>17297.2</v>
      </c>
      <c r="DK7" s="730">
        <f t="shared" si="42"/>
        <v>11510.425908000001</v>
      </c>
      <c r="DL7" s="730">
        <f t="shared" si="43"/>
        <v>11510.425908000001</v>
      </c>
      <c r="DM7" s="730">
        <f t="shared" si="44"/>
        <v>5786.7740919999997</v>
      </c>
      <c r="DP7" s="729" t="s">
        <v>517</v>
      </c>
      <c r="DQ7" s="687">
        <v>1243589</v>
      </c>
      <c r="DR7" s="730">
        <f t="shared" si="45"/>
        <v>1243.5889999999999</v>
      </c>
      <c r="DT7" s="729" t="s">
        <v>517</v>
      </c>
      <c r="DU7" s="687">
        <v>16600000</v>
      </c>
      <c r="DV7" s="687">
        <v>12290063</v>
      </c>
      <c r="DW7" s="687">
        <v>12290063</v>
      </c>
      <c r="DX7" s="687">
        <v>4309937</v>
      </c>
      <c r="DY7" s="730">
        <f t="shared" si="46"/>
        <v>16600</v>
      </c>
      <c r="DZ7" s="730">
        <f t="shared" si="47"/>
        <v>12290.063</v>
      </c>
      <c r="EA7" s="730">
        <f t="shared" si="48"/>
        <v>12290.063</v>
      </c>
      <c r="EB7" s="730">
        <f t="shared" si="49"/>
        <v>4309.9369999999999</v>
      </c>
      <c r="EE7" s="731" t="s">
        <v>517</v>
      </c>
      <c r="EF7" s="730">
        <v>1243245</v>
      </c>
      <c r="EG7" s="734">
        <f t="shared" si="50"/>
        <v>1243.2449999999999</v>
      </c>
      <c r="EI7" s="731" t="s">
        <v>517</v>
      </c>
      <c r="EJ7" s="730">
        <v>16600000</v>
      </c>
      <c r="EK7" s="730">
        <v>13533308</v>
      </c>
      <c r="EL7" s="730">
        <v>13533308</v>
      </c>
      <c r="EM7" s="734">
        <f t="shared" si="51"/>
        <v>16600</v>
      </c>
      <c r="EN7" s="734">
        <f t="shared" si="52"/>
        <v>13533.308000000001</v>
      </c>
      <c r="EO7" s="734">
        <f t="shared" si="53"/>
        <v>13533.308000000001</v>
      </c>
      <c r="ER7" s="729" t="s">
        <v>517</v>
      </c>
      <c r="ES7" s="687">
        <v>1243589</v>
      </c>
      <c r="ET7" s="730">
        <f t="shared" si="54"/>
        <v>1243.5889999999999</v>
      </c>
      <c r="EW7" s="729" t="s">
        <v>517</v>
      </c>
      <c r="EX7" s="687">
        <v>0</v>
      </c>
      <c r="EY7" s="687">
        <v>16600000</v>
      </c>
      <c r="EZ7" s="687">
        <v>14776897</v>
      </c>
      <c r="FA7" s="687">
        <v>14776897</v>
      </c>
      <c r="FB7" s="687">
        <v>1823103</v>
      </c>
      <c r="FC7" s="730">
        <f t="shared" si="55"/>
        <v>0</v>
      </c>
      <c r="FD7" s="730">
        <f t="shared" si="56"/>
        <v>16600</v>
      </c>
      <c r="FE7" s="730">
        <f t="shared" si="57"/>
        <v>14776.897000000001</v>
      </c>
      <c r="FF7" s="730">
        <f t="shared" si="58"/>
        <v>14776.897000000001</v>
      </c>
      <c r="FG7" s="730">
        <f t="shared" si="59"/>
        <v>1823.1030000000001</v>
      </c>
      <c r="FJ7" s="731" t="s">
        <v>517</v>
      </c>
      <c r="FK7" s="730">
        <v>1295234</v>
      </c>
      <c r="FL7" s="734">
        <f t="shared" si="60"/>
        <v>1295.2339999999999</v>
      </c>
      <c r="FN7" s="735" t="s">
        <v>517</v>
      </c>
      <c r="FO7" s="736">
        <v>16073669</v>
      </c>
      <c r="FP7" s="736">
        <v>16072131</v>
      </c>
      <c r="FQ7" s="736">
        <v>16072131</v>
      </c>
      <c r="FR7" s="736">
        <f t="shared" si="61"/>
        <v>16073.669</v>
      </c>
      <c r="FS7" s="736">
        <f t="shared" si="62"/>
        <v>16072.130999999999</v>
      </c>
      <c r="FT7" s="736">
        <f t="shared" si="63"/>
        <v>16072.130999999999</v>
      </c>
    </row>
    <row r="8" spans="1:176" ht="15" customHeight="1" x14ac:dyDescent="0.25">
      <c r="A8" s="728" t="s">
        <v>881</v>
      </c>
      <c r="B8" s="729" t="s">
        <v>452</v>
      </c>
      <c r="C8" s="687">
        <v>0</v>
      </c>
      <c r="D8" s="687">
        <v>88270000</v>
      </c>
      <c r="E8" s="687">
        <v>7807271</v>
      </c>
      <c r="F8" s="687">
        <v>80462729</v>
      </c>
      <c r="G8" s="687">
        <v>7807271</v>
      </c>
      <c r="H8" s="730">
        <f t="shared" si="10"/>
        <v>91977.34</v>
      </c>
      <c r="I8" s="730">
        <f t="shared" si="11"/>
        <v>8135.1763819999996</v>
      </c>
      <c r="J8" s="730">
        <f t="shared" si="12"/>
        <v>83842.163618000006</v>
      </c>
      <c r="K8" s="730">
        <f t="shared" si="13"/>
        <v>8135.1763819999996</v>
      </c>
      <c r="O8" s="729" t="s">
        <v>452</v>
      </c>
      <c r="P8" s="687">
        <v>7807271</v>
      </c>
      <c r="Q8" s="730">
        <f t="shared" si="14"/>
        <v>8135.1763819999996</v>
      </c>
      <c r="S8" s="729" t="s">
        <v>452</v>
      </c>
      <c r="T8" s="687">
        <v>88270000</v>
      </c>
      <c r="U8" s="687">
        <v>15614542</v>
      </c>
      <c r="V8" s="687">
        <v>15614542</v>
      </c>
      <c r="W8" s="687">
        <v>72655458</v>
      </c>
      <c r="X8" s="730">
        <f t="shared" si="15"/>
        <v>91977.34</v>
      </c>
      <c r="Y8" s="730">
        <f t="shared" si="16"/>
        <v>16270.352763999999</v>
      </c>
      <c r="Z8" s="730">
        <f t="shared" si="17"/>
        <v>16270.352763999999</v>
      </c>
      <c r="AA8" s="730">
        <f t="shared" si="18"/>
        <v>75706.987236000001</v>
      </c>
      <c r="AC8" s="729" t="s">
        <v>452</v>
      </c>
      <c r="AD8" s="687">
        <v>7807271</v>
      </c>
      <c r="AE8" s="730">
        <f t="shared" si="19"/>
        <v>8135.1763819999996</v>
      </c>
      <c r="AG8" s="729" t="s">
        <v>452</v>
      </c>
      <c r="AH8" s="687">
        <v>88270000</v>
      </c>
      <c r="AI8" s="687">
        <v>23421813</v>
      </c>
      <c r="AJ8" s="687">
        <v>23421813</v>
      </c>
      <c r="AK8" s="687">
        <v>64848187</v>
      </c>
      <c r="AL8" s="687">
        <f t="shared" si="20"/>
        <v>91977.34</v>
      </c>
      <c r="AM8" s="687">
        <f t="shared" si="21"/>
        <v>24405.529146000001</v>
      </c>
      <c r="AN8" s="687">
        <f t="shared" si="22"/>
        <v>24405.529146000001</v>
      </c>
      <c r="AO8" s="687">
        <f t="shared" si="23"/>
        <v>67571.810853999996</v>
      </c>
      <c r="AR8" s="729" t="s">
        <v>452</v>
      </c>
      <c r="AS8" s="687">
        <v>7807271</v>
      </c>
      <c r="AT8" s="687">
        <f t="shared" si="24"/>
        <v>8135.1763819999996</v>
      </c>
      <c r="AV8" s="729" t="s">
        <v>452</v>
      </c>
      <c r="AW8" s="687">
        <v>88270000</v>
      </c>
      <c r="AX8" s="687">
        <v>31229084</v>
      </c>
      <c r="AY8" s="687">
        <v>31229084</v>
      </c>
      <c r="AZ8" s="687">
        <v>57040916</v>
      </c>
      <c r="BA8" s="730">
        <f t="shared" si="25"/>
        <v>91977.34</v>
      </c>
      <c r="BB8" s="730">
        <f t="shared" si="26"/>
        <v>32540.705527999999</v>
      </c>
      <c r="BC8" s="730">
        <f t="shared" si="27"/>
        <v>32540.705527999999</v>
      </c>
      <c r="BD8" s="730">
        <f t="shared" si="28"/>
        <v>59436.634471999998</v>
      </c>
      <c r="BG8" s="754" t="s">
        <v>452</v>
      </c>
      <c r="BH8" s="687">
        <v>7169734</v>
      </c>
      <c r="BI8" s="755">
        <f t="shared" si="29"/>
        <v>7470.8628280000003</v>
      </c>
      <c r="BK8" s="754" t="s">
        <v>452</v>
      </c>
      <c r="BL8" s="687">
        <v>88270000</v>
      </c>
      <c r="BM8" s="687">
        <v>38398818</v>
      </c>
      <c r="BN8" s="687">
        <v>38398818</v>
      </c>
      <c r="BO8" s="687">
        <v>49871182</v>
      </c>
      <c r="BP8" s="687">
        <f t="shared" si="30"/>
        <v>91977.34</v>
      </c>
      <c r="BQ8" s="687">
        <f t="shared" si="31"/>
        <v>40011.568356000003</v>
      </c>
      <c r="BR8" s="687">
        <f t="shared" si="32"/>
        <v>40011.568356000003</v>
      </c>
      <c r="BS8" s="755">
        <f t="shared" si="33"/>
        <v>51965.771644</v>
      </c>
      <c r="BV8" s="729" t="s">
        <v>452</v>
      </c>
      <c r="BW8" s="687">
        <v>7203103</v>
      </c>
      <c r="BX8" s="730">
        <f t="shared" si="34"/>
        <v>7505.6333260000001</v>
      </c>
      <c r="BZ8" s="729" t="s">
        <v>452</v>
      </c>
      <c r="CA8" s="687">
        <v>88270000</v>
      </c>
      <c r="CB8" s="687">
        <v>45601921</v>
      </c>
      <c r="CC8" s="687">
        <v>45601921</v>
      </c>
      <c r="CD8" s="687">
        <v>42668079</v>
      </c>
      <c r="CE8" s="687">
        <f t="shared" si="35"/>
        <v>91977.34</v>
      </c>
      <c r="CF8" s="687">
        <f t="shared" si="36"/>
        <v>47517.201682000006</v>
      </c>
      <c r="CG8" s="687">
        <f t="shared" si="37"/>
        <v>47517.201682000006</v>
      </c>
      <c r="CH8" s="687">
        <f t="shared" si="38"/>
        <v>44460.138317999998</v>
      </c>
      <c r="CK8" s="731" t="s">
        <v>452</v>
      </c>
      <c r="CL8" s="730">
        <v>6560443</v>
      </c>
      <c r="CM8" s="730">
        <f t="shared" si="39"/>
        <v>6835.9816060000003</v>
      </c>
      <c r="CP8" s="731" t="s">
        <v>452</v>
      </c>
      <c r="CQ8" s="730">
        <v>88270000</v>
      </c>
      <c r="CR8" s="730">
        <v>52162364</v>
      </c>
      <c r="CS8" s="730">
        <v>52162364</v>
      </c>
      <c r="CT8" s="730">
        <v>36107636</v>
      </c>
      <c r="CU8" s="730">
        <f t="shared" si="2"/>
        <v>91977.34</v>
      </c>
      <c r="CV8" s="730">
        <f t="shared" si="3"/>
        <v>54353.183288</v>
      </c>
      <c r="CW8" s="730">
        <f t="shared" si="4"/>
        <v>54353.183288</v>
      </c>
      <c r="CX8" s="730">
        <f t="shared" si="5"/>
        <v>37624.156711999996</v>
      </c>
      <c r="CZ8" s="731" t="s">
        <v>452</v>
      </c>
      <c r="DA8" s="730">
        <v>6555613</v>
      </c>
      <c r="DB8" s="730">
        <f t="shared" si="40"/>
        <v>6830.9487460000009</v>
      </c>
      <c r="DE8" s="729" t="s">
        <v>452</v>
      </c>
      <c r="DF8" s="687">
        <v>88270000</v>
      </c>
      <c r="DG8" s="687">
        <v>58717977</v>
      </c>
      <c r="DH8" s="687">
        <v>58717977</v>
      </c>
      <c r="DI8" s="687">
        <v>29552023</v>
      </c>
      <c r="DJ8" s="730">
        <f t="shared" si="41"/>
        <v>91977.34</v>
      </c>
      <c r="DK8" s="730">
        <f t="shared" si="42"/>
        <v>61184.132034000002</v>
      </c>
      <c r="DL8" s="730">
        <f t="shared" si="43"/>
        <v>61184.132034000002</v>
      </c>
      <c r="DM8" s="730">
        <f t="shared" si="44"/>
        <v>30793.207966000002</v>
      </c>
      <c r="DP8" s="729" t="s">
        <v>452</v>
      </c>
      <c r="DQ8" s="687">
        <v>6562378</v>
      </c>
      <c r="DR8" s="730">
        <f t="shared" si="45"/>
        <v>6562.3779999999997</v>
      </c>
      <c r="DT8" s="729" t="s">
        <v>452</v>
      </c>
      <c r="DU8" s="687">
        <v>88270000</v>
      </c>
      <c r="DV8" s="687">
        <v>65280355</v>
      </c>
      <c r="DW8" s="687">
        <v>65280355</v>
      </c>
      <c r="DX8" s="687">
        <v>22989645</v>
      </c>
      <c r="DY8" s="730">
        <f t="shared" si="46"/>
        <v>88270</v>
      </c>
      <c r="DZ8" s="730">
        <f t="shared" si="47"/>
        <v>65280.355000000003</v>
      </c>
      <c r="EA8" s="730">
        <f t="shared" si="48"/>
        <v>65280.355000000003</v>
      </c>
      <c r="EB8" s="730">
        <f t="shared" si="49"/>
        <v>22989.645</v>
      </c>
      <c r="EE8" s="731" t="s">
        <v>452</v>
      </c>
      <c r="EF8" s="730">
        <v>6562033</v>
      </c>
      <c r="EG8" s="734">
        <f t="shared" si="50"/>
        <v>6562.0330000000004</v>
      </c>
      <c r="EI8" s="731" t="s">
        <v>452</v>
      </c>
      <c r="EJ8" s="730">
        <v>88270000</v>
      </c>
      <c r="EK8" s="730">
        <v>71842388</v>
      </c>
      <c r="EL8" s="730">
        <v>71842388</v>
      </c>
      <c r="EM8" s="734">
        <f t="shared" si="51"/>
        <v>88270</v>
      </c>
      <c r="EN8" s="734">
        <f t="shared" si="52"/>
        <v>71842.388000000006</v>
      </c>
      <c r="EO8" s="734">
        <f t="shared" si="53"/>
        <v>71842.388000000006</v>
      </c>
      <c r="ER8" s="729" t="s">
        <v>452</v>
      </c>
      <c r="ES8" s="687">
        <v>6562378</v>
      </c>
      <c r="ET8" s="730">
        <f t="shared" si="54"/>
        <v>6562.3779999999997</v>
      </c>
      <c r="EW8" s="729" t="s">
        <v>452</v>
      </c>
      <c r="EX8" s="687">
        <v>0</v>
      </c>
      <c r="EY8" s="687">
        <v>88270000</v>
      </c>
      <c r="EZ8" s="687">
        <v>78404766</v>
      </c>
      <c r="FA8" s="687">
        <v>78404766</v>
      </c>
      <c r="FB8" s="687">
        <v>9865234</v>
      </c>
      <c r="FC8" s="730">
        <f t="shared" si="55"/>
        <v>0</v>
      </c>
      <c r="FD8" s="730">
        <f t="shared" si="56"/>
        <v>88270</v>
      </c>
      <c r="FE8" s="730">
        <f t="shared" si="57"/>
        <v>78404.766000000003</v>
      </c>
      <c r="FF8" s="730">
        <f t="shared" si="58"/>
        <v>78404.766000000003</v>
      </c>
      <c r="FG8" s="730">
        <f t="shared" si="59"/>
        <v>9865.2340000000004</v>
      </c>
      <c r="FJ8" s="731" t="s">
        <v>452</v>
      </c>
      <c r="FK8" s="730">
        <v>6742831</v>
      </c>
      <c r="FL8" s="734">
        <f t="shared" si="60"/>
        <v>6742.8310000000001</v>
      </c>
      <c r="FN8" s="735" t="s">
        <v>452</v>
      </c>
      <c r="FO8" s="736">
        <v>85149135</v>
      </c>
      <c r="FP8" s="736">
        <v>85147597</v>
      </c>
      <c r="FQ8" s="736">
        <v>85147597</v>
      </c>
      <c r="FR8" s="736">
        <f t="shared" si="61"/>
        <v>85149.134999999995</v>
      </c>
      <c r="FS8" s="736">
        <f t="shared" si="62"/>
        <v>85147.596999999994</v>
      </c>
      <c r="FT8" s="736">
        <f t="shared" si="63"/>
        <v>85147.596999999994</v>
      </c>
    </row>
    <row r="9" spans="1:176" ht="15" customHeight="1" x14ac:dyDescent="0.25">
      <c r="A9" s="728" t="s">
        <v>881</v>
      </c>
      <c r="B9" s="729" t="s">
        <v>518</v>
      </c>
      <c r="C9" s="687">
        <v>0</v>
      </c>
      <c r="D9" s="687">
        <v>9630000</v>
      </c>
      <c r="E9" s="687">
        <v>811882</v>
      </c>
      <c r="F9" s="687">
        <v>8818118</v>
      </c>
      <c r="G9" s="687">
        <v>811882</v>
      </c>
      <c r="H9" s="730">
        <f t="shared" si="10"/>
        <v>10034.460000000001</v>
      </c>
      <c r="I9" s="730">
        <f t="shared" si="11"/>
        <v>845.981044</v>
      </c>
      <c r="J9" s="730">
        <f t="shared" si="12"/>
        <v>9188.4789560000008</v>
      </c>
      <c r="K9" s="730">
        <f t="shared" si="13"/>
        <v>845.981044</v>
      </c>
      <c r="O9" s="729" t="s">
        <v>518</v>
      </c>
      <c r="P9" s="687">
        <v>811882</v>
      </c>
      <c r="Q9" s="730">
        <f t="shared" si="14"/>
        <v>845.981044</v>
      </c>
      <c r="S9" s="729" t="s">
        <v>518</v>
      </c>
      <c r="T9" s="687">
        <v>9630000</v>
      </c>
      <c r="U9" s="687">
        <v>1623764</v>
      </c>
      <c r="V9" s="687">
        <v>1623764</v>
      </c>
      <c r="W9" s="687">
        <v>8006236</v>
      </c>
      <c r="X9" s="730">
        <f t="shared" si="15"/>
        <v>10034.460000000001</v>
      </c>
      <c r="Y9" s="730">
        <f t="shared" si="16"/>
        <v>1691.962088</v>
      </c>
      <c r="Z9" s="730">
        <f t="shared" si="17"/>
        <v>1691.962088</v>
      </c>
      <c r="AA9" s="730">
        <f t="shared" si="18"/>
        <v>8342.4979120000007</v>
      </c>
      <c r="AC9" s="729" t="s">
        <v>518</v>
      </c>
      <c r="AD9" s="687">
        <v>811882</v>
      </c>
      <c r="AE9" s="730">
        <f t="shared" si="19"/>
        <v>845.981044</v>
      </c>
      <c r="AG9" s="729" t="s">
        <v>518</v>
      </c>
      <c r="AH9" s="687">
        <v>9630000</v>
      </c>
      <c r="AI9" s="687">
        <v>2435646</v>
      </c>
      <c r="AJ9" s="687">
        <v>2435646</v>
      </c>
      <c r="AK9" s="687">
        <v>7194354</v>
      </c>
      <c r="AL9" s="687">
        <f t="shared" si="20"/>
        <v>10034.460000000001</v>
      </c>
      <c r="AM9" s="687">
        <f t="shared" si="21"/>
        <v>2537.9431320000003</v>
      </c>
      <c r="AN9" s="687">
        <f t="shared" si="22"/>
        <v>2537.9431320000003</v>
      </c>
      <c r="AO9" s="687">
        <f t="shared" si="23"/>
        <v>7496.5168680000006</v>
      </c>
      <c r="AR9" s="729" t="s">
        <v>518</v>
      </c>
      <c r="AS9" s="687">
        <v>811882</v>
      </c>
      <c r="AT9" s="687">
        <f t="shared" si="24"/>
        <v>845.981044</v>
      </c>
      <c r="AV9" s="729" t="s">
        <v>518</v>
      </c>
      <c r="AW9" s="687">
        <v>9630000</v>
      </c>
      <c r="AX9" s="687">
        <v>3247528</v>
      </c>
      <c r="AY9" s="687">
        <v>3247528</v>
      </c>
      <c r="AZ9" s="687">
        <v>6382472</v>
      </c>
      <c r="BA9" s="730">
        <f t="shared" si="25"/>
        <v>10034.460000000001</v>
      </c>
      <c r="BB9" s="730">
        <f t="shared" si="26"/>
        <v>3383.924176</v>
      </c>
      <c r="BC9" s="730">
        <f t="shared" si="27"/>
        <v>3383.924176</v>
      </c>
      <c r="BD9" s="730">
        <f t="shared" si="28"/>
        <v>6650.5358239999996</v>
      </c>
      <c r="BG9" s="754" t="s">
        <v>518</v>
      </c>
      <c r="BH9" s="687">
        <v>811882</v>
      </c>
      <c r="BI9" s="755">
        <f t="shared" si="29"/>
        <v>845.981044</v>
      </c>
      <c r="BK9" s="754" t="s">
        <v>518</v>
      </c>
      <c r="BL9" s="687">
        <v>9630000</v>
      </c>
      <c r="BM9" s="687">
        <v>4059410</v>
      </c>
      <c r="BN9" s="687">
        <v>4059410</v>
      </c>
      <c r="BO9" s="687">
        <v>5570590</v>
      </c>
      <c r="BP9" s="687">
        <f t="shared" si="30"/>
        <v>10034.460000000001</v>
      </c>
      <c r="BQ9" s="687">
        <f t="shared" si="31"/>
        <v>4229.9052199999996</v>
      </c>
      <c r="BR9" s="687">
        <f t="shared" si="32"/>
        <v>4229.9052199999996</v>
      </c>
      <c r="BS9" s="755">
        <f t="shared" si="33"/>
        <v>5804.5547800000004</v>
      </c>
      <c r="BV9" s="729" t="s">
        <v>518</v>
      </c>
      <c r="BW9" s="687">
        <v>815942</v>
      </c>
      <c r="BX9" s="730">
        <f t="shared" si="34"/>
        <v>850.21156400000007</v>
      </c>
      <c r="BZ9" s="729" t="s">
        <v>518</v>
      </c>
      <c r="CA9" s="687">
        <v>9630000</v>
      </c>
      <c r="CB9" s="687">
        <v>4875352</v>
      </c>
      <c r="CC9" s="687">
        <v>4875352</v>
      </c>
      <c r="CD9" s="687">
        <v>4754648</v>
      </c>
      <c r="CE9" s="687">
        <f t="shared" si="35"/>
        <v>10034.460000000001</v>
      </c>
      <c r="CF9" s="687">
        <f t="shared" si="36"/>
        <v>5080.1167839999998</v>
      </c>
      <c r="CG9" s="687">
        <f t="shared" si="37"/>
        <v>5080.1167839999998</v>
      </c>
      <c r="CH9" s="687">
        <f t="shared" si="38"/>
        <v>4954.3432160000002</v>
      </c>
      <c r="CK9" s="731" t="s">
        <v>518</v>
      </c>
      <c r="CL9" s="730">
        <v>814008</v>
      </c>
      <c r="CM9" s="730">
        <f t="shared" si="39"/>
        <v>848.19633600000009</v>
      </c>
      <c r="CP9" s="731" t="s">
        <v>518</v>
      </c>
      <c r="CQ9" s="730">
        <v>9630000</v>
      </c>
      <c r="CR9" s="730">
        <v>5689360</v>
      </c>
      <c r="CS9" s="730">
        <v>5689360</v>
      </c>
      <c r="CT9" s="730">
        <v>3940640</v>
      </c>
      <c r="CU9" s="730">
        <f t="shared" si="2"/>
        <v>10034.460000000001</v>
      </c>
      <c r="CV9" s="730">
        <f t="shared" si="3"/>
        <v>5928.3131199999998</v>
      </c>
      <c r="CW9" s="730">
        <f t="shared" si="4"/>
        <v>5928.3131199999998</v>
      </c>
      <c r="CX9" s="730">
        <f t="shared" si="5"/>
        <v>4106.1468800000002</v>
      </c>
      <c r="CZ9" s="731" t="s">
        <v>518</v>
      </c>
      <c r="DA9" s="730">
        <v>809177</v>
      </c>
      <c r="DB9" s="730">
        <f t="shared" si="40"/>
        <v>843.16243400000008</v>
      </c>
      <c r="DE9" s="729" t="s">
        <v>518</v>
      </c>
      <c r="DF9" s="687">
        <v>9630000</v>
      </c>
      <c r="DG9" s="687">
        <v>6498537</v>
      </c>
      <c r="DH9" s="687">
        <v>6498537</v>
      </c>
      <c r="DI9" s="687">
        <v>3131463</v>
      </c>
      <c r="DJ9" s="730">
        <f t="shared" si="41"/>
        <v>10034.460000000001</v>
      </c>
      <c r="DK9" s="730">
        <f t="shared" si="42"/>
        <v>6771.4755540000006</v>
      </c>
      <c r="DL9" s="730">
        <f t="shared" si="43"/>
        <v>6771.4755540000006</v>
      </c>
      <c r="DM9" s="730">
        <f t="shared" si="44"/>
        <v>3262.9844460000004</v>
      </c>
      <c r="DP9" s="729" t="s">
        <v>518</v>
      </c>
      <c r="DQ9" s="687">
        <v>815942</v>
      </c>
      <c r="DR9" s="730">
        <f t="shared" si="45"/>
        <v>815.94200000000001</v>
      </c>
      <c r="DT9" s="729" t="s">
        <v>518</v>
      </c>
      <c r="DU9" s="687">
        <v>9630000</v>
      </c>
      <c r="DV9" s="687">
        <v>7314479</v>
      </c>
      <c r="DW9" s="687">
        <v>7314479</v>
      </c>
      <c r="DX9" s="687">
        <v>2315521</v>
      </c>
      <c r="DY9" s="730">
        <f t="shared" si="46"/>
        <v>9630</v>
      </c>
      <c r="DZ9" s="730">
        <f t="shared" si="47"/>
        <v>7314.4790000000003</v>
      </c>
      <c r="EA9" s="730">
        <f t="shared" si="48"/>
        <v>7314.4790000000003</v>
      </c>
      <c r="EB9" s="730">
        <f t="shared" si="49"/>
        <v>2315.5210000000002</v>
      </c>
      <c r="EE9" s="731" t="s">
        <v>965</v>
      </c>
      <c r="EF9" s="730">
        <v>163035</v>
      </c>
      <c r="EG9" s="734">
        <f t="shared" si="50"/>
        <v>163.035</v>
      </c>
      <c r="EI9" s="731" t="s">
        <v>965</v>
      </c>
      <c r="EJ9" s="730">
        <v>163035</v>
      </c>
      <c r="EK9" s="730">
        <v>163035</v>
      </c>
      <c r="EL9" s="730">
        <v>163035</v>
      </c>
      <c r="EM9" s="734">
        <f t="shared" si="51"/>
        <v>163.035</v>
      </c>
      <c r="EN9" s="734">
        <f t="shared" si="52"/>
        <v>163.035</v>
      </c>
      <c r="EO9" s="734">
        <f t="shared" si="53"/>
        <v>163.035</v>
      </c>
      <c r="ER9" s="729" t="s">
        <v>518</v>
      </c>
      <c r="ES9" s="687">
        <v>815942</v>
      </c>
      <c r="ET9" s="730">
        <f t="shared" si="54"/>
        <v>815.94200000000001</v>
      </c>
      <c r="EW9" s="729" t="s">
        <v>965</v>
      </c>
      <c r="EX9" s="687">
        <v>0</v>
      </c>
      <c r="EY9" s="687">
        <v>163035</v>
      </c>
      <c r="EZ9" s="687">
        <v>163035</v>
      </c>
      <c r="FA9" s="687">
        <v>163035</v>
      </c>
      <c r="FB9" s="687">
        <v>0</v>
      </c>
      <c r="FC9" s="730">
        <f t="shared" si="55"/>
        <v>0</v>
      </c>
      <c r="FD9" s="730">
        <f t="shared" si="56"/>
        <v>163.035</v>
      </c>
      <c r="FE9" s="730">
        <f t="shared" si="57"/>
        <v>163.035</v>
      </c>
      <c r="FF9" s="730">
        <f t="shared" si="58"/>
        <v>163.035</v>
      </c>
      <c r="FG9" s="730">
        <f t="shared" si="59"/>
        <v>0</v>
      </c>
      <c r="FJ9" s="731" t="s">
        <v>518</v>
      </c>
      <c r="FK9" s="730">
        <v>838882</v>
      </c>
      <c r="FL9" s="734">
        <f t="shared" si="60"/>
        <v>838.88199999999995</v>
      </c>
      <c r="FN9" s="735" t="s">
        <v>965</v>
      </c>
      <c r="FO9" s="736">
        <v>163035</v>
      </c>
      <c r="FP9" s="736">
        <v>163035</v>
      </c>
      <c r="FQ9" s="736">
        <v>163035</v>
      </c>
      <c r="FR9" s="736">
        <f t="shared" si="61"/>
        <v>163.035</v>
      </c>
      <c r="FS9" s="736">
        <f t="shared" si="62"/>
        <v>163.035</v>
      </c>
      <c r="FT9" s="736">
        <f t="shared" si="63"/>
        <v>163.035</v>
      </c>
    </row>
    <row r="10" spans="1:176" ht="15" customHeight="1" x14ac:dyDescent="0.25">
      <c r="A10" s="728" t="s">
        <v>881</v>
      </c>
      <c r="B10" s="729" t="s">
        <v>519</v>
      </c>
      <c r="C10" s="687">
        <v>0</v>
      </c>
      <c r="D10" s="687">
        <v>2200000</v>
      </c>
      <c r="E10" s="687">
        <v>185985</v>
      </c>
      <c r="F10" s="687">
        <v>2014015</v>
      </c>
      <c r="G10" s="687">
        <v>185985</v>
      </c>
      <c r="H10" s="730">
        <f t="shared" si="10"/>
        <v>2292.4</v>
      </c>
      <c r="I10" s="730">
        <f t="shared" si="11"/>
        <v>193.79637000000002</v>
      </c>
      <c r="J10" s="730">
        <f t="shared" si="12"/>
        <v>2098.6036300000001</v>
      </c>
      <c r="K10" s="730">
        <f t="shared" si="13"/>
        <v>193.79637000000002</v>
      </c>
      <c r="O10" s="729" t="s">
        <v>519</v>
      </c>
      <c r="P10" s="687">
        <v>185985</v>
      </c>
      <c r="Q10" s="730">
        <f t="shared" si="14"/>
        <v>193.79637000000002</v>
      </c>
      <c r="S10" s="729" t="s">
        <v>519</v>
      </c>
      <c r="T10" s="687">
        <v>2200000</v>
      </c>
      <c r="U10" s="687">
        <v>371970</v>
      </c>
      <c r="V10" s="687">
        <v>371970</v>
      </c>
      <c r="W10" s="687">
        <v>1828030</v>
      </c>
      <c r="X10" s="730">
        <f t="shared" si="15"/>
        <v>2292.4</v>
      </c>
      <c r="Y10" s="730">
        <f t="shared" si="16"/>
        <v>387.59274000000005</v>
      </c>
      <c r="Z10" s="730">
        <f t="shared" si="17"/>
        <v>387.59274000000005</v>
      </c>
      <c r="AA10" s="730">
        <f t="shared" si="18"/>
        <v>1904.80726</v>
      </c>
      <c r="AC10" s="729" t="s">
        <v>519</v>
      </c>
      <c r="AD10" s="687">
        <v>185985</v>
      </c>
      <c r="AE10" s="730">
        <f t="shared" si="19"/>
        <v>193.79637000000002</v>
      </c>
      <c r="AG10" s="729" t="s">
        <v>519</v>
      </c>
      <c r="AH10" s="687">
        <v>2200000</v>
      </c>
      <c r="AI10" s="687">
        <v>557955</v>
      </c>
      <c r="AJ10" s="687">
        <v>557955</v>
      </c>
      <c r="AK10" s="687">
        <v>1642045</v>
      </c>
      <c r="AL10" s="687">
        <f t="shared" si="20"/>
        <v>2292.4</v>
      </c>
      <c r="AM10" s="687">
        <f t="shared" si="21"/>
        <v>581.38911000000007</v>
      </c>
      <c r="AN10" s="687">
        <f t="shared" si="22"/>
        <v>581.38911000000007</v>
      </c>
      <c r="AO10" s="687">
        <f t="shared" si="23"/>
        <v>1711.0108900000002</v>
      </c>
      <c r="AR10" s="729" t="s">
        <v>519</v>
      </c>
      <c r="AS10" s="687">
        <v>185985</v>
      </c>
      <c r="AT10" s="687">
        <f t="shared" si="24"/>
        <v>193.79637000000002</v>
      </c>
      <c r="AV10" s="729" t="s">
        <v>519</v>
      </c>
      <c r="AW10" s="687">
        <v>2200000</v>
      </c>
      <c r="AX10" s="687">
        <v>743940</v>
      </c>
      <c r="AY10" s="687">
        <v>743940</v>
      </c>
      <c r="AZ10" s="687">
        <v>1456060</v>
      </c>
      <c r="BA10" s="730">
        <f t="shared" si="25"/>
        <v>2292.4</v>
      </c>
      <c r="BB10" s="730">
        <f t="shared" si="26"/>
        <v>775.1854800000001</v>
      </c>
      <c r="BC10" s="730">
        <f t="shared" si="27"/>
        <v>775.1854800000001</v>
      </c>
      <c r="BD10" s="730">
        <f t="shared" si="28"/>
        <v>1517.21452</v>
      </c>
      <c r="BG10" s="754" t="s">
        <v>519</v>
      </c>
      <c r="BH10" s="687">
        <v>185985</v>
      </c>
      <c r="BI10" s="755">
        <f t="shared" si="29"/>
        <v>193.79637000000002</v>
      </c>
      <c r="BK10" s="754" t="s">
        <v>519</v>
      </c>
      <c r="BL10" s="687">
        <v>2200000</v>
      </c>
      <c r="BM10" s="687">
        <v>929925</v>
      </c>
      <c r="BN10" s="687">
        <v>929925</v>
      </c>
      <c r="BO10" s="687">
        <v>1270075</v>
      </c>
      <c r="BP10" s="687">
        <f t="shared" si="30"/>
        <v>2292.4</v>
      </c>
      <c r="BQ10" s="687">
        <f t="shared" si="31"/>
        <v>968.98185000000001</v>
      </c>
      <c r="BR10" s="687">
        <f t="shared" si="32"/>
        <v>968.98185000000001</v>
      </c>
      <c r="BS10" s="755">
        <f t="shared" si="33"/>
        <v>1323.4181500000002</v>
      </c>
      <c r="BV10" s="729" t="s">
        <v>519</v>
      </c>
      <c r="BW10" s="687">
        <v>185985</v>
      </c>
      <c r="BX10" s="730">
        <f t="shared" si="34"/>
        <v>193.79637000000002</v>
      </c>
      <c r="BZ10" s="729" t="s">
        <v>519</v>
      </c>
      <c r="CA10" s="687">
        <v>2200000</v>
      </c>
      <c r="CB10" s="687">
        <v>1115910</v>
      </c>
      <c r="CC10" s="687">
        <v>1115910</v>
      </c>
      <c r="CD10" s="687">
        <v>1084090</v>
      </c>
      <c r="CE10" s="687">
        <f t="shared" si="35"/>
        <v>2292.4</v>
      </c>
      <c r="CF10" s="687">
        <f t="shared" si="36"/>
        <v>1162.7782200000001</v>
      </c>
      <c r="CG10" s="687">
        <f t="shared" si="37"/>
        <v>1162.7782200000001</v>
      </c>
      <c r="CH10" s="687">
        <f t="shared" si="38"/>
        <v>1129.6217799999999</v>
      </c>
      <c r="CK10" s="731" t="s">
        <v>519</v>
      </c>
      <c r="CL10" s="730">
        <v>184051</v>
      </c>
      <c r="CM10" s="730">
        <f t="shared" si="39"/>
        <v>191.78114199999999</v>
      </c>
      <c r="CP10" s="731" t="s">
        <v>519</v>
      </c>
      <c r="CQ10" s="730">
        <v>2200000</v>
      </c>
      <c r="CR10" s="730">
        <v>1299961</v>
      </c>
      <c r="CS10" s="730">
        <v>1299961</v>
      </c>
      <c r="CT10" s="730">
        <v>900039</v>
      </c>
      <c r="CU10" s="730">
        <f t="shared" si="2"/>
        <v>2292.4</v>
      </c>
      <c r="CV10" s="730">
        <f t="shared" si="3"/>
        <v>1354.559362</v>
      </c>
      <c r="CW10" s="730">
        <f t="shared" si="4"/>
        <v>1354.559362</v>
      </c>
      <c r="CX10" s="730">
        <f t="shared" si="5"/>
        <v>937.84063800000001</v>
      </c>
      <c r="CZ10" s="731" t="s">
        <v>519</v>
      </c>
      <c r="DA10" s="730">
        <v>181322</v>
      </c>
      <c r="DB10" s="730">
        <f t="shared" si="40"/>
        <v>188.937524</v>
      </c>
      <c r="DE10" s="729" t="s">
        <v>519</v>
      </c>
      <c r="DF10" s="687">
        <v>2200000</v>
      </c>
      <c r="DG10" s="687">
        <v>1481283</v>
      </c>
      <c r="DH10" s="687">
        <v>1481283</v>
      </c>
      <c r="DI10" s="687">
        <v>718717</v>
      </c>
      <c r="DJ10" s="730">
        <f t="shared" si="41"/>
        <v>2292.4</v>
      </c>
      <c r="DK10" s="730">
        <f t="shared" si="42"/>
        <v>1543.4968859999999</v>
      </c>
      <c r="DL10" s="730">
        <f t="shared" si="43"/>
        <v>1543.4968859999999</v>
      </c>
      <c r="DM10" s="730">
        <f t="shared" si="44"/>
        <v>748.90311399999996</v>
      </c>
      <c r="DP10" s="729" t="s">
        <v>519</v>
      </c>
      <c r="DQ10" s="687">
        <v>185985</v>
      </c>
      <c r="DR10" s="730">
        <f t="shared" si="45"/>
        <v>185.98500000000001</v>
      </c>
      <c r="DT10" s="729" t="s">
        <v>519</v>
      </c>
      <c r="DU10" s="687">
        <v>2200000</v>
      </c>
      <c r="DV10" s="687">
        <v>1667268</v>
      </c>
      <c r="DW10" s="687">
        <v>1667268</v>
      </c>
      <c r="DX10" s="687">
        <v>532732</v>
      </c>
      <c r="DY10" s="730">
        <f t="shared" si="46"/>
        <v>2200</v>
      </c>
      <c r="DZ10" s="730">
        <f t="shared" si="47"/>
        <v>1667.268</v>
      </c>
      <c r="EA10" s="730">
        <f t="shared" si="48"/>
        <v>1667.268</v>
      </c>
      <c r="EB10" s="730">
        <f t="shared" si="49"/>
        <v>532.73199999999997</v>
      </c>
      <c r="EE10" s="731" t="s">
        <v>518</v>
      </c>
      <c r="EF10" s="730">
        <v>815598</v>
      </c>
      <c r="EG10" s="734">
        <f t="shared" si="50"/>
        <v>815.59799999999996</v>
      </c>
      <c r="EI10" s="731" t="s">
        <v>518</v>
      </c>
      <c r="EJ10" s="730">
        <v>9630000</v>
      </c>
      <c r="EK10" s="730">
        <v>8130077</v>
      </c>
      <c r="EL10" s="730">
        <v>8130077</v>
      </c>
      <c r="EM10" s="734">
        <f t="shared" si="51"/>
        <v>9630</v>
      </c>
      <c r="EN10" s="734">
        <f t="shared" si="52"/>
        <v>8130.0770000000002</v>
      </c>
      <c r="EO10" s="734">
        <f t="shared" si="53"/>
        <v>8130.0770000000002</v>
      </c>
      <c r="ER10" s="729" t="s">
        <v>519</v>
      </c>
      <c r="ES10" s="687">
        <v>185985</v>
      </c>
      <c r="ET10" s="730">
        <f t="shared" si="54"/>
        <v>185.98500000000001</v>
      </c>
      <c r="EW10" s="729" t="s">
        <v>518</v>
      </c>
      <c r="EX10" s="687">
        <v>0</v>
      </c>
      <c r="EY10" s="687">
        <v>9630000</v>
      </c>
      <c r="EZ10" s="687">
        <v>8946019</v>
      </c>
      <c r="FA10" s="687">
        <v>8946019</v>
      </c>
      <c r="FB10" s="687">
        <v>683981</v>
      </c>
      <c r="FC10" s="730">
        <f t="shared" si="55"/>
        <v>0</v>
      </c>
      <c r="FD10" s="730">
        <f t="shared" si="56"/>
        <v>9630</v>
      </c>
      <c r="FE10" s="730">
        <f t="shared" si="57"/>
        <v>8946.0190000000002</v>
      </c>
      <c r="FF10" s="730">
        <f t="shared" si="58"/>
        <v>8946.0190000000002</v>
      </c>
      <c r="FG10" s="730">
        <f t="shared" si="59"/>
        <v>683.98099999999999</v>
      </c>
      <c r="FJ10" s="731" t="s">
        <v>519</v>
      </c>
      <c r="FK10" s="730">
        <v>184447</v>
      </c>
      <c r="FL10" s="734">
        <f t="shared" si="60"/>
        <v>184.447</v>
      </c>
      <c r="FN10" s="735" t="s">
        <v>518</v>
      </c>
      <c r="FO10" s="736">
        <v>9786439</v>
      </c>
      <c r="FP10" s="736">
        <v>9784901</v>
      </c>
      <c r="FQ10" s="736">
        <v>9784901</v>
      </c>
      <c r="FR10" s="736">
        <f t="shared" si="61"/>
        <v>9786.4390000000003</v>
      </c>
      <c r="FS10" s="736">
        <f t="shared" si="62"/>
        <v>9784.9009999999998</v>
      </c>
      <c r="FT10" s="736">
        <f t="shared" si="63"/>
        <v>9784.9009999999998</v>
      </c>
    </row>
    <row r="11" spans="1:176" ht="15" customHeight="1" x14ac:dyDescent="0.25">
      <c r="A11" s="728" t="s">
        <v>881</v>
      </c>
      <c r="B11" s="729" t="s">
        <v>520</v>
      </c>
      <c r="C11" s="687">
        <v>0</v>
      </c>
      <c r="D11" s="687">
        <v>51980000</v>
      </c>
      <c r="E11" s="687">
        <v>3852323</v>
      </c>
      <c r="F11" s="687">
        <v>48127677</v>
      </c>
      <c r="G11" s="687">
        <v>3852323</v>
      </c>
      <c r="H11" s="730">
        <f t="shared" si="10"/>
        <v>54163.16</v>
      </c>
      <c r="I11" s="730">
        <f t="shared" si="11"/>
        <v>4014.1205660000001</v>
      </c>
      <c r="J11" s="730">
        <f t="shared" si="12"/>
        <v>50149.039434000006</v>
      </c>
      <c r="K11" s="730">
        <f t="shared" si="13"/>
        <v>4014.1205660000001</v>
      </c>
      <c r="O11" s="729" t="s">
        <v>520</v>
      </c>
      <c r="P11" s="687">
        <v>3852323</v>
      </c>
      <c r="Q11" s="730">
        <f t="shared" si="14"/>
        <v>4014.1205660000001</v>
      </c>
      <c r="S11" s="729" t="s">
        <v>520</v>
      </c>
      <c r="T11" s="687">
        <v>51980000</v>
      </c>
      <c r="U11" s="687">
        <v>7704646</v>
      </c>
      <c r="V11" s="687">
        <v>7704646</v>
      </c>
      <c r="W11" s="687">
        <v>44275354</v>
      </c>
      <c r="X11" s="730">
        <f t="shared" si="15"/>
        <v>54163.16</v>
      </c>
      <c r="Y11" s="730">
        <f t="shared" si="16"/>
        <v>8028.2411320000001</v>
      </c>
      <c r="Z11" s="730">
        <f t="shared" si="17"/>
        <v>8028.2411320000001</v>
      </c>
      <c r="AA11" s="730">
        <f t="shared" si="18"/>
        <v>46134.918868000001</v>
      </c>
      <c r="AC11" s="729" t="s">
        <v>520</v>
      </c>
      <c r="AD11" s="687">
        <v>5573318</v>
      </c>
      <c r="AE11" s="730">
        <f t="shared" si="19"/>
        <v>5807.3973560000004</v>
      </c>
      <c r="AG11" s="729" t="s">
        <v>520</v>
      </c>
      <c r="AH11" s="687">
        <v>51980000</v>
      </c>
      <c r="AI11" s="687">
        <v>13277964</v>
      </c>
      <c r="AJ11" s="687">
        <v>13277964</v>
      </c>
      <c r="AK11" s="687">
        <v>38702036</v>
      </c>
      <c r="AL11" s="687">
        <f t="shared" si="20"/>
        <v>54163.16</v>
      </c>
      <c r="AM11" s="687">
        <f t="shared" si="21"/>
        <v>13835.638488000001</v>
      </c>
      <c r="AN11" s="687">
        <f t="shared" si="22"/>
        <v>13835.638488000001</v>
      </c>
      <c r="AO11" s="687">
        <f t="shared" si="23"/>
        <v>40327.521511999999</v>
      </c>
      <c r="AR11" s="729" t="s">
        <v>520</v>
      </c>
      <c r="AS11" s="687">
        <v>3869143</v>
      </c>
      <c r="AT11" s="687">
        <f t="shared" si="24"/>
        <v>4031.6470060000001</v>
      </c>
      <c r="AV11" s="729" t="s">
        <v>520</v>
      </c>
      <c r="AW11" s="687">
        <v>51980000</v>
      </c>
      <c r="AX11" s="687">
        <v>17147107</v>
      </c>
      <c r="AY11" s="687">
        <v>17147107</v>
      </c>
      <c r="AZ11" s="687">
        <v>34832893</v>
      </c>
      <c r="BA11" s="730">
        <f t="shared" si="25"/>
        <v>54163.16</v>
      </c>
      <c r="BB11" s="730">
        <f t="shared" si="26"/>
        <v>17867.285494</v>
      </c>
      <c r="BC11" s="730">
        <f t="shared" si="27"/>
        <v>17867.285494</v>
      </c>
      <c r="BD11" s="730">
        <f t="shared" si="28"/>
        <v>36295.874506</v>
      </c>
      <c r="BG11" s="754" t="s">
        <v>520</v>
      </c>
      <c r="BH11" s="687">
        <v>3869143</v>
      </c>
      <c r="BI11" s="755">
        <f t="shared" si="29"/>
        <v>4031.6470060000001</v>
      </c>
      <c r="BK11" s="754" t="s">
        <v>520</v>
      </c>
      <c r="BL11" s="687">
        <v>51980000</v>
      </c>
      <c r="BM11" s="687">
        <v>21016250</v>
      </c>
      <c r="BN11" s="687">
        <v>21016250</v>
      </c>
      <c r="BO11" s="687">
        <v>30963750</v>
      </c>
      <c r="BP11" s="687">
        <f t="shared" si="30"/>
        <v>54163.16</v>
      </c>
      <c r="BQ11" s="687">
        <f t="shared" si="31"/>
        <v>21898.932499999999</v>
      </c>
      <c r="BR11" s="687">
        <f t="shared" si="32"/>
        <v>21898.932499999999</v>
      </c>
      <c r="BS11" s="755">
        <f t="shared" si="33"/>
        <v>32264.227500000001</v>
      </c>
      <c r="BV11" s="729" t="s">
        <v>520</v>
      </c>
      <c r="BW11" s="687">
        <v>5590138</v>
      </c>
      <c r="BX11" s="730">
        <f t="shared" si="34"/>
        <v>5824.923796</v>
      </c>
      <c r="BZ11" s="729" t="s">
        <v>520</v>
      </c>
      <c r="CA11" s="687">
        <v>51980000</v>
      </c>
      <c r="CB11" s="687">
        <v>26606388</v>
      </c>
      <c r="CC11" s="687">
        <v>26606388</v>
      </c>
      <c r="CD11" s="687">
        <v>25373612</v>
      </c>
      <c r="CE11" s="687">
        <f t="shared" si="35"/>
        <v>54163.16</v>
      </c>
      <c r="CF11" s="687">
        <f t="shared" si="36"/>
        <v>27723.856296000002</v>
      </c>
      <c r="CG11" s="687">
        <f t="shared" si="37"/>
        <v>27723.856296000002</v>
      </c>
      <c r="CH11" s="687">
        <f t="shared" si="38"/>
        <v>26439.303704000002</v>
      </c>
      <c r="CK11" s="731" t="s">
        <v>520</v>
      </c>
      <c r="CL11" s="730">
        <v>3867209</v>
      </c>
      <c r="CM11" s="730">
        <f t="shared" si="39"/>
        <v>4029.6317779999999</v>
      </c>
      <c r="CP11" s="731" t="s">
        <v>520</v>
      </c>
      <c r="CQ11" s="730">
        <v>51980000</v>
      </c>
      <c r="CR11" s="730">
        <v>30473597</v>
      </c>
      <c r="CS11" s="730">
        <v>30473597</v>
      </c>
      <c r="CT11" s="730">
        <v>21506403</v>
      </c>
      <c r="CU11" s="730">
        <f t="shared" si="2"/>
        <v>54163.16</v>
      </c>
      <c r="CV11" s="730">
        <f t="shared" si="3"/>
        <v>31753.488074000004</v>
      </c>
      <c r="CW11" s="730">
        <f t="shared" si="4"/>
        <v>31753.488074000004</v>
      </c>
      <c r="CX11" s="730">
        <f t="shared" si="5"/>
        <v>22409.671925999999</v>
      </c>
      <c r="CZ11" s="731" t="s">
        <v>520</v>
      </c>
      <c r="DA11" s="730">
        <v>3862378</v>
      </c>
      <c r="DB11" s="730">
        <f t="shared" si="40"/>
        <v>4024.5978760000003</v>
      </c>
      <c r="DE11" s="729" t="s">
        <v>520</v>
      </c>
      <c r="DF11" s="687">
        <v>51980000</v>
      </c>
      <c r="DG11" s="687">
        <v>34335975</v>
      </c>
      <c r="DH11" s="687">
        <v>34335975</v>
      </c>
      <c r="DI11" s="687">
        <v>17644025</v>
      </c>
      <c r="DJ11" s="730">
        <f t="shared" si="41"/>
        <v>54163.16</v>
      </c>
      <c r="DK11" s="730">
        <f t="shared" si="42"/>
        <v>35778.085950000001</v>
      </c>
      <c r="DL11" s="730">
        <f t="shared" si="43"/>
        <v>35778.085950000001</v>
      </c>
      <c r="DM11" s="730">
        <f t="shared" si="44"/>
        <v>18385.074050000003</v>
      </c>
      <c r="DP11" s="729" t="s">
        <v>520</v>
      </c>
      <c r="DQ11" s="687">
        <v>5590138</v>
      </c>
      <c r="DR11" s="730">
        <f t="shared" si="45"/>
        <v>5590.1379999999999</v>
      </c>
      <c r="DT11" s="729" t="s">
        <v>520</v>
      </c>
      <c r="DU11" s="687">
        <v>51980000</v>
      </c>
      <c r="DV11" s="687">
        <v>39926113</v>
      </c>
      <c r="DW11" s="687">
        <v>39926113</v>
      </c>
      <c r="DX11" s="687">
        <v>12053887</v>
      </c>
      <c r="DY11" s="730">
        <f t="shared" si="46"/>
        <v>51980</v>
      </c>
      <c r="DZ11" s="730">
        <f t="shared" si="47"/>
        <v>39926.112999999998</v>
      </c>
      <c r="EA11" s="730">
        <f t="shared" si="48"/>
        <v>39926.112999999998</v>
      </c>
      <c r="EB11" s="730">
        <f t="shared" si="49"/>
        <v>12053.887000000001</v>
      </c>
      <c r="EE11" s="731" t="s">
        <v>519</v>
      </c>
      <c r="EF11" s="730">
        <v>185641</v>
      </c>
      <c r="EG11" s="734">
        <f t="shared" si="50"/>
        <v>185.64099999999999</v>
      </c>
      <c r="EI11" s="731" t="s">
        <v>519</v>
      </c>
      <c r="EJ11" s="730">
        <v>2200000</v>
      </c>
      <c r="EK11" s="730">
        <v>1852909</v>
      </c>
      <c r="EL11" s="730">
        <v>1852909</v>
      </c>
      <c r="EM11" s="734">
        <f t="shared" si="51"/>
        <v>2200</v>
      </c>
      <c r="EN11" s="734">
        <f t="shared" si="52"/>
        <v>1852.9090000000001</v>
      </c>
      <c r="EO11" s="734">
        <f t="shared" si="53"/>
        <v>1852.9090000000001</v>
      </c>
      <c r="ER11" s="729" t="s">
        <v>520</v>
      </c>
      <c r="ES11" s="687">
        <v>3869143</v>
      </c>
      <c r="ET11" s="730">
        <f t="shared" si="54"/>
        <v>3869.143</v>
      </c>
      <c r="EW11" s="729" t="s">
        <v>519</v>
      </c>
      <c r="EX11" s="687">
        <v>0</v>
      </c>
      <c r="EY11" s="687">
        <v>2200000</v>
      </c>
      <c r="EZ11" s="687">
        <v>2038894</v>
      </c>
      <c r="FA11" s="687">
        <v>2038894</v>
      </c>
      <c r="FB11" s="687">
        <v>161106</v>
      </c>
      <c r="FC11" s="730">
        <f t="shared" si="55"/>
        <v>0</v>
      </c>
      <c r="FD11" s="730">
        <f t="shared" si="56"/>
        <v>2200</v>
      </c>
      <c r="FE11" s="730">
        <f t="shared" si="57"/>
        <v>2038.894</v>
      </c>
      <c r="FF11" s="730">
        <f t="shared" si="58"/>
        <v>2038.894</v>
      </c>
      <c r="FG11" s="730">
        <f t="shared" si="59"/>
        <v>161.10599999999999</v>
      </c>
      <c r="FJ11" s="731" t="s">
        <v>520</v>
      </c>
      <c r="FK11" s="730">
        <v>5588600</v>
      </c>
      <c r="FL11" s="734">
        <f t="shared" si="60"/>
        <v>5588.6</v>
      </c>
      <c r="FN11" s="735" t="s">
        <v>519</v>
      </c>
      <c r="FO11" s="736">
        <v>2224879</v>
      </c>
      <c r="FP11" s="736">
        <v>2223341</v>
      </c>
      <c r="FQ11" s="736">
        <v>2223341</v>
      </c>
      <c r="FR11" s="736">
        <f t="shared" si="61"/>
        <v>2224.8789999999999</v>
      </c>
      <c r="FS11" s="736">
        <f t="shared" si="62"/>
        <v>2223.3409999999999</v>
      </c>
      <c r="FT11" s="736">
        <f t="shared" si="63"/>
        <v>2223.3409999999999</v>
      </c>
    </row>
    <row r="12" spans="1:176" ht="15" customHeight="1" x14ac:dyDescent="0.25">
      <c r="A12" s="728" t="s">
        <v>881</v>
      </c>
      <c r="B12" s="729" t="s">
        <v>521</v>
      </c>
      <c r="C12" s="687">
        <v>0</v>
      </c>
      <c r="D12" s="687">
        <v>79670000</v>
      </c>
      <c r="E12" s="687">
        <v>6970894</v>
      </c>
      <c r="F12" s="687">
        <v>72699106</v>
      </c>
      <c r="G12" s="687">
        <v>6970894</v>
      </c>
      <c r="H12" s="730">
        <f t="shared" si="10"/>
        <v>83016.14</v>
      </c>
      <c r="I12" s="730">
        <f t="shared" si="11"/>
        <v>7263.6715480000003</v>
      </c>
      <c r="J12" s="730">
        <f t="shared" si="12"/>
        <v>75752.468452000001</v>
      </c>
      <c r="K12" s="730">
        <f t="shared" si="13"/>
        <v>7263.6715480000003</v>
      </c>
      <c r="O12" s="729" t="s">
        <v>521</v>
      </c>
      <c r="P12" s="687">
        <v>6966818</v>
      </c>
      <c r="Q12" s="730">
        <f t="shared" si="14"/>
        <v>7259.4243560000004</v>
      </c>
      <c r="S12" s="729" t="s">
        <v>521</v>
      </c>
      <c r="T12" s="687">
        <v>79670000</v>
      </c>
      <c r="U12" s="687">
        <v>13937712</v>
      </c>
      <c r="V12" s="687">
        <v>13937712</v>
      </c>
      <c r="W12" s="687">
        <v>65732288</v>
      </c>
      <c r="X12" s="730">
        <f t="shared" si="15"/>
        <v>83016.14</v>
      </c>
      <c r="Y12" s="730">
        <f t="shared" si="16"/>
        <v>14523.095904</v>
      </c>
      <c r="Z12" s="730">
        <f t="shared" si="17"/>
        <v>14523.095904</v>
      </c>
      <c r="AA12" s="730">
        <f t="shared" si="18"/>
        <v>68493.044095999998</v>
      </c>
      <c r="AC12" s="729" t="s">
        <v>521</v>
      </c>
      <c r="AD12" s="687">
        <v>7796072</v>
      </c>
      <c r="AE12" s="730">
        <f t="shared" si="19"/>
        <v>8123.5070240000005</v>
      </c>
      <c r="AG12" s="729" t="s">
        <v>521</v>
      </c>
      <c r="AH12" s="687">
        <v>79670000</v>
      </c>
      <c r="AI12" s="687">
        <v>21733784</v>
      </c>
      <c r="AJ12" s="687">
        <v>21733784</v>
      </c>
      <c r="AK12" s="687">
        <v>57936216</v>
      </c>
      <c r="AL12" s="687">
        <f t="shared" si="20"/>
        <v>83016.14</v>
      </c>
      <c r="AM12" s="687">
        <f t="shared" si="21"/>
        <v>22646.602928</v>
      </c>
      <c r="AN12" s="687">
        <f t="shared" si="22"/>
        <v>22646.602928</v>
      </c>
      <c r="AO12" s="687">
        <f t="shared" si="23"/>
        <v>60369.537071999999</v>
      </c>
      <c r="AR12" s="729" t="s">
        <v>521</v>
      </c>
      <c r="AS12" s="687">
        <v>6972319</v>
      </c>
      <c r="AT12" s="687">
        <f t="shared" si="24"/>
        <v>7265.156398000001</v>
      </c>
      <c r="AV12" s="729" t="s">
        <v>521</v>
      </c>
      <c r="AW12" s="687">
        <v>79670000</v>
      </c>
      <c r="AX12" s="687">
        <v>28706103</v>
      </c>
      <c r="AY12" s="687">
        <v>28706103</v>
      </c>
      <c r="AZ12" s="687">
        <v>50963897</v>
      </c>
      <c r="BA12" s="730">
        <f t="shared" si="25"/>
        <v>83016.14</v>
      </c>
      <c r="BB12" s="730">
        <f t="shared" si="26"/>
        <v>29911.759325999999</v>
      </c>
      <c r="BC12" s="730">
        <f t="shared" si="27"/>
        <v>29911.759325999999</v>
      </c>
      <c r="BD12" s="730">
        <f t="shared" si="28"/>
        <v>53104.380674</v>
      </c>
      <c r="BG12" s="754" t="s">
        <v>521</v>
      </c>
      <c r="BH12" s="687">
        <v>6397161</v>
      </c>
      <c r="BI12" s="755">
        <f t="shared" si="29"/>
        <v>6665.841762</v>
      </c>
      <c r="BK12" s="754" t="s">
        <v>521</v>
      </c>
      <c r="BL12" s="687">
        <v>79670000</v>
      </c>
      <c r="BM12" s="687">
        <v>35103264</v>
      </c>
      <c r="BN12" s="687">
        <v>35103264</v>
      </c>
      <c r="BO12" s="687">
        <v>44566736</v>
      </c>
      <c r="BP12" s="687">
        <f t="shared" si="30"/>
        <v>83016.14</v>
      </c>
      <c r="BQ12" s="687">
        <f t="shared" si="31"/>
        <v>36577.601088000003</v>
      </c>
      <c r="BR12" s="687">
        <f t="shared" si="32"/>
        <v>36577.601088000003</v>
      </c>
      <c r="BS12" s="755">
        <f t="shared" si="33"/>
        <v>46438.538911999996</v>
      </c>
      <c r="BV12" s="729" t="s">
        <v>521</v>
      </c>
      <c r="BW12" s="687">
        <v>7273082</v>
      </c>
      <c r="BX12" s="730">
        <f t="shared" si="34"/>
        <v>7578.5514440000006</v>
      </c>
      <c r="BZ12" s="729" t="s">
        <v>521</v>
      </c>
      <c r="CA12" s="687">
        <v>79670000</v>
      </c>
      <c r="CB12" s="687">
        <v>42376346</v>
      </c>
      <c r="CC12" s="687">
        <v>42376346</v>
      </c>
      <c r="CD12" s="687">
        <v>37293654</v>
      </c>
      <c r="CE12" s="687">
        <f t="shared" si="35"/>
        <v>83016.14</v>
      </c>
      <c r="CF12" s="687">
        <f t="shared" si="36"/>
        <v>44156.152532</v>
      </c>
      <c r="CG12" s="687">
        <f t="shared" si="37"/>
        <v>44156.152532</v>
      </c>
      <c r="CH12" s="687">
        <f t="shared" si="38"/>
        <v>38859.987468000007</v>
      </c>
      <c r="CK12" s="731" t="s">
        <v>521</v>
      </c>
      <c r="CL12" s="730">
        <v>5715228</v>
      </c>
      <c r="CM12" s="730">
        <f t="shared" si="39"/>
        <v>5955.2675760000002</v>
      </c>
      <c r="CP12" s="731" t="s">
        <v>521</v>
      </c>
      <c r="CQ12" s="730">
        <v>79670000</v>
      </c>
      <c r="CR12" s="730">
        <v>48091574</v>
      </c>
      <c r="CS12" s="730">
        <v>48091574</v>
      </c>
      <c r="CT12" s="730">
        <v>31578426</v>
      </c>
      <c r="CU12" s="730">
        <f t="shared" si="2"/>
        <v>83016.14</v>
      </c>
      <c r="CV12" s="730">
        <f t="shared" si="3"/>
        <v>50111.420108000006</v>
      </c>
      <c r="CW12" s="730">
        <f t="shared" si="4"/>
        <v>50111.420108000006</v>
      </c>
      <c r="CX12" s="730">
        <f t="shared" si="5"/>
        <v>32904.719892000001</v>
      </c>
      <c r="CZ12" s="731" t="s">
        <v>521</v>
      </c>
      <c r="DA12" s="730">
        <v>5710398</v>
      </c>
      <c r="DB12" s="730">
        <f t="shared" si="40"/>
        <v>5950.2347159999999</v>
      </c>
      <c r="DE12" s="729" t="s">
        <v>521</v>
      </c>
      <c r="DF12" s="687">
        <v>79670000</v>
      </c>
      <c r="DG12" s="687">
        <v>53801972</v>
      </c>
      <c r="DH12" s="687">
        <v>53801972</v>
      </c>
      <c r="DI12" s="687">
        <v>25868028</v>
      </c>
      <c r="DJ12" s="730">
        <f t="shared" si="41"/>
        <v>83016.14</v>
      </c>
      <c r="DK12" s="730">
        <f t="shared" si="42"/>
        <v>56061.654824000005</v>
      </c>
      <c r="DL12" s="730">
        <f t="shared" si="43"/>
        <v>56061.654824000005</v>
      </c>
      <c r="DM12" s="730">
        <f t="shared" si="44"/>
        <v>26954.485175999998</v>
      </c>
      <c r="DP12" s="729" t="s">
        <v>521</v>
      </c>
      <c r="DQ12" s="687">
        <v>6402717</v>
      </c>
      <c r="DR12" s="730">
        <f t="shared" si="45"/>
        <v>6402.7169999999996</v>
      </c>
      <c r="DT12" s="729" t="s">
        <v>521</v>
      </c>
      <c r="DU12" s="687">
        <v>79670000</v>
      </c>
      <c r="DV12" s="687">
        <v>60204689</v>
      </c>
      <c r="DW12" s="687">
        <v>60204689</v>
      </c>
      <c r="DX12" s="687">
        <v>19465311</v>
      </c>
      <c r="DY12" s="730">
        <f t="shared" si="46"/>
        <v>79670</v>
      </c>
      <c r="DZ12" s="730">
        <f t="shared" si="47"/>
        <v>60204.688999999998</v>
      </c>
      <c r="EA12" s="730">
        <f t="shared" si="48"/>
        <v>60204.688999999998</v>
      </c>
      <c r="EB12" s="730">
        <f t="shared" si="49"/>
        <v>19465.311000000002</v>
      </c>
      <c r="EE12" s="731" t="s">
        <v>520</v>
      </c>
      <c r="EF12" s="730">
        <v>3868798</v>
      </c>
      <c r="EG12" s="734">
        <f t="shared" si="50"/>
        <v>3868.7979999999998</v>
      </c>
      <c r="EI12" s="731" t="s">
        <v>520</v>
      </c>
      <c r="EJ12" s="730">
        <v>51980000</v>
      </c>
      <c r="EK12" s="730">
        <v>43794911</v>
      </c>
      <c r="EL12" s="730">
        <v>43794911</v>
      </c>
      <c r="EM12" s="734">
        <f t="shared" si="51"/>
        <v>51980</v>
      </c>
      <c r="EN12" s="734">
        <f t="shared" si="52"/>
        <v>43794.911</v>
      </c>
      <c r="EO12" s="734">
        <f t="shared" si="53"/>
        <v>43794.911</v>
      </c>
      <c r="ER12" s="729" t="s">
        <v>521</v>
      </c>
      <c r="ES12" s="687">
        <v>5719221</v>
      </c>
      <c r="ET12" s="730">
        <f t="shared" si="54"/>
        <v>5719.2209999999995</v>
      </c>
      <c r="EW12" s="729" t="s">
        <v>520</v>
      </c>
      <c r="EX12" s="687">
        <v>0</v>
      </c>
      <c r="EY12" s="687">
        <v>51980000</v>
      </c>
      <c r="EZ12" s="687">
        <v>47664054</v>
      </c>
      <c r="FA12" s="687">
        <v>47664054</v>
      </c>
      <c r="FB12" s="687">
        <v>4315946</v>
      </c>
      <c r="FC12" s="730">
        <f t="shared" si="55"/>
        <v>0</v>
      </c>
      <c r="FD12" s="730">
        <f t="shared" si="56"/>
        <v>51980</v>
      </c>
      <c r="FE12" s="730">
        <f t="shared" si="57"/>
        <v>47664.053999999996</v>
      </c>
      <c r="FF12" s="730">
        <f t="shared" si="58"/>
        <v>47664.053999999996</v>
      </c>
      <c r="FG12" s="730">
        <f t="shared" si="59"/>
        <v>4315.9459999999999</v>
      </c>
      <c r="FJ12" s="731" t="s">
        <v>521</v>
      </c>
      <c r="FK12" s="730">
        <v>6592875</v>
      </c>
      <c r="FL12" s="734">
        <f t="shared" si="60"/>
        <v>6592.875</v>
      </c>
      <c r="FN12" s="735" t="s">
        <v>520</v>
      </c>
      <c r="FO12" s="736">
        <v>53254192</v>
      </c>
      <c r="FP12" s="736">
        <v>53252654</v>
      </c>
      <c r="FQ12" s="736">
        <v>53252654</v>
      </c>
      <c r="FR12" s="736">
        <f t="shared" si="61"/>
        <v>53254.192000000003</v>
      </c>
      <c r="FS12" s="736">
        <f t="shared" si="62"/>
        <v>53252.654000000002</v>
      </c>
      <c r="FT12" s="736">
        <f t="shared" si="63"/>
        <v>53252.654000000002</v>
      </c>
    </row>
    <row r="13" spans="1:176" ht="15" customHeight="1" x14ac:dyDescent="0.25">
      <c r="A13" s="728" t="s">
        <v>881</v>
      </c>
      <c r="B13" s="729" t="s">
        <v>522</v>
      </c>
      <c r="C13" s="687">
        <v>0</v>
      </c>
      <c r="D13" s="687">
        <v>195840000</v>
      </c>
      <c r="E13" s="687">
        <v>17770876</v>
      </c>
      <c r="F13" s="687">
        <v>178069124</v>
      </c>
      <c r="G13" s="687">
        <v>17770876</v>
      </c>
      <c r="H13" s="730">
        <f t="shared" si="10"/>
        <v>204065.28</v>
      </c>
      <c r="I13" s="730">
        <f t="shared" si="11"/>
        <v>18517.252791999999</v>
      </c>
      <c r="J13" s="730">
        <f t="shared" si="12"/>
        <v>185548.02720800001</v>
      </c>
      <c r="K13" s="730">
        <f t="shared" si="13"/>
        <v>18517.252791999999</v>
      </c>
      <c r="O13" s="729" t="s">
        <v>522</v>
      </c>
      <c r="P13" s="687">
        <v>17770876</v>
      </c>
      <c r="Q13" s="730">
        <f t="shared" si="14"/>
        <v>18517.252791999999</v>
      </c>
      <c r="S13" s="729" t="s">
        <v>522</v>
      </c>
      <c r="T13" s="687">
        <v>195840000</v>
      </c>
      <c r="U13" s="687">
        <v>35541752</v>
      </c>
      <c r="V13" s="687">
        <v>35541752</v>
      </c>
      <c r="W13" s="687">
        <v>160298248</v>
      </c>
      <c r="X13" s="730">
        <f t="shared" si="15"/>
        <v>204065.28</v>
      </c>
      <c r="Y13" s="730">
        <f t="shared" si="16"/>
        <v>37034.505583999999</v>
      </c>
      <c r="Z13" s="730">
        <f t="shared" si="17"/>
        <v>37034.505583999999</v>
      </c>
      <c r="AA13" s="730">
        <f t="shared" si="18"/>
        <v>167030.774416</v>
      </c>
      <c r="AC13" s="729" t="s">
        <v>522</v>
      </c>
      <c r="AD13" s="687">
        <v>17770876</v>
      </c>
      <c r="AE13" s="730">
        <f t="shared" si="19"/>
        <v>18517.252791999999</v>
      </c>
      <c r="AG13" s="729" t="s">
        <v>522</v>
      </c>
      <c r="AH13" s="687">
        <v>195840000</v>
      </c>
      <c r="AI13" s="687">
        <v>53312628</v>
      </c>
      <c r="AJ13" s="687">
        <v>53312628</v>
      </c>
      <c r="AK13" s="687">
        <v>142527372</v>
      </c>
      <c r="AL13" s="687">
        <f t="shared" si="20"/>
        <v>204065.28</v>
      </c>
      <c r="AM13" s="687">
        <f t="shared" si="21"/>
        <v>55551.758375999998</v>
      </c>
      <c r="AN13" s="687">
        <f t="shared" si="22"/>
        <v>55551.758375999998</v>
      </c>
      <c r="AO13" s="687">
        <f t="shared" si="23"/>
        <v>148513.52162400002</v>
      </c>
      <c r="AR13" s="729" t="s">
        <v>522</v>
      </c>
      <c r="AS13" s="687">
        <v>17770876</v>
      </c>
      <c r="AT13" s="687">
        <f t="shared" si="24"/>
        <v>18517.252791999999</v>
      </c>
      <c r="AV13" s="729" t="s">
        <v>522</v>
      </c>
      <c r="AW13" s="687">
        <v>195840000</v>
      </c>
      <c r="AX13" s="687">
        <v>71083504</v>
      </c>
      <c r="AY13" s="687">
        <v>71083504</v>
      </c>
      <c r="AZ13" s="687">
        <v>124756496</v>
      </c>
      <c r="BA13" s="730">
        <f t="shared" si="25"/>
        <v>204065.28</v>
      </c>
      <c r="BB13" s="730">
        <f t="shared" si="26"/>
        <v>74069.011167999997</v>
      </c>
      <c r="BC13" s="730">
        <f t="shared" si="27"/>
        <v>74069.011167999997</v>
      </c>
      <c r="BD13" s="730">
        <f t="shared" si="28"/>
        <v>129996.268832</v>
      </c>
      <c r="BG13" s="754" t="s">
        <v>522</v>
      </c>
      <c r="BH13" s="687">
        <v>16478164</v>
      </c>
      <c r="BI13" s="755">
        <f t="shared" si="29"/>
        <v>17170.246888000001</v>
      </c>
      <c r="BK13" s="754" t="s">
        <v>522</v>
      </c>
      <c r="BL13" s="687">
        <v>195840000</v>
      </c>
      <c r="BM13" s="687">
        <v>87561668</v>
      </c>
      <c r="BN13" s="687">
        <v>87561668</v>
      </c>
      <c r="BO13" s="687">
        <v>108278332</v>
      </c>
      <c r="BP13" s="687">
        <f t="shared" si="30"/>
        <v>204065.28</v>
      </c>
      <c r="BQ13" s="687">
        <f t="shared" si="31"/>
        <v>91239.258056000006</v>
      </c>
      <c r="BR13" s="687">
        <f t="shared" si="32"/>
        <v>91239.258056000006</v>
      </c>
      <c r="BS13" s="755">
        <f t="shared" si="33"/>
        <v>112826.02194399999</v>
      </c>
      <c r="BV13" s="729" t="s">
        <v>522</v>
      </c>
      <c r="BW13" s="687">
        <v>16552856</v>
      </c>
      <c r="BX13" s="730">
        <f t="shared" si="34"/>
        <v>17248.075951999999</v>
      </c>
      <c r="BZ13" s="729" t="s">
        <v>522</v>
      </c>
      <c r="CA13" s="687">
        <v>195840000</v>
      </c>
      <c r="CB13" s="687">
        <v>104114524</v>
      </c>
      <c r="CC13" s="687">
        <v>104114524</v>
      </c>
      <c r="CD13" s="687">
        <v>91725476</v>
      </c>
      <c r="CE13" s="687">
        <f t="shared" si="35"/>
        <v>204065.28</v>
      </c>
      <c r="CF13" s="687">
        <f t="shared" si="36"/>
        <v>108487.33400800001</v>
      </c>
      <c r="CG13" s="687">
        <f t="shared" si="37"/>
        <v>108487.33400800001</v>
      </c>
      <c r="CH13" s="687">
        <f t="shared" si="38"/>
        <v>95577.945991999994</v>
      </c>
      <c r="CK13" s="731" t="s">
        <v>522</v>
      </c>
      <c r="CL13" s="730">
        <v>14842731</v>
      </c>
      <c r="CM13" s="730">
        <f t="shared" si="39"/>
        <v>15466.125702000001</v>
      </c>
      <c r="CP13" s="731" t="s">
        <v>522</v>
      </c>
      <c r="CQ13" s="730">
        <v>195840000</v>
      </c>
      <c r="CR13" s="730">
        <v>118957255</v>
      </c>
      <c r="CS13" s="730">
        <v>118957255</v>
      </c>
      <c r="CT13" s="730">
        <v>76882745</v>
      </c>
      <c r="CU13" s="730">
        <f t="shared" si="2"/>
        <v>204065.28</v>
      </c>
      <c r="CV13" s="730">
        <f t="shared" si="3"/>
        <v>123953.45971000001</v>
      </c>
      <c r="CW13" s="730">
        <f t="shared" si="4"/>
        <v>123953.45971000001</v>
      </c>
      <c r="CX13" s="730">
        <f t="shared" si="5"/>
        <v>80111.820290000003</v>
      </c>
      <c r="CZ13" s="731" t="s">
        <v>522</v>
      </c>
      <c r="DA13" s="730">
        <v>14837901</v>
      </c>
      <c r="DB13" s="730">
        <f t="shared" si="40"/>
        <v>15461.092842</v>
      </c>
      <c r="DE13" s="729" t="s">
        <v>522</v>
      </c>
      <c r="DF13" s="687">
        <v>195840000</v>
      </c>
      <c r="DG13" s="687">
        <v>133795156</v>
      </c>
      <c r="DH13" s="687">
        <v>133795156</v>
      </c>
      <c r="DI13" s="687">
        <v>62044844</v>
      </c>
      <c r="DJ13" s="730">
        <f t="shared" si="41"/>
        <v>204065.28</v>
      </c>
      <c r="DK13" s="730">
        <f t="shared" si="42"/>
        <v>139414.55255199998</v>
      </c>
      <c r="DL13" s="730">
        <f t="shared" si="43"/>
        <v>139414.55255199998</v>
      </c>
      <c r="DM13" s="730">
        <f t="shared" si="44"/>
        <v>64650.727447999998</v>
      </c>
      <c r="DP13" s="729" t="s">
        <v>522</v>
      </c>
      <c r="DQ13" s="687">
        <v>14844666</v>
      </c>
      <c r="DR13" s="730">
        <f t="shared" si="45"/>
        <v>14844.665999999999</v>
      </c>
      <c r="DT13" s="729" t="s">
        <v>522</v>
      </c>
      <c r="DU13" s="687">
        <v>195840000</v>
      </c>
      <c r="DV13" s="687">
        <v>148639822</v>
      </c>
      <c r="DW13" s="687">
        <v>148639822</v>
      </c>
      <c r="DX13" s="687">
        <v>47200178</v>
      </c>
      <c r="DY13" s="730">
        <f t="shared" si="46"/>
        <v>195840</v>
      </c>
      <c r="DZ13" s="730">
        <f t="shared" si="47"/>
        <v>148639.82199999999</v>
      </c>
      <c r="EA13" s="730">
        <f t="shared" si="48"/>
        <v>148639.82199999999</v>
      </c>
      <c r="EB13" s="730">
        <f t="shared" si="49"/>
        <v>47200.178</v>
      </c>
      <c r="EE13" s="731" t="s">
        <v>521</v>
      </c>
      <c r="EF13" s="730">
        <v>5718876</v>
      </c>
      <c r="EG13" s="734">
        <f t="shared" si="50"/>
        <v>5718.8760000000002</v>
      </c>
      <c r="EI13" s="731" t="s">
        <v>521</v>
      </c>
      <c r="EJ13" s="730">
        <v>79670000</v>
      </c>
      <c r="EK13" s="730">
        <v>65923565</v>
      </c>
      <c r="EL13" s="730">
        <v>65923565</v>
      </c>
      <c r="EM13" s="734">
        <f t="shared" si="51"/>
        <v>79670</v>
      </c>
      <c r="EN13" s="734">
        <f t="shared" si="52"/>
        <v>65923.565000000002</v>
      </c>
      <c r="EO13" s="734">
        <f t="shared" si="53"/>
        <v>65923.565000000002</v>
      </c>
      <c r="ER13" s="729" t="s">
        <v>522</v>
      </c>
      <c r="ES13" s="687">
        <v>14844666</v>
      </c>
      <c r="ET13" s="730">
        <f t="shared" si="54"/>
        <v>14844.665999999999</v>
      </c>
      <c r="EW13" s="729" t="s">
        <v>521</v>
      </c>
      <c r="EX13" s="687">
        <v>0</v>
      </c>
      <c r="EY13" s="687">
        <v>79670000</v>
      </c>
      <c r="EZ13" s="687">
        <v>71642786</v>
      </c>
      <c r="FA13" s="687">
        <v>71642786</v>
      </c>
      <c r="FB13" s="687">
        <v>8027214</v>
      </c>
      <c r="FC13" s="730">
        <f t="shared" si="55"/>
        <v>0</v>
      </c>
      <c r="FD13" s="730">
        <f t="shared" si="56"/>
        <v>79670</v>
      </c>
      <c r="FE13" s="730">
        <f t="shared" si="57"/>
        <v>71642.785999999993</v>
      </c>
      <c r="FF13" s="730">
        <f t="shared" si="58"/>
        <v>71642.785999999993</v>
      </c>
      <c r="FG13" s="730">
        <f t="shared" si="59"/>
        <v>8027.2139999999999</v>
      </c>
      <c r="FJ13" s="731" t="s">
        <v>522</v>
      </c>
      <c r="FK13" s="730">
        <v>15242270</v>
      </c>
      <c r="FL13" s="734">
        <f t="shared" si="60"/>
        <v>15242.27</v>
      </c>
      <c r="FN13" s="735" t="s">
        <v>521</v>
      </c>
      <c r="FO13" s="736">
        <v>78237199</v>
      </c>
      <c r="FP13" s="736">
        <v>78235661</v>
      </c>
      <c r="FQ13" s="736">
        <v>78235661</v>
      </c>
      <c r="FR13" s="736">
        <f t="shared" si="61"/>
        <v>78237.198999999993</v>
      </c>
      <c r="FS13" s="736">
        <f t="shared" si="62"/>
        <v>78235.660999999993</v>
      </c>
      <c r="FT13" s="736">
        <f t="shared" si="63"/>
        <v>78235.660999999993</v>
      </c>
    </row>
    <row r="14" spans="1:176" ht="15" customHeight="1" x14ac:dyDescent="0.25">
      <c r="A14" s="728" t="s">
        <v>881</v>
      </c>
      <c r="B14" s="729" t="s">
        <v>523</v>
      </c>
      <c r="C14" s="687">
        <v>0</v>
      </c>
      <c r="D14" s="687">
        <v>63130000</v>
      </c>
      <c r="E14" s="687">
        <v>0</v>
      </c>
      <c r="F14" s="687">
        <v>63130000</v>
      </c>
      <c r="G14" s="687">
        <v>0</v>
      </c>
      <c r="H14" s="730">
        <f t="shared" si="10"/>
        <v>65781.460000000006</v>
      </c>
      <c r="I14" s="730">
        <f t="shared" si="11"/>
        <v>0</v>
      </c>
      <c r="J14" s="730">
        <f t="shared" si="12"/>
        <v>65781.460000000006</v>
      </c>
      <c r="K14" s="730">
        <f t="shared" si="13"/>
        <v>0</v>
      </c>
      <c r="O14" s="729" t="s">
        <v>524</v>
      </c>
      <c r="P14" s="687">
        <v>998169</v>
      </c>
      <c r="Q14" s="730">
        <f t="shared" si="14"/>
        <v>1040.0920980000001</v>
      </c>
      <c r="S14" s="729" t="s">
        <v>523</v>
      </c>
      <c r="T14" s="687">
        <v>63130000</v>
      </c>
      <c r="U14" s="687">
        <v>0</v>
      </c>
      <c r="V14" s="687">
        <v>0</v>
      </c>
      <c r="W14" s="687">
        <v>63130000</v>
      </c>
      <c r="X14" s="730">
        <f t="shared" si="15"/>
        <v>65781.460000000006</v>
      </c>
      <c r="Y14" s="730">
        <f t="shared" si="16"/>
        <v>0</v>
      </c>
      <c r="Z14" s="730">
        <f t="shared" si="17"/>
        <v>0</v>
      </c>
      <c r="AA14" s="730">
        <f t="shared" si="18"/>
        <v>65781.460000000006</v>
      </c>
      <c r="AC14" s="729" t="s">
        <v>523</v>
      </c>
      <c r="AD14" s="687">
        <v>17169084</v>
      </c>
      <c r="AE14" s="730">
        <f t="shared" si="19"/>
        <v>17890.185527999998</v>
      </c>
      <c r="AG14" s="729" t="s">
        <v>523</v>
      </c>
      <c r="AH14" s="687">
        <v>63130000</v>
      </c>
      <c r="AI14" s="687">
        <v>17169084</v>
      </c>
      <c r="AJ14" s="687">
        <v>17169084</v>
      </c>
      <c r="AK14" s="687">
        <v>45960916</v>
      </c>
      <c r="AL14" s="687">
        <f t="shared" si="20"/>
        <v>65781.460000000006</v>
      </c>
      <c r="AM14" s="687">
        <f t="shared" si="21"/>
        <v>17890.185527999998</v>
      </c>
      <c r="AN14" s="687">
        <f t="shared" si="22"/>
        <v>17890.185527999998</v>
      </c>
      <c r="AO14" s="687">
        <f t="shared" si="23"/>
        <v>47891.274471999997</v>
      </c>
      <c r="AR14" s="729" t="s">
        <v>524</v>
      </c>
      <c r="AS14" s="687">
        <v>998169</v>
      </c>
      <c r="AT14" s="687">
        <f t="shared" si="24"/>
        <v>1040.0920980000001</v>
      </c>
      <c r="AV14" s="729" t="s">
        <v>523</v>
      </c>
      <c r="AW14" s="687">
        <v>63130000</v>
      </c>
      <c r="AX14" s="687">
        <v>17169084</v>
      </c>
      <c r="AY14" s="687">
        <v>17169084</v>
      </c>
      <c r="AZ14" s="687">
        <v>45960916</v>
      </c>
      <c r="BA14" s="730">
        <f t="shared" si="25"/>
        <v>65781.460000000006</v>
      </c>
      <c r="BB14" s="730">
        <f t="shared" si="26"/>
        <v>17890.185527999998</v>
      </c>
      <c r="BC14" s="730">
        <f t="shared" si="27"/>
        <v>17890.185527999998</v>
      </c>
      <c r="BD14" s="730">
        <f t="shared" si="28"/>
        <v>47891.274471999997</v>
      </c>
      <c r="BG14" s="754" t="s">
        <v>524</v>
      </c>
      <c r="BH14" s="687">
        <v>998169</v>
      </c>
      <c r="BI14" s="755">
        <f t="shared" si="29"/>
        <v>1040.0920980000001</v>
      </c>
      <c r="BK14" s="754" t="s">
        <v>523</v>
      </c>
      <c r="BL14" s="687">
        <v>63130000</v>
      </c>
      <c r="BM14" s="687">
        <v>17169084</v>
      </c>
      <c r="BN14" s="687">
        <v>17169084</v>
      </c>
      <c r="BO14" s="687">
        <v>45960916</v>
      </c>
      <c r="BP14" s="687">
        <f t="shared" si="30"/>
        <v>65781.460000000006</v>
      </c>
      <c r="BQ14" s="687">
        <f t="shared" si="31"/>
        <v>17890.185527999998</v>
      </c>
      <c r="BR14" s="687">
        <f t="shared" si="32"/>
        <v>17890.185527999998</v>
      </c>
      <c r="BS14" s="755">
        <f t="shared" si="33"/>
        <v>47891.274471999997</v>
      </c>
      <c r="BV14" s="729" t="s">
        <v>523</v>
      </c>
      <c r="BW14" s="687">
        <v>16388331</v>
      </c>
      <c r="BX14" s="730">
        <f t="shared" si="34"/>
        <v>17076.640901999999</v>
      </c>
      <c r="BZ14" s="729" t="s">
        <v>523</v>
      </c>
      <c r="CA14" s="687">
        <v>63130000</v>
      </c>
      <c r="CB14" s="687">
        <v>33557415</v>
      </c>
      <c r="CC14" s="687">
        <v>33557415</v>
      </c>
      <c r="CD14" s="687">
        <v>29572585</v>
      </c>
      <c r="CE14" s="687">
        <f t="shared" si="35"/>
        <v>65781.460000000006</v>
      </c>
      <c r="CF14" s="687">
        <f t="shared" si="36"/>
        <v>34966.826430000001</v>
      </c>
      <c r="CG14" s="687">
        <f t="shared" si="37"/>
        <v>34966.826430000001</v>
      </c>
      <c r="CH14" s="687">
        <f t="shared" si="38"/>
        <v>30814.633570000002</v>
      </c>
      <c r="CK14" s="731" t="s">
        <v>523</v>
      </c>
      <c r="CL14" s="730">
        <v>-1935</v>
      </c>
      <c r="CM14" s="730">
        <f t="shared" si="39"/>
        <v>-2.01627</v>
      </c>
      <c r="CP14" s="731" t="s">
        <v>523</v>
      </c>
      <c r="CQ14" s="730">
        <v>63130000</v>
      </c>
      <c r="CR14" s="730">
        <v>33555480</v>
      </c>
      <c r="CS14" s="730">
        <v>33555480</v>
      </c>
      <c r="CT14" s="730">
        <v>29574520</v>
      </c>
      <c r="CU14" s="730">
        <f t="shared" si="2"/>
        <v>65781.460000000006</v>
      </c>
      <c r="CV14" s="730">
        <f t="shared" si="3"/>
        <v>34964.810160000008</v>
      </c>
      <c r="CW14" s="730">
        <f t="shared" si="4"/>
        <v>34964.810160000008</v>
      </c>
      <c r="CX14" s="730">
        <f t="shared" si="5"/>
        <v>30816.649840000002</v>
      </c>
      <c r="CZ14" s="731" t="s">
        <v>523</v>
      </c>
      <c r="DA14" s="730">
        <v>-6765</v>
      </c>
      <c r="DB14" s="730">
        <f t="shared" si="40"/>
        <v>-7.0491299999999999</v>
      </c>
      <c r="DE14" s="729" t="s">
        <v>523</v>
      </c>
      <c r="DF14" s="687">
        <v>63130000</v>
      </c>
      <c r="DG14" s="687">
        <v>33548715</v>
      </c>
      <c r="DH14" s="687">
        <v>33548715</v>
      </c>
      <c r="DI14" s="687">
        <v>29581285</v>
      </c>
      <c r="DJ14" s="730">
        <f t="shared" si="41"/>
        <v>65781.460000000006</v>
      </c>
      <c r="DK14" s="730">
        <f t="shared" si="42"/>
        <v>34957.761029999994</v>
      </c>
      <c r="DL14" s="730">
        <f t="shared" si="43"/>
        <v>34957.761029999994</v>
      </c>
      <c r="DM14" s="730">
        <f t="shared" si="44"/>
        <v>30823.698970000001</v>
      </c>
      <c r="DP14" s="729" t="s">
        <v>523</v>
      </c>
      <c r="DQ14" s="687">
        <v>14401293</v>
      </c>
      <c r="DR14" s="730">
        <f t="shared" si="45"/>
        <v>14401.293</v>
      </c>
      <c r="DT14" s="729" t="s">
        <v>523</v>
      </c>
      <c r="DU14" s="687">
        <v>63130000</v>
      </c>
      <c r="DV14" s="687">
        <v>47950008</v>
      </c>
      <c r="DW14" s="687">
        <v>47950008</v>
      </c>
      <c r="DX14" s="687">
        <v>15179992</v>
      </c>
      <c r="DY14" s="730">
        <f t="shared" si="46"/>
        <v>63130</v>
      </c>
      <c r="DZ14" s="730">
        <f t="shared" si="47"/>
        <v>47950.008000000002</v>
      </c>
      <c r="EA14" s="730">
        <f t="shared" si="48"/>
        <v>47950.008000000002</v>
      </c>
      <c r="EB14" s="730">
        <f t="shared" si="49"/>
        <v>15179.992</v>
      </c>
      <c r="EE14" s="731" t="s">
        <v>522</v>
      </c>
      <c r="EF14" s="730">
        <v>14844321</v>
      </c>
      <c r="EG14" s="734">
        <f t="shared" si="50"/>
        <v>14844.321</v>
      </c>
      <c r="EI14" s="731" t="s">
        <v>522</v>
      </c>
      <c r="EJ14" s="730">
        <v>195840000</v>
      </c>
      <c r="EK14" s="730">
        <v>163484143</v>
      </c>
      <c r="EL14" s="730">
        <v>163484143</v>
      </c>
      <c r="EM14" s="734">
        <f t="shared" si="51"/>
        <v>195840</v>
      </c>
      <c r="EN14" s="734">
        <f t="shared" si="52"/>
        <v>163484.14300000001</v>
      </c>
      <c r="EO14" s="734">
        <f t="shared" si="53"/>
        <v>163484.14300000001</v>
      </c>
      <c r="ER14" s="729" t="s">
        <v>524</v>
      </c>
      <c r="ES14" s="687">
        <v>1003161</v>
      </c>
      <c r="ET14" s="730">
        <f t="shared" si="54"/>
        <v>1003.1609999999999</v>
      </c>
      <c r="EW14" s="729" t="s">
        <v>522</v>
      </c>
      <c r="EX14" s="687">
        <v>0</v>
      </c>
      <c r="EY14" s="687">
        <v>195840000</v>
      </c>
      <c r="EZ14" s="687">
        <v>178328809</v>
      </c>
      <c r="FA14" s="687">
        <v>178328809</v>
      </c>
      <c r="FB14" s="687">
        <v>17511191</v>
      </c>
      <c r="FC14" s="730">
        <f t="shared" si="55"/>
        <v>0</v>
      </c>
      <c r="FD14" s="730">
        <f t="shared" si="56"/>
        <v>195840</v>
      </c>
      <c r="FE14" s="730">
        <f t="shared" si="57"/>
        <v>178328.80900000001</v>
      </c>
      <c r="FF14" s="730">
        <f t="shared" si="58"/>
        <v>178328.80900000001</v>
      </c>
      <c r="FG14" s="730">
        <f t="shared" si="59"/>
        <v>17511.190999999999</v>
      </c>
      <c r="FJ14" s="731" t="s">
        <v>523</v>
      </c>
      <c r="FK14" s="730">
        <v>14531815</v>
      </c>
      <c r="FL14" s="734">
        <f t="shared" si="60"/>
        <v>14531.815000000001</v>
      </c>
      <c r="FN14" s="735" t="s">
        <v>522</v>
      </c>
      <c r="FO14" s="736">
        <v>193572617</v>
      </c>
      <c r="FP14" s="736">
        <v>193571079</v>
      </c>
      <c r="FQ14" s="736">
        <v>193571079</v>
      </c>
      <c r="FR14" s="736">
        <f t="shared" si="61"/>
        <v>193572.617</v>
      </c>
      <c r="FS14" s="736">
        <f t="shared" si="62"/>
        <v>193571.079</v>
      </c>
      <c r="FT14" s="736">
        <f t="shared" si="63"/>
        <v>193571.079</v>
      </c>
    </row>
    <row r="15" spans="1:176" ht="15" customHeight="1" x14ac:dyDescent="0.25">
      <c r="A15" s="728" t="s">
        <v>881</v>
      </c>
      <c r="B15" s="729" t="s">
        <v>524</v>
      </c>
      <c r="C15" s="687">
        <v>0</v>
      </c>
      <c r="D15" s="687">
        <v>11180000</v>
      </c>
      <c r="E15" s="687">
        <v>998169</v>
      </c>
      <c r="F15" s="687">
        <v>10181831</v>
      </c>
      <c r="G15" s="687">
        <v>998169</v>
      </c>
      <c r="H15" s="730">
        <f t="shared" si="10"/>
        <v>11649.560000000001</v>
      </c>
      <c r="I15" s="730">
        <f t="shared" si="11"/>
        <v>1040.0920980000001</v>
      </c>
      <c r="J15" s="730">
        <f t="shared" si="12"/>
        <v>10609.467902</v>
      </c>
      <c r="K15" s="730">
        <f t="shared" si="13"/>
        <v>1040.0920980000001</v>
      </c>
      <c r="O15" s="729" t="s">
        <v>341</v>
      </c>
      <c r="P15" s="687">
        <v>1818151</v>
      </c>
      <c r="Q15" s="730">
        <f t="shared" si="14"/>
        <v>1894.5133420000002</v>
      </c>
      <c r="S15" s="729" t="s">
        <v>524</v>
      </c>
      <c r="T15" s="687">
        <v>11180000</v>
      </c>
      <c r="U15" s="687">
        <v>1996338</v>
      </c>
      <c r="V15" s="687">
        <v>1996338</v>
      </c>
      <c r="W15" s="687">
        <v>9183662</v>
      </c>
      <c r="X15" s="730">
        <f t="shared" si="15"/>
        <v>11649.560000000001</v>
      </c>
      <c r="Y15" s="730">
        <f t="shared" si="16"/>
        <v>2080.1841960000002</v>
      </c>
      <c r="Z15" s="730">
        <f t="shared" si="17"/>
        <v>2080.1841960000002</v>
      </c>
      <c r="AA15" s="730">
        <f t="shared" si="18"/>
        <v>9569.3758040000012</v>
      </c>
      <c r="AC15" s="729" t="s">
        <v>524</v>
      </c>
      <c r="AD15" s="687">
        <v>998169</v>
      </c>
      <c r="AE15" s="730">
        <f t="shared" si="19"/>
        <v>1040.0920980000001</v>
      </c>
      <c r="AG15" s="729" t="s">
        <v>524</v>
      </c>
      <c r="AH15" s="687">
        <v>11180000</v>
      </c>
      <c r="AI15" s="687">
        <v>2994507</v>
      </c>
      <c r="AJ15" s="687">
        <v>2994507</v>
      </c>
      <c r="AK15" s="687">
        <v>8185493</v>
      </c>
      <c r="AL15" s="687">
        <f t="shared" si="20"/>
        <v>11649.560000000001</v>
      </c>
      <c r="AM15" s="687">
        <f t="shared" si="21"/>
        <v>3120.2762940000002</v>
      </c>
      <c r="AN15" s="687">
        <f t="shared" si="22"/>
        <v>3120.2762940000002</v>
      </c>
      <c r="AO15" s="687">
        <f t="shared" si="23"/>
        <v>8529.2837060000002</v>
      </c>
      <c r="AR15" s="729" t="s">
        <v>341</v>
      </c>
      <c r="AS15" s="687">
        <v>1656301</v>
      </c>
      <c r="AT15" s="687">
        <f t="shared" si="24"/>
        <v>1725.865642</v>
      </c>
      <c r="AV15" s="729" t="s">
        <v>524</v>
      </c>
      <c r="AW15" s="687">
        <v>11180000</v>
      </c>
      <c r="AX15" s="687">
        <v>3992676</v>
      </c>
      <c r="AY15" s="687">
        <v>3992676</v>
      </c>
      <c r="AZ15" s="687">
        <v>7187324</v>
      </c>
      <c r="BA15" s="730">
        <f t="shared" si="25"/>
        <v>11649.560000000001</v>
      </c>
      <c r="BB15" s="730">
        <f t="shared" si="26"/>
        <v>4160.3683920000003</v>
      </c>
      <c r="BC15" s="730">
        <f t="shared" si="27"/>
        <v>4160.3683920000003</v>
      </c>
      <c r="BD15" s="730">
        <f t="shared" si="28"/>
        <v>7489.1916080000001</v>
      </c>
      <c r="BG15" s="754" t="s">
        <v>341</v>
      </c>
      <c r="BH15" s="687">
        <v>1584867</v>
      </c>
      <c r="BI15" s="755">
        <f t="shared" si="29"/>
        <v>1651.4314140000001</v>
      </c>
      <c r="BK15" s="754" t="s">
        <v>524</v>
      </c>
      <c r="BL15" s="687">
        <v>11180000</v>
      </c>
      <c r="BM15" s="687">
        <v>4990845</v>
      </c>
      <c r="BN15" s="687">
        <v>4990845</v>
      </c>
      <c r="BO15" s="687">
        <v>6189155</v>
      </c>
      <c r="BP15" s="687">
        <f t="shared" si="30"/>
        <v>11649.560000000001</v>
      </c>
      <c r="BQ15" s="687">
        <f t="shared" si="31"/>
        <v>5200.4604900000004</v>
      </c>
      <c r="BR15" s="687">
        <f t="shared" si="32"/>
        <v>5200.4604900000004</v>
      </c>
      <c r="BS15" s="755">
        <f t="shared" si="33"/>
        <v>6449.09951</v>
      </c>
      <c r="BV15" s="729" t="s">
        <v>524</v>
      </c>
      <c r="BW15" s="687">
        <v>1003161</v>
      </c>
      <c r="BX15" s="730">
        <f t="shared" si="34"/>
        <v>1045.293762</v>
      </c>
      <c r="BZ15" s="729" t="s">
        <v>524</v>
      </c>
      <c r="CA15" s="687">
        <v>11180000</v>
      </c>
      <c r="CB15" s="687">
        <v>5994006</v>
      </c>
      <c r="CC15" s="687">
        <v>5994006</v>
      </c>
      <c r="CD15" s="687">
        <v>5185994</v>
      </c>
      <c r="CE15" s="687">
        <f t="shared" si="35"/>
        <v>11649.560000000001</v>
      </c>
      <c r="CF15" s="687">
        <f t="shared" si="36"/>
        <v>6245.7542520000006</v>
      </c>
      <c r="CG15" s="687">
        <f t="shared" si="37"/>
        <v>6245.7542520000006</v>
      </c>
      <c r="CH15" s="687">
        <f t="shared" si="38"/>
        <v>5403.8057479999998</v>
      </c>
      <c r="CK15" s="731" t="s">
        <v>524</v>
      </c>
      <c r="CL15" s="730">
        <v>1001227</v>
      </c>
      <c r="CM15" s="730">
        <f t="shared" si="39"/>
        <v>1043.278534</v>
      </c>
      <c r="CP15" s="731" t="s">
        <v>524</v>
      </c>
      <c r="CQ15" s="730">
        <v>11180000</v>
      </c>
      <c r="CR15" s="730">
        <v>6995233</v>
      </c>
      <c r="CS15" s="730">
        <v>6995233</v>
      </c>
      <c r="CT15" s="730">
        <v>4184767</v>
      </c>
      <c r="CU15" s="730">
        <f t="shared" si="2"/>
        <v>11649.560000000001</v>
      </c>
      <c r="CV15" s="730">
        <f t="shared" si="3"/>
        <v>7289.0327860000007</v>
      </c>
      <c r="CW15" s="730">
        <f t="shared" si="4"/>
        <v>7289.0327860000007</v>
      </c>
      <c r="CX15" s="730">
        <f t="shared" si="5"/>
        <v>4360.5272139999997</v>
      </c>
      <c r="CZ15" s="731" t="s">
        <v>524</v>
      </c>
      <c r="DA15" s="730">
        <v>996396</v>
      </c>
      <c r="DB15" s="730">
        <f t="shared" si="40"/>
        <v>1038.2446319999999</v>
      </c>
      <c r="DE15" s="729" t="s">
        <v>524</v>
      </c>
      <c r="DF15" s="687">
        <v>11180000</v>
      </c>
      <c r="DG15" s="687">
        <v>7991629</v>
      </c>
      <c r="DH15" s="687">
        <v>7991629</v>
      </c>
      <c r="DI15" s="687">
        <v>3188371</v>
      </c>
      <c r="DJ15" s="730">
        <f t="shared" si="41"/>
        <v>11649.560000000001</v>
      </c>
      <c r="DK15" s="730">
        <f t="shared" si="42"/>
        <v>8327.2774179999997</v>
      </c>
      <c r="DL15" s="730">
        <f t="shared" si="43"/>
        <v>8327.2774179999997</v>
      </c>
      <c r="DM15" s="730">
        <f t="shared" si="44"/>
        <v>3322.2825820000003</v>
      </c>
      <c r="DP15" s="729" t="s">
        <v>524</v>
      </c>
      <c r="DQ15" s="687">
        <v>1003161</v>
      </c>
      <c r="DR15" s="730">
        <f t="shared" si="45"/>
        <v>1003.1609999999999</v>
      </c>
      <c r="DT15" s="729" t="s">
        <v>524</v>
      </c>
      <c r="DU15" s="687">
        <v>11180000</v>
      </c>
      <c r="DV15" s="687">
        <v>8994790</v>
      </c>
      <c r="DW15" s="687">
        <v>8994790</v>
      </c>
      <c r="DX15" s="687">
        <v>2185210</v>
      </c>
      <c r="DY15" s="730">
        <f t="shared" si="46"/>
        <v>11180</v>
      </c>
      <c r="DZ15" s="730">
        <f t="shared" si="47"/>
        <v>8994.7900000000009</v>
      </c>
      <c r="EA15" s="730">
        <f t="shared" si="48"/>
        <v>8994.7900000000009</v>
      </c>
      <c r="EB15" s="730">
        <f t="shared" si="49"/>
        <v>2185.21</v>
      </c>
      <c r="EE15" s="731" t="s">
        <v>524</v>
      </c>
      <c r="EF15" s="730">
        <v>1002817</v>
      </c>
      <c r="EG15" s="734">
        <f t="shared" si="50"/>
        <v>1002.817</v>
      </c>
      <c r="EI15" s="731" t="s">
        <v>523</v>
      </c>
      <c r="EJ15" s="730">
        <v>63130000</v>
      </c>
      <c r="EK15" s="730">
        <v>47950008</v>
      </c>
      <c r="EL15" s="730">
        <v>47950008</v>
      </c>
      <c r="EM15" s="734">
        <f t="shared" si="51"/>
        <v>63130</v>
      </c>
      <c r="EN15" s="734">
        <f t="shared" si="52"/>
        <v>47950.008000000002</v>
      </c>
      <c r="EO15" s="734">
        <f t="shared" si="53"/>
        <v>47950.008000000002</v>
      </c>
      <c r="ER15" s="729" t="s">
        <v>341</v>
      </c>
      <c r="ES15" s="687">
        <v>1439530</v>
      </c>
      <c r="ET15" s="730">
        <f t="shared" si="54"/>
        <v>1439.53</v>
      </c>
      <c r="EW15" s="729" t="s">
        <v>523</v>
      </c>
      <c r="EX15" s="687">
        <v>0</v>
      </c>
      <c r="EY15" s="687">
        <v>63130000</v>
      </c>
      <c r="EZ15" s="687">
        <v>47950008</v>
      </c>
      <c r="FA15" s="687">
        <v>47950008</v>
      </c>
      <c r="FB15" s="687">
        <v>15179992</v>
      </c>
      <c r="FC15" s="730">
        <f t="shared" si="55"/>
        <v>0</v>
      </c>
      <c r="FD15" s="730">
        <f t="shared" si="56"/>
        <v>63130</v>
      </c>
      <c r="FE15" s="730">
        <f t="shared" si="57"/>
        <v>47950.008000000002</v>
      </c>
      <c r="FF15" s="730">
        <f t="shared" si="58"/>
        <v>47950.008000000002</v>
      </c>
      <c r="FG15" s="730">
        <f t="shared" si="59"/>
        <v>15179.992</v>
      </c>
      <c r="FJ15" s="731" t="s">
        <v>524</v>
      </c>
      <c r="FK15" s="730">
        <v>1031719</v>
      </c>
      <c r="FL15" s="734">
        <f t="shared" si="60"/>
        <v>1031.7190000000001</v>
      </c>
      <c r="FN15" s="735" t="s">
        <v>523</v>
      </c>
      <c r="FO15" s="736">
        <v>62483361</v>
      </c>
      <c r="FP15" s="736">
        <v>62481823</v>
      </c>
      <c r="FQ15" s="736">
        <v>62481823</v>
      </c>
      <c r="FR15" s="736">
        <f t="shared" si="61"/>
        <v>62483.360999999997</v>
      </c>
      <c r="FS15" s="736">
        <f t="shared" si="62"/>
        <v>62481.822999999997</v>
      </c>
      <c r="FT15" s="736">
        <f t="shared" si="63"/>
        <v>62481.822999999997</v>
      </c>
    </row>
    <row r="16" spans="1:176" ht="15" customHeight="1" x14ac:dyDescent="0.25">
      <c r="A16" s="728" t="s">
        <v>881</v>
      </c>
      <c r="B16" s="729" t="s">
        <v>818</v>
      </c>
      <c r="C16" s="687">
        <v>0</v>
      </c>
      <c r="D16" s="687">
        <v>17350000</v>
      </c>
      <c r="E16" s="687">
        <v>0</v>
      </c>
      <c r="F16" s="687">
        <v>17350000</v>
      </c>
      <c r="G16" s="687">
        <v>0</v>
      </c>
      <c r="H16" s="730">
        <f t="shared" si="10"/>
        <v>18078.7</v>
      </c>
      <c r="I16" s="730">
        <f t="shared" si="11"/>
        <v>0</v>
      </c>
      <c r="J16" s="730">
        <f t="shared" si="12"/>
        <v>18078.7</v>
      </c>
      <c r="K16" s="730">
        <f t="shared" si="13"/>
        <v>0</v>
      </c>
      <c r="O16" s="729" t="s">
        <v>525</v>
      </c>
      <c r="P16" s="687">
        <v>348024</v>
      </c>
      <c r="Q16" s="730">
        <f t="shared" si="14"/>
        <v>362.641008</v>
      </c>
      <c r="S16" s="729" t="s">
        <v>818</v>
      </c>
      <c r="T16" s="687">
        <v>17350000</v>
      </c>
      <c r="U16" s="687">
        <v>0</v>
      </c>
      <c r="V16" s="687">
        <v>0</v>
      </c>
      <c r="W16" s="687">
        <v>17350000</v>
      </c>
      <c r="X16" s="730">
        <f t="shared" si="15"/>
        <v>18078.7</v>
      </c>
      <c r="Y16" s="730">
        <f t="shared" si="16"/>
        <v>0</v>
      </c>
      <c r="Z16" s="730">
        <f t="shared" si="17"/>
        <v>0</v>
      </c>
      <c r="AA16" s="730">
        <f t="shared" si="18"/>
        <v>18078.7</v>
      </c>
      <c r="AC16" s="729" t="s">
        <v>341</v>
      </c>
      <c r="AD16" s="687">
        <v>1718273</v>
      </c>
      <c r="AE16" s="730">
        <f t="shared" si="19"/>
        <v>1790.440466</v>
      </c>
      <c r="AG16" s="729" t="s">
        <v>818</v>
      </c>
      <c r="AH16" s="687">
        <v>17350000</v>
      </c>
      <c r="AI16" s="687">
        <v>0</v>
      </c>
      <c r="AJ16" s="687">
        <v>0</v>
      </c>
      <c r="AK16" s="687">
        <v>17350000</v>
      </c>
      <c r="AL16" s="687">
        <f t="shared" si="20"/>
        <v>18078.7</v>
      </c>
      <c r="AM16" s="687">
        <f t="shared" si="21"/>
        <v>0</v>
      </c>
      <c r="AN16" s="687">
        <f t="shared" si="22"/>
        <v>0</v>
      </c>
      <c r="AO16" s="687">
        <f t="shared" si="23"/>
        <v>18078.7</v>
      </c>
      <c r="AR16" s="729" t="s">
        <v>525</v>
      </c>
      <c r="AS16" s="687">
        <v>174012</v>
      </c>
      <c r="AT16" s="687">
        <f t="shared" si="24"/>
        <v>181.320504</v>
      </c>
      <c r="AV16" s="729" t="s">
        <v>818</v>
      </c>
      <c r="AW16" s="687">
        <v>17350000</v>
      </c>
      <c r="AX16" s="687">
        <v>0</v>
      </c>
      <c r="AY16" s="687">
        <v>0</v>
      </c>
      <c r="AZ16" s="687">
        <v>17350000</v>
      </c>
      <c r="BA16" s="730">
        <f t="shared" si="25"/>
        <v>18078.7</v>
      </c>
      <c r="BB16" s="730">
        <f t="shared" si="26"/>
        <v>0</v>
      </c>
      <c r="BC16" s="730">
        <f t="shared" si="27"/>
        <v>0</v>
      </c>
      <c r="BD16" s="730">
        <f t="shared" si="28"/>
        <v>18078.7</v>
      </c>
      <c r="BG16" s="754" t="s">
        <v>525</v>
      </c>
      <c r="BH16" s="687">
        <v>174012</v>
      </c>
      <c r="BI16" s="755">
        <f t="shared" si="29"/>
        <v>181.320504</v>
      </c>
      <c r="BK16" s="754" t="s">
        <v>818</v>
      </c>
      <c r="BL16" s="687">
        <v>17350000</v>
      </c>
      <c r="BM16" s="687">
        <v>0</v>
      </c>
      <c r="BN16" s="687">
        <v>0</v>
      </c>
      <c r="BO16" s="687">
        <v>17350000</v>
      </c>
      <c r="BP16" s="687">
        <f t="shared" si="30"/>
        <v>18078.7</v>
      </c>
      <c r="BQ16" s="687">
        <f t="shared" si="31"/>
        <v>0</v>
      </c>
      <c r="BR16" s="687">
        <f t="shared" si="32"/>
        <v>0</v>
      </c>
      <c r="BS16" s="755">
        <f t="shared" si="33"/>
        <v>18078.7</v>
      </c>
      <c r="BV16" s="729" t="s">
        <v>341</v>
      </c>
      <c r="BW16" s="687">
        <v>1819822</v>
      </c>
      <c r="BX16" s="730">
        <f t="shared" si="34"/>
        <v>1896.2545239999999</v>
      </c>
      <c r="BZ16" s="729" t="s">
        <v>818</v>
      </c>
      <c r="CA16" s="687">
        <v>17350000</v>
      </c>
      <c r="CB16" s="687">
        <v>0</v>
      </c>
      <c r="CC16" s="687">
        <v>0</v>
      </c>
      <c r="CD16" s="687">
        <v>17350000</v>
      </c>
      <c r="CE16" s="687">
        <f t="shared" si="35"/>
        <v>18078.7</v>
      </c>
      <c r="CF16" s="687">
        <f t="shared" si="36"/>
        <v>0</v>
      </c>
      <c r="CG16" s="687">
        <f t="shared" si="37"/>
        <v>0</v>
      </c>
      <c r="CH16" s="687">
        <f t="shared" si="38"/>
        <v>18078.7</v>
      </c>
      <c r="CK16" s="731" t="s">
        <v>341</v>
      </c>
      <c r="CL16" s="730">
        <v>1556081</v>
      </c>
      <c r="CM16" s="730">
        <f t="shared" si="39"/>
        <v>1621.436402</v>
      </c>
      <c r="CP16" s="731" t="s">
        <v>818</v>
      </c>
      <c r="CQ16" s="730">
        <v>17350000</v>
      </c>
      <c r="CR16" s="730">
        <v>0</v>
      </c>
      <c r="CS16" s="730">
        <v>0</v>
      </c>
      <c r="CT16" s="730">
        <v>17350000</v>
      </c>
      <c r="CU16" s="730">
        <f t="shared" si="2"/>
        <v>18078.7</v>
      </c>
      <c r="CV16" s="730">
        <f t="shared" si="3"/>
        <v>0</v>
      </c>
      <c r="CW16" s="730">
        <f t="shared" si="4"/>
        <v>0</v>
      </c>
      <c r="CX16" s="730">
        <f t="shared" si="5"/>
        <v>18078.7</v>
      </c>
      <c r="CZ16" s="731" t="s">
        <v>341</v>
      </c>
      <c r="DA16" s="730">
        <v>1527261</v>
      </c>
      <c r="DB16" s="730">
        <f t="shared" si="40"/>
        <v>1591.405962</v>
      </c>
      <c r="DE16" s="729" t="s">
        <v>818</v>
      </c>
      <c r="DF16" s="687">
        <v>17350000</v>
      </c>
      <c r="DG16" s="687">
        <v>0</v>
      </c>
      <c r="DH16" s="687">
        <v>0</v>
      </c>
      <c r="DI16" s="687">
        <v>17350000</v>
      </c>
      <c r="DJ16" s="730">
        <f t="shared" si="41"/>
        <v>18078.7</v>
      </c>
      <c r="DK16" s="730">
        <f t="shared" si="42"/>
        <v>0</v>
      </c>
      <c r="DL16" s="730">
        <f t="shared" si="43"/>
        <v>0</v>
      </c>
      <c r="DM16" s="730">
        <f t="shared" si="44"/>
        <v>18078.7</v>
      </c>
      <c r="DP16" s="729" t="s">
        <v>341</v>
      </c>
      <c r="DQ16" s="687">
        <v>1750736</v>
      </c>
      <c r="DR16" s="730">
        <f t="shared" si="45"/>
        <v>1750.7360000000001</v>
      </c>
      <c r="DT16" s="729" t="s">
        <v>818</v>
      </c>
      <c r="DU16" s="687">
        <v>17350000</v>
      </c>
      <c r="DV16" s="687">
        <v>0</v>
      </c>
      <c r="DW16" s="687">
        <v>0</v>
      </c>
      <c r="DX16" s="687">
        <v>17350000</v>
      </c>
      <c r="DY16" s="730">
        <f t="shared" si="46"/>
        <v>17350</v>
      </c>
      <c r="DZ16" s="730">
        <f t="shared" si="47"/>
        <v>0</v>
      </c>
      <c r="EA16" s="730">
        <f t="shared" si="48"/>
        <v>0</v>
      </c>
      <c r="EB16" s="730">
        <f t="shared" si="49"/>
        <v>17350</v>
      </c>
      <c r="EE16" s="731" t="s">
        <v>341</v>
      </c>
      <c r="EF16" s="730">
        <v>1432355</v>
      </c>
      <c r="EG16" s="734">
        <f t="shared" si="50"/>
        <v>1432.355</v>
      </c>
      <c r="EI16" s="731" t="s">
        <v>524</v>
      </c>
      <c r="EJ16" s="730">
        <v>11180000</v>
      </c>
      <c r="EK16" s="730">
        <v>9997607</v>
      </c>
      <c r="EL16" s="730">
        <v>9997607</v>
      </c>
      <c r="EM16" s="734">
        <f t="shared" si="51"/>
        <v>11180</v>
      </c>
      <c r="EN16" s="734">
        <f t="shared" si="52"/>
        <v>9997.607</v>
      </c>
      <c r="EO16" s="734">
        <f t="shared" si="53"/>
        <v>9997.607</v>
      </c>
      <c r="ER16" s="729" t="s">
        <v>525</v>
      </c>
      <c r="ES16" s="687">
        <v>130509</v>
      </c>
      <c r="ET16" s="730">
        <f t="shared" si="54"/>
        <v>130.50899999999999</v>
      </c>
      <c r="EW16" s="729" t="s">
        <v>524</v>
      </c>
      <c r="EX16" s="687">
        <v>0</v>
      </c>
      <c r="EY16" s="687">
        <v>11180000</v>
      </c>
      <c r="EZ16" s="687">
        <v>11000768</v>
      </c>
      <c r="FA16" s="687">
        <v>11000768</v>
      </c>
      <c r="FB16" s="687">
        <v>179232</v>
      </c>
      <c r="FC16" s="730">
        <f t="shared" si="55"/>
        <v>0</v>
      </c>
      <c r="FD16" s="730">
        <f t="shared" si="56"/>
        <v>11180</v>
      </c>
      <c r="FE16" s="730">
        <f t="shared" si="57"/>
        <v>11000.768</v>
      </c>
      <c r="FF16" s="730">
        <f t="shared" si="58"/>
        <v>11000.768</v>
      </c>
      <c r="FG16" s="730">
        <f t="shared" si="59"/>
        <v>179.232</v>
      </c>
      <c r="FJ16" s="731" t="s">
        <v>341</v>
      </c>
      <c r="FK16" s="730">
        <v>1652069</v>
      </c>
      <c r="FL16" s="734">
        <f t="shared" si="60"/>
        <v>1652.069</v>
      </c>
      <c r="FN16" s="735" t="s">
        <v>524</v>
      </c>
      <c r="FO16" s="736">
        <v>12034025</v>
      </c>
      <c r="FP16" s="736">
        <v>12032487</v>
      </c>
      <c r="FQ16" s="736">
        <v>12032487</v>
      </c>
      <c r="FR16" s="736">
        <f t="shared" si="61"/>
        <v>12034.025</v>
      </c>
      <c r="FS16" s="736">
        <f t="shared" si="62"/>
        <v>12032.486999999999</v>
      </c>
      <c r="FT16" s="736">
        <f t="shared" si="63"/>
        <v>12032.486999999999</v>
      </c>
    </row>
    <row r="17" spans="1:176" ht="15" customHeight="1" x14ac:dyDescent="0.25">
      <c r="A17" s="728" t="s">
        <v>880</v>
      </c>
      <c r="B17" s="729" t="s">
        <v>341</v>
      </c>
      <c r="C17" s="687">
        <v>0</v>
      </c>
      <c r="D17" s="687">
        <v>21740000</v>
      </c>
      <c r="E17" s="687">
        <v>1583356</v>
      </c>
      <c r="F17" s="687">
        <v>20156644</v>
      </c>
      <c r="G17" s="687">
        <v>1583356</v>
      </c>
      <c r="H17" s="730">
        <f t="shared" si="10"/>
        <v>22653.08</v>
      </c>
      <c r="I17" s="730">
        <f t="shared" si="11"/>
        <v>1649.8569520000001</v>
      </c>
      <c r="J17" s="730">
        <f t="shared" si="12"/>
        <v>21003.223048</v>
      </c>
      <c r="K17" s="730">
        <f t="shared" si="13"/>
        <v>1649.8569520000001</v>
      </c>
      <c r="O17" s="729" t="s">
        <v>526</v>
      </c>
      <c r="P17" s="687">
        <v>1470127</v>
      </c>
      <c r="Q17" s="730">
        <f t="shared" si="14"/>
        <v>1531.8723339999999</v>
      </c>
      <c r="S17" s="729" t="s">
        <v>341</v>
      </c>
      <c r="T17" s="687">
        <v>21740000</v>
      </c>
      <c r="U17" s="687">
        <v>3401507</v>
      </c>
      <c r="V17" s="687">
        <v>3401507</v>
      </c>
      <c r="W17" s="687">
        <v>18338493</v>
      </c>
      <c r="X17" s="730">
        <f t="shared" si="15"/>
        <v>22653.08</v>
      </c>
      <c r="Y17" s="730">
        <f t="shared" si="16"/>
        <v>3544.3702940000003</v>
      </c>
      <c r="Z17" s="730">
        <f t="shared" si="17"/>
        <v>3544.3702940000003</v>
      </c>
      <c r="AA17" s="730">
        <f t="shared" si="18"/>
        <v>19108.709705999998</v>
      </c>
      <c r="AC17" s="729" t="s">
        <v>526</v>
      </c>
      <c r="AD17" s="687">
        <v>1718273</v>
      </c>
      <c r="AE17" s="730">
        <f t="shared" si="19"/>
        <v>1790.440466</v>
      </c>
      <c r="AG17" s="729" t="s">
        <v>341</v>
      </c>
      <c r="AH17" s="687">
        <v>21740000</v>
      </c>
      <c r="AI17" s="687">
        <v>5119780</v>
      </c>
      <c r="AJ17" s="687">
        <v>5119780</v>
      </c>
      <c r="AK17" s="687">
        <v>16620220</v>
      </c>
      <c r="AL17" s="687">
        <f t="shared" si="20"/>
        <v>22653.08</v>
      </c>
      <c r="AM17" s="687">
        <f t="shared" si="21"/>
        <v>5334.8107600000003</v>
      </c>
      <c r="AN17" s="687">
        <f t="shared" si="22"/>
        <v>5334.8107600000003</v>
      </c>
      <c r="AO17" s="687">
        <f t="shared" si="23"/>
        <v>17318.269240000001</v>
      </c>
      <c r="AR17" s="729" t="s">
        <v>526</v>
      </c>
      <c r="AS17" s="687">
        <v>1482289</v>
      </c>
      <c r="AT17" s="687">
        <f t="shared" si="24"/>
        <v>1544.545138</v>
      </c>
      <c r="AV17" s="729" t="s">
        <v>341</v>
      </c>
      <c r="AW17" s="687">
        <v>21740000</v>
      </c>
      <c r="AX17" s="687">
        <v>6776081</v>
      </c>
      <c r="AY17" s="687">
        <v>6776081</v>
      </c>
      <c r="AZ17" s="687">
        <v>14963919</v>
      </c>
      <c r="BA17" s="730">
        <f t="shared" si="25"/>
        <v>22653.08</v>
      </c>
      <c r="BB17" s="730">
        <f t="shared" si="26"/>
        <v>7060.6764020000001</v>
      </c>
      <c r="BC17" s="730">
        <f t="shared" si="27"/>
        <v>7060.6764020000001</v>
      </c>
      <c r="BD17" s="730">
        <f t="shared" si="28"/>
        <v>15592.403598000001</v>
      </c>
      <c r="BG17" s="754" t="s">
        <v>526</v>
      </c>
      <c r="BH17" s="687">
        <v>1410855</v>
      </c>
      <c r="BI17" s="755">
        <f t="shared" si="29"/>
        <v>1470.1109100000001</v>
      </c>
      <c r="BK17" s="754" t="s">
        <v>341</v>
      </c>
      <c r="BL17" s="687">
        <v>21740000</v>
      </c>
      <c r="BM17" s="687">
        <v>8360948</v>
      </c>
      <c r="BN17" s="687">
        <v>8360948</v>
      </c>
      <c r="BO17" s="687">
        <v>13379052</v>
      </c>
      <c r="BP17" s="687">
        <f t="shared" si="30"/>
        <v>22653.08</v>
      </c>
      <c r="BQ17" s="687">
        <f t="shared" si="31"/>
        <v>8712.1078160000015</v>
      </c>
      <c r="BR17" s="687">
        <f t="shared" si="32"/>
        <v>8712.1078160000015</v>
      </c>
      <c r="BS17" s="755">
        <f t="shared" si="33"/>
        <v>13940.972184</v>
      </c>
      <c r="BV17" s="729" t="s">
        <v>525</v>
      </c>
      <c r="BW17" s="687">
        <v>159511</v>
      </c>
      <c r="BX17" s="730">
        <f t="shared" si="34"/>
        <v>166.21046200000001</v>
      </c>
      <c r="BZ17" s="729" t="s">
        <v>341</v>
      </c>
      <c r="CA17" s="687">
        <v>21740000</v>
      </c>
      <c r="CB17" s="687">
        <v>10180770</v>
      </c>
      <c r="CC17" s="687">
        <v>10180770</v>
      </c>
      <c r="CD17" s="687">
        <v>11559230</v>
      </c>
      <c r="CE17" s="687">
        <f t="shared" si="35"/>
        <v>22653.08</v>
      </c>
      <c r="CF17" s="687">
        <f t="shared" si="36"/>
        <v>10608.362340000001</v>
      </c>
      <c r="CG17" s="687">
        <f t="shared" si="37"/>
        <v>10608.362340000001</v>
      </c>
      <c r="CH17" s="687">
        <f t="shared" si="38"/>
        <v>12044.71766</v>
      </c>
      <c r="CK17" s="731" t="s">
        <v>525</v>
      </c>
      <c r="CL17" s="730">
        <v>159511</v>
      </c>
      <c r="CM17" s="730">
        <f t="shared" si="39"/>
        <v>166.21046200000001</v>
      </c>
      <c r="CP17" s="731" t="s">
        <v>341</v>
      </c>
      <c r="CQ17" s="730">
        <v>21740000</v>
      </c>
      <c r="CR17" s="730">
        <v>11736851</v>
      </c>
      <c r="CS17" s="730">
        <v>11736851</v>
      </c>
      <c r="CT17" s="730">
        <v>10003149</v>
      </c>
      <c r="CU17" s="730">
        <f t="shared" si="2"/>
        <v>22653.08</v>
      </c>
      <c r="CV17" s="730">
        <f t="shared" si="3"/>
        <v>12229.798742000001</v>
      </c>
      <c r="CW17" s="730">
        <f t="shared" si="4"/>
        <v>12229.798742000001</v>
      </c>
      <c r="CX17" s="730">
        <f t="shared" si="5"/>
        <v>10423.281257999999</v>
      </c>
      <c r="CZ17" s="731" t="s">
        <v>525</v>
      </c>
      <c r="DA17" s="730">
        <v>130509</v>
      </c>
      <c r="DB17" s="730">
        <f t="shared" si="40"/>
        <v>135.99037799999999</v>
      </c>
      <c r="DE17" s="729" t="s">
        <v>341</v>
      </c>
      <c r="DF17" s="687">
        <v>21740000</v>
      </c>
      <c r="DG17" s="687">
        <v>13264112</v>
      </c>
      <c r="DH17" s="687">
        <v>13264112</v>
      </c>
      <c r="DI17" s="687">
        <v>8475888</v>
      </c>
      <c r="DJ17" s="730">
        <f t="shared" si="41"/>
        <v>22653.08</v>
      </c>
      <c r="DK17" s="730">
        <f t="shared" si="42"/>
        <v>13821.204704</v>
      </c>
      <c r="DL17" s="730">
        <f t="shared" si="43"/>
        <v>13821.204704</v>
      </c>
      <c r="DM17" s="730">
        <f t="shared" si="44"/>
        <v>8831.875296000002</v>
      </c>
      <c r="DP17" s="729" t="s">
        <v>525</v>
      </c>
      <c r="DQ17" s="687">
        <v>130509</v>
      </c>
      <c r="DR17" s="730">
        <f t="shared" si="45"/>
        <v>130.50899999999999</v>
      </c>
      <c r="DT17" s="729" t="s">
        <v>341</v>
      </c>
      <c r="DU17" s="687">
        <v>21740000</v>
      </c>
      <c r="DV17" s="687">
        <v>15014848</v>
      </c>
      <c r="DW17" s="687">
        <v>15014848</v>
      </c>
      <c r="DX17" s="687">
        <v>6725152</v>
      </c>
      <c r="DY17" s="730">
        <f t="shared" si="46"/>
        <v>21740</v>
      </c>
      <c r="DZ17" s="730">
        <f t="shared" si="47"/>
        <v>15014.848</v>
      </c>
      <c r="EA17" s="730">
        <f t="shared" si="48"/>
        <v>15014.848</v>
      </c>
      <c r="EB17" s="730">
        <f t="shared" si="49"/>
        <v>6725.152</v>
      </c>
      <c r="EE17" s="731" t="s">
        <v>525</v>
      </c>
      <c r="EF17" s="730">
        <v>130509</v>
      </c>
      <c r="EG17" s="734">
        <f t="shared" si="50"/>
        <v>130.50899999999999</v>
      </c>
      <c r="EI17" s="731" t="s">
        <v>818</v>
      </c>
      <c r="EJ17" s="730">
        <v>17350000</v>
      </c>
      <c r="EK17" s="730">
        <v>0</v>
      </c>
      <c r="EL17" s="730">
        <v>0</v>
      </c>
      <c r="EM17" s="734">
        <f t="shared" si="51"/>
        <v>17350</v>
      </c>
      <c r="EN17" s="734">
        <f t="shared" si="52"/>
        <v>0</v>
      </c>
      <c r="EO17" s="734">
        <f t="shared" si="53"/>
        <v>0</v>
      </c>
      <c r="ER17" s="729" t="s">
        <v>526</v>
      </c>
      <c r="ES17" s="687">
        <v>1309021</v>
      </c>
      <c r="ET17" s="730">
        <f t="shared" si="54"/>
        <v>1309.021</v>
      </c>
      <c r="EW17" s="729" t="s">
        <v>818</v>
      </c>
      <c r="EX17" s="687">
        <v>0</v>
      </c>
      <c r="EY17" s="687">
        <v>17350000</v>
      </c>
      <c r="EZ17" s="687">
        <v>0</v>
      </c>
      <c r="FA17" s="687">
        <v>0</v>
      </c>
      <c r="FB17" s="687">
        <v>17350000</v>
      </c>
      <c r="FC17" s="730">
        <f t="shared" si="55"/>
        <v>0</v>
      </c>
      <c r="FD17" s="730">
        <f t="shared" si="56"/>
        <v>17350</v>
      </c>
      <c r="FE17" s="730">
        <f t="shared" si="57"/>
        <v>0</v>
      </c>
      <c r="FF17" s="730">
        <f t="shared" si="58"/>
        <v>0</v>
      </c>
      <c r="FG17" s="730">
        <f t="shared" si="59"/>
        <v>17350</v>
      </c>
      <c r="FJ17" s="731" t="s">
        <v>525</v>
      </c>
      <c r="FK17" s="730">
        <v>130509</v>
      </c>
      <c r="FL17" s="734">
        <f t="shared" si="60"/>
        <v>130.50899999999999</v>
      </c>
      <c r="FN17" s="735" t="s">
        <v>341</v>
      </c>
      <c r="FO17" s="736">
        <v>19540340</v>
      </c>
      <c r="FP17" s="736">
        <v>19538802</v>
      </c>
      <c r="FQ17" s="736">
        <v>19538802</v>
      </c>
      <c r="FR17" s="736">
        <f t="shared" si="61"/>
        <v>19540.34</v>
      </c>
      <c r="FS17" s="736">
        <f t="shared" si="62"/>
        <v>19538.802</v>
      </c>
      <c r="FT17" s="736">
        <f t="shared" si="63"/>
        <v>19538.802</v>
      </c>
    </row>
    <row r="18" spans="1:176" ht="15" customHeight="1" x14ac:dyDescent="0.25">
      <c r="A18" s="728" t="s">
        <v>881</v>
      </c>
      <c r="B18" s="729" t="s">
        <v>525</v>
      </c>
      <c r="C18" s="687">
        <v>0</v>
      </c>
      <c r="D18" s="687">
        <v>1570000</v>
      </c>
      <c r="E18" s="687">
        <v>0</v>
      </c>
      <c r="F18" s="687">
        <v>1570000</v>
      </c>
      <c r="G18" s="687">
        <v>0</v>
      </c>
      <c r="H18" s="730">
        <f t="shared" si="10"/>
        <v>1635.94</v>
      </c>
      <c r="I18" s="730">
        <f t="shared" si="11"/>
        <v>0</v>
      </c>
      <c r="J18" s="730">
        <f t="shared" si="12"/>
        <v>1635.94</v>
      </c>
      <c r="K18" s="730">
        <f t="shared" si="13"/>
        <v>0</v>
      </c>
      <c r="O18" s="729" t="s">
        <v>343</v>
      </c>
      <c r="P18" s="687">
        <v>8169877</v>
      </c>
      <c r="Q18" s="730">
        <f t="shared" si="14"/>
        <v>8513.0118340000008</v>
      </c>
      <c r="S18" s="729" t="s">
        <v>525</v>
      </c>
      <c r="T18" s="687">
        <v>1570000</v>
      </c>
      <c r="U18" s="687">
        <v>348024</v>
      </c>
      <c r="V18" s="687">
        <v>348024</v>
      </c>
      <c r="W18" s="687">
        <v>1221976</v>
      </c>
      <c r="X18" s="730">
        <f t="shared" si="15"/>
        <v>1635.94</v>
      </c>
      <c r="Y18" s="730">
        <f t="shared" si="16"/>
        <v>362.641008</v>
      </c>
      <c r="Z18" s="730">
        <f t="shared" si="17"/>
        <v>362.641008</v>
      </c>
      <c r="AA18" s="730">
        <f t="shared" si="18"/>
        <v>1273.2989920000002</v>
      </c>
      <c r="AC18" s="729" t="s">
        <v>527</v>
      </c>
      <c r="AD18" s="687">
        <v>15773070</v>
      </c>
      <c r="AE18" s="730">
        <f t="shared" si="19"/>
        <v>16435.538939999999</v>
      </c>
      <c r="AG18" s="729" t="s">
        <v>525</v>
      </c>
      <c r="AH18" s="687">
        <v>1570000</v>
      </c>
      <c r="AI18" s="687">
        <v>348024</v>
      </c>
      <c r="AJ18" s="687">
        <v>348024</v>
      </c>
      <c r="AK18" s="687">
        <v>1221976</v>
      </c>
      <c r="AL18" s="687">
        <f t="shared" si="20"/>
        <v>1635.94</v>
      </c>
      <c r="AM18" s="687">
        <f t="shared" si="21"/>
        <v>362.641008</v>
      </c>
      <c r="AN18" s="687">
        <f t="shared" si="22"/>
        <v>362.641008</v>
      </c>
      <c r="AO18" s="687">
        <f t="shared" si="23"/>
        <v>1273.2989920000002</v>
      </c>
      <c r="AR18" s="729" t="s">
        <v>343</v>
      </c>
      <c r="AS18" s="687">
        <v>8087875</v>
      </c>
      <c r="AT18" s="687">
        <f t="shared" si="24"/>
        <v>8427.5657499999998</v>
      </c>
      <c r="AV18" s="729" t="s">
        <v>525</v>
      </c>
      <c r="AW18" s="687">
        <v>1570000</v>
      </c>
      <c r="AX18" s="687">
        <v>522036</v>
      </c>
      <c r="AY18" s="687">
        <v>522036</v>
      </c>
      <c r="AZ18" s="687">
        <v>1047964</v>
      </c>
      <c r="BA18" s="730">
        <f t="shared" si="25"/>
        <v>1635.94</v>
      </c>
      <c r="BB18" s="730">
        <f t="shared" si="26"/>
        <v>543.96151199999997</v>
      </c>
      <c r="BC18" s="730">
        <f t="shared" si="27"/>
        <v>543.96151199999997</v>
      </c>
      <c r="BD18" s="730">
        <f t="shared" si="28"/>
        <v>1091.978488</v>
      </c>
      <c r="BG18" s="754" t="s">
        <v>343</v>
      </c>
      <c r="BH18" s="687">
        <v>8005873</v>
      </c>
      <c r="BI18" s="755">
        <f t="shared" si="29"/>
        <v>8342.1196660000005</v>
      </c>
      <c r="BK18" s="754" t="s">
        <v>525</v>
      </c>
      <c r="BL18" s="687">
        <v>1570000</v>
      </c>
      <c r="BM18" s="687">
        <v>696048</v>
      </c>
      <c r="BN18" s="687">
        <v>696048</v>
      </c>
      <c r="BO18" s="687">
        <v>873952</v>
      </c>
      <c r="BP18" s="687">
        <f t="shared" si="30"/>
        <v>1635.94</v>
      </c>
      <c r="BQ18" s="687">
        <f t="shared" si="31"/>
        <v>725.282016</v>
      </c>
      <c r="BR18" s="687">
        <f t="shared" si="32"/>
        <v>725.282016</v>
      </c>
      <c r="BS18" s="755">
        <f t="shared" si="33"/>
        <v>910.65798400000006</v>
      </c>
      <c r="BV18" s="729" t="s">
        <v>526</v>
      </c>
      <c r="BW18" s="687">
        <v>1660311</v>
      </c>
      <c r="BX18" s="730">
        <f t="shared" si="34"/>
        <v>1730.0440619999999</v>
      </c>
      <c r="BZ18" s="729" t="s">
        <v>525</v>
      </c>
      <c r="CA18" s="687">
        <v>1570000</v>
      </c>
      <c r="CB18" s="687">
        <v>855559</v>
      </c>
      <c r="CC18" s="687">
        <v>855559</v>
      </c>
      <c r="CD18" s="687">
        <v>714441</v>
      </c>
      <c r="CE18" s="687">
        <f t="shared" si="35"/>
        <v>1635.94</v>
      </c>
      <c r="CF18" s="687">
        <f t="shared" si="36"/>
        <v>891.49247800000001</v>
      </c>
      <c r="CG18" s="687">
        <f t="shared" si="37"/>
        <v>891.49247800000001</v>
      </c>
      <c r="CH18" s="687">
        <f t="shared" si="38"/>
        <v>744.44752200000005</v>
      </c>
      <c r="CK18" s="731" t="s">
        <v>526</v>
      </c>
      <c r="CL18" s="730">
        <v>1396570</v>
      </c>
      <c r="CM18" s="730">
        <f t="shared" si="39"/>
        <v>1455.22594</v>
      </c>
      <c r="CP18" s="731" t="s">
        <v>525</v>
      </c>
      <c r="CQ18" s="730">
        <v>1570000</v>
      </c>
      <c r="CR18" s="730">
        <v>1015070</v>
      </c>
      <c r="CS18" s="730">
        <v>1015070</v>
      </c>
      <c r="CT18" s="730">
        <v>554930</v>
      </c>
      <c r="CU18" s="730">
        <f t="shared" si="2"/>
        <v>1635.94</v>
      </c>
      <c r="CV18" s="730">
        <f t="shared" si="3"/>
        <v>1057.7029400000001</v>
      </c>
      <c r="CW18" s="730">
        <f t="shared" si="4"/>
        <v>1057.7029400000001</v>
      </c>
      <c r="CX18" s="730">
        <f t="shared" si="5"/>
        <v>578.23705999999993</v>
      </c>
      <c r="CZ18" s="731" t="s">
        <v>526</v>
      </c>
      <c r="DA18" s="730">
        <v>1396752</v>
      </c>
      <c r="DB18" s="730">
        <f t="shared" si="40"/>
        <v>1455.4155840000001</v>
      </c>
      <c r="DE18" s="729" t="s">
        <v>525</v>
      </c>
      <c r="DF18" s="687">
        <v>1570000</v>
      </c>
      <c r="DG18" s="687">
        <v>1145579</v>
      </c>
      <c r="DH18" s="687">
        <v>1145579</v>
      </c>
      <c r="DI18" s="687">
        <v>424421</v>
      </c>
      <c r="DJ18" s="730">
        <f t="shared" si="41"/>
        <v>1635.94</v>
      </c>
      <c r="DK18" s="730">
        <f t="shared" si="42"/>
        <v>1193.6933180000001</v>
      </c>
      <c r="DL18" s="730">
        <f t="shared" si="43"/>
        <v>1193.6933180000001</v>
      </c>
      <c r="DM18" s="730">
        <f t="shared" si="44"/>
        <v>442.24668200000002</v>
      </c>
      <c r="DP18" s="729" t="s">
        <v>526</v>
      </c>
      <c r="DQ18" s="687">
        <v>1620227</v>
      </c>
      <c r="DR18" s="730">
        <f t="shared" si="45"/>
        <v>1620.2270000000001</v>
      </c>
      <c r="DT18" s="729" t="s">
        <v>525</v>
      </c>
      <c r="DU18" s="687">
        <v>1570000</v>
      </c>
      <c r="DV18" s="687">
        <v>1276088</v>
      </c>
      <c r="DW18" s="687">
        <v>1276088</v>
      </c>
      <c r="DX18" s="687">
        <v>293912</v>
      </c>
      <c r="DY18" s="730">
        <f t="shared" si="46"/>
        <v>1570</v>
      </c>
      <c r="DZ18" s="730">
        <f t="shared" si="47"/>
        <v>1276.088</v>
      </c>
      <c r="EA18" s="730">
        <f t="shared" si="48"/>
        <v>1276.088</v>
      </c>
      <c r="EB18" s="730">
        <f t="shared" si="49"/>
        <v>293.91199999999998</v>
      </c>
      <c r="EE18" s="731" t="s">
        <v>526</v>
      </c>
      <c r="EF18" s="730">
        <v>1301846</v>
      </c>
      <c r="EG18" s="734">
        <f t="shared" si="50"/>
        <v>1301.846</v>
      </c>
      <c r="EI18" s="731" t="s">
        <v>341</v>
      </c>
      <c r="EJ18" s="730">
        <v>21740000</v>
      </c>
      <c r="EK18" s="730">
        <v>16447203</v>
      </c>
      <c r="EL18" s="730">
        <v>16447203</v>
      </c>
      <c r="EM18" s="734">
        <f t="shared" si="51"/>
        <v>21740</v>
      </c>
      <c r="EN18" s="734">
        <f t="shared" si="52"/>
        <v>16447.203000000001</v>
      </c>
      <c r="EO18" s="734">
        <f t="shared" si="53"/>
        <v>16447.203000000001</v>
      </c>
      <c r="ER18" s="729" t="s">
        <v>343</v>
      </c>
      <c r="ES18" s="687">
        <v>7881968</v>
      </c>
      <c r="ET18" s="730">
        <f t="shared" si="54"/>
        <v>7881.9679999999998</v>
      </c>
      <c r="EW18" s="729" t="s">
        <v>341</v>
      </c>
      <c r="EX18" s="687">
        <v>0</v>
      </c>
      <c r="EY18" s="687">
        <v>21740000</v>
      </c>
      <c r="EZ18" s="687">
        <v>17886733</v>
      </c>
      <c r="FA18" s="687">
        <v>17886733</v>
      </c>
      <c r="FB18" s="687">
        <v>3853267</v>
      </c>
      <c r="FC18" s="730">
        <f t="shared" si="55"/>
        <v>0</v>
      </c>
      <c r="FD18" s="730">
        <f t="shared" si="56"/>
        <v>21740</v>
      </c>
      <c r="FE18" s="730">
        <f t="shared" si="57"/>
        <v>17886.733</v>
      </c>
      <c r="FF18" s="730">
        <f t="shared" si="58"/>
        <v>17886.733</v>
      </c>
      <c r="FG18" s="730">
        <f t="shared" si="59"/>
        <v>3853.2669999999998</v>
      </c>
      <c r="FJ18" s="731" t="s">
        <v>526</v>
      </c>
      <c r="FK18" s="730">
        <v>1521560</v>
      </c>
      <c r="FL18" s="734">
        <f t="shared" si="60"/>
        <v>1521.56</v>
      </c>
      <c r="FN18" s="735" t="s">
        <v>525</v>
      </c>
      <c r="FO18" s="736">
        <v>1667615</v>
      </c>
      <c r="FP18" s="736">
        <v>1667615</v>
      </c>
      <c r="FQ18" s="736">
        <v>1667615</v>
      </c>
      <c r="FR18" s="736">
        <f t="shared" si="61"/>
        <v>1667.615</v>
      </c>
      <c r="FS18" s="736">
        <f t="shared" si="62"/>
        <v>1667.615</v>
      </c>
      <c r="FT18" s="736">
        <f t="shared" si="63"/>
        <v>1667.615</v>
      </c>
    </row>
    <row r="19" spans="1:176" ht="15" customHeight="1" x14ac:dyDescent="0.25">
      <c r="A19" s="728" t="s">
        <v>881</v>
      </c>
      <c r="B19" s="729" t="s">
        <v>526</v>
      </c>
      <c r="C19" s="687">
        <v>0</v>
      </c>
      <c r="D19" s="687">
        <v>20170000</v>
      </c>
      <c r="E19" s="687">
        <v>1583356</v>
      </c>
      <c r="F19" s="687">
        <v>18586644</v>
      </c>
      <c r="G19" s="687">
        <v>1583356</v>
      </c>
      <c r="H19" s="730">
        <f t="shared" si="10"/>
        <v>21017.14</v>
      </c>
      <c r="I19" s="730">
        <f t="shared" si="11"/>
        <v>1649.8569520000001</v>
      </c>
      <c r="J19" s="730">
        <f t="shared" si="12"/>
        <v>19367.283048000001</v>
      </c>
      <c r="K19" s="730">
        <f t="shared" si="13"/>
        <v>1649.8569520000001</v>
      </c>
      <c r="O19" s="729" t="s">
        <v>529</v>
      </c>
      <c r="P19" s="687">
        <v>7349855</v>
      </c>
      <c r="Q19" s="730">
        <f t="shared" si="14"/>
        <v>7658.5489099999995</v>
      </c>
      <c r="S19" s="729" t="s">
        <v>526</v>
      </c>
      <c r="T19" s="687">
        <v>20170000</v>
      </c>
      <c r="U19" s="687">
        <v>3053483</v>
      </c>
      <c r="V19" s="687">
        <v>3053483</v>
      </c>
      <c r="W19" s="687">
        <v>17116517</v>
      </c>
      <c r="X19" s="730">
        <f t="shared" si="15"/>
        <v>21017.14</v>
      </c>
      <c r="Y19" s="730">
        <f t="shared" si="16"/>
        <v>3181.7292860000002</v>
      </c>
      <c r="Z19" s="730">
        <f t="shared" si="17"/>
        <v>3181.7292860000002</v>
      </c>
      <c r="AA19" s="730">
        <f t="shared" si="18"/>
        <v>17835.410714000001</v>
      </c>
      <c r="AC19" s="729" t="s">
        <v>528</v>
      </c>
      <c r="AD19" s="687">
        <v>8332503</v>
      </c>
      <c r="AE19" s="730">
        <f t="shared" si="19"/>
        <v>8682.4681260000016</v>
      </c>
      <c r="AG19" s="729" t="s">
        <v>526</v>
      </c>
      <c r="AH19" s="687">
        <v>20170000</v>
      </c>
      <c r="AI19" s="687">
        <v>4771756</v>
      </c>
      <c r="AJ19" s="687">
        <v>4771756</v>
      </c>
      <c r="AK19" s="687">
        <v>15398244</v>
      </c>
      <c r="AL19" s="687">
        <f t="shared" si="20"/>
        <v>21017.14</v>
      </c>
      <c r="AM19" s="687">
        <f t="shared" si="21"/>
        <v>4972.1697520000007</v>
      </c>
      <c r="AN19" s="687">
        <f t="shared" si="22"/>
        <v>4972.1697520000007</v>
      </c>
      <c r="AO19" s="687">
        <f t="shared" si="23"/>
        <v>16044.970248000001</v>
      </c>
      <c r="AR19" s="729" t="s">
        <v>529</v>
      </c>
      <c r="AS19" s="687">
        <v>7349855</v>
      </c>
      <c r="AT19" s="687">
        <f t="shared" si="24"/>
        <v>7658.5489099999995</v>
      </c>
      <c r="AV19" s="729" t="s">
        <v>526</v>
      </c>
      <c r="AW19" s="687">
        <v>20170000</v>
      </c>
      <c r="AX19" s="687">
        <v>6254045</v>
      </c>
      <c r="AY19" s="687">
        <v>6254045</v>
      </c>
      <c r="AZ19" s="687">
        <v>13915955</v>
      </c>
      <c r="BA19" s="730">
        <f t="shared" si="25"/>
        <v>21017.14</v>
      </c>
      <c r="BB19" s="730">
        <f t="shared" si="26"/>
        <v>6516.7148900000002</v>
      </c>
      <c r="BC19" s="730">
        <f t="shared" si="27"/>
        <v>6516.7148900000002</v>
      </c>
      <c r="BD19" s="730">
        <f t="shared" si="28"/>
        <v>14500.42511</v>
      </c>
      <c r="BG19" s="754" t="s">
        <v>529</v>
      </c>
      <c r="BH19" s="687">
        <v>7349855</v>
      </c>
      <c r="BI19" s="755">
        <f t="shared" si="29"/>
        <v>7658.5489099999995</v>
      </c>
      <c r="BK19" s="754" t="s">
        <v>526</v>
      </c>
      <c r="BL19" s="687">
        <v>20170000</v>
      </c>
      <c r="BM19" s="687">
        <v>7664900</v>
      </c>
      <c r="BN19" s="687">
        <v>7664900</v>
      </c>
      <c r="BO19" s="687">
        <v>12505100</v>
      </c>
      <c r="BP19" s="687">
        <f t="shared" si="30"/>
        <v>21017.14</v>
      </c>
      <c r="BQ19" s="687">
        <f t="shared" si="31"/>
        <v>7986.8257999999996</v>
      </c>
      <c r="BR19" s="687">
        <f t="shared" si="32"/>
        <v>7986.8257999999996</v>
      </c>
      <c r="BS19" s="755">
        <f t="shared" si="33"/>
        <v>13030.314200000001</v>
      </c>
      <c r="BV19" s="729" t="s">
        <v>527</v>
      </c>
      <c r="BW19" s="687">
        <v>14959285</v>
      </c>
      <c r="BX19" s="730">
        <f t="shared" si="34"/>
        <v>15587.57497</v>
      </c>
      <c r="BZ19" s="729" t="s">
        <v>526</v>
      </c>
      <c r="CA19" s="687">
        <v>20170000</v>
      </c>
      <c r="CB19" s="687">
        <v>9325211</v>
      </c>
      <c r="CC19" s="687">
        <v>9325211</v>
      </c>
      <c r="CD19" s="687">
        <v>10844789</v>
      </c>
      <c r="CE19" s="687">
        <f t="shared" si="35"/>
        <v>21017.14</v>
      </c>
      <c r="CF19" s="687">
        <f t="shared" si="36"/>
        <v>9716.8698619999996</v>
      </c>
      <c r="CG19" s="687">
        <f t="shared" si="37"/>
        <v>9716.8698619999996</v>
      </c>
      <c r="CH19" s="687">
        <f t="shared" si="38"/>
        <v>11300.270138000002</v>
      </c>
      <c r="CK19" s="731" t="s">
        <v>527</v>
      </c>
      <c r="CL19" s="730">
        <v>-3869</v>
      </c>
      <c r="CM19" s="730">
        <f t="shared" si="39"/>
        <v>-4.031498</v>
      </c>
      <c r="CP19" s="731" t="s">
        <v>526</v>
      </c>
      <c r="CQ19" s="730">
        <v>20170000</v>
      </c>
      <c r="CR19" s="730">
        <v>10721781</v>
      </c>
      <c r="CS19" s="730">
        <v>10721781</v>
      </c>
      <c r="CT19" s="730">
        <v>9448219</v>
      </c>
      <c r="CU19" s="730">
        <f t="shared" si="2"/>
        <v>21017.14</v>
      </c>
      <c r="CV19" s="730">
        <f t="shared" si="3"/>
        <v>11172.095802000002</v>
      </c>
      <c r="CW19" s="730">
        <f t="shared" si="4"/>
        <v>11172.095802000002</v>
      </c>
      <c r="CX19" s="730">
        <f t="shared" si="5"/>
        <v>9845.0441979999996</v>
      </c>
      <c r="CZ19" s="731" t="s">
        <v>527</v>
      </c>
      <c r="DA19" s="730">
        <v>-13530</v>
      </c>
      <c r="DB19" s="730">
        <f t="shared" si="40"/>
        <v>-14.09826</v>
      </c>
      <c r="DE19" s="729" t="s">
        <v>526</v>
      </c>
      <c r="DF19" s="687">
        <v>20170000</v>
      </c>
      <c r="DG19" s="687">
        <v>12118533</v>
      </c>
      <c r="DH19" s="687">
        <v>12118533</v>
      </c>
      <c r="DI19" s="687">
        <v>8051467</v>
      </c>
      <c r="DJ19" s="730">
        <f t="shared" si="41"/>
        <v>21017.14</v>
      </c>
      <c r="DK19" s="730">
        <f t="shared" si="42"/>
        <v>12627.511386</v>
      </c>
      <c r="DL19" s="730">
        <f t="shared" si="43"/>
        <v>12627.511386</v>
      </c>
      <c r="DM19" s="730">
        <f t="shared" si="44"/>
        <v>8389.6286139999993</v>
      </c>
      <c r="DP19" s="729" t="s">
        <v>527</v>
      </c>
      <c r="DQ19" s="687">
        <v>12889161</v>
      </c>
      <c r="DR19" s="730">
        <f t="shared" si="45"/>
        <v>12889.161</v>
      </c>
      <c r="DT19" s="729" t="s">
        <v>526</v>
      </c>
      <c r="DU19" s="687">
        <v>20170000</v>
      </c>
      <c r="DV19" s="687">
        <v>13738760</v>
      </c>
      <c r="DW19" s="687">
        <v>13738760</v>
      </c>
      <c r="DX19" s="687">
        <v>6431240</v>
      </c>
      <c r="DY19" s="730">
        <f t="shared" si="46"/>
        <v>20170</v>
      </c>
      <c r="DZ19" s="730">
        <f t="shared" si="47"/>
        <v>13738.76</v>
      </c>
      <c r="EA19" s="730">
        <f t="shared" si="48"/>
        <v>13738.76</v>
      </c>
      <c r="EB19" s="730">
        <f t="shared" si="49"/>
        <v>6431.24</v>
      </c>
      <c r="EE19" s="731" t="s">
        <v>343</v>
      </c>
      <c r="EF19" s="730">
        <v>8272527</v>
      </c>
      <c r="EG19" s="734">
        <f t="shared" si="50"/>
        <v>8272.527</v>
      </c>
      <c r="EI19" s="731" t="s">
        <v>525</v>
      </c>
      <c r="EJ19" s="730">
        <v>1570000</v>
      </c>
      <c r="EK19" s="730">
        <v>1406597</v>
      </c>
      <c r="EL19" s="730">
        <v>1406597</v>
      </c>
      <c r="EM19" s="734">
        <f t="shared" si="51"/>
        <v>1570</v>
      </c>
      <c r="EN19" s="734">
        <f t="shared" si="52"/>
        <v>1406.597</v>
      </c>
      <c r="EO19" s="734">
        <f t="shared" si="53"/>
        <v>1406.597</v>
      </c>
      <c r="ER19" s="729" t="s">
        <v>529</v>
      </c>
      <c r="ES19" s="687">
        <v>7349855</v>
      </c>
      <c r="ET19" s="730">
        <f t="shared" si="54"/>
        <v>7349.8549999999996</v>
      </c>
      <c r="EW19" s="729" t="s">
        <v>525</v>
      </c>
      <c r="EX19" s="687">
        <v>0</v>
      </c>
      <c r="EY19" s="687">
        <v>1570000</v>
      </c>
      <c r="EZ19" s="687">
        <v>1537106</v>
      </c>
      <c r="FA19" s="687">
        <v>1537106</v>
      </c>
      <c r="FB19" s="687">
        <v>32894</v>
      </c>
      <c r="FC19" s="730">
        <f t="shared" si="55"/>
        <v>0</v>
      </c>
      <c r="FD19" s="730">
        <f t="shared" si="56"/>
        <v>1570</v>
      </c>
      <c r="FE19" s="730">
        <f t="shared" si="57"/>
        <v>1537.106</v>
      </c>
      <c r="FF19" s="730">
        <f t="shared" si="58"/>
        <v>1537.106</v>
      </c>
      <c r="FG19" s="730">
        <f t="shared" si="59"/>
        <v>32.893999999999998</v>
      </c>
      <c r="FJ19" s="731" t="s">
        <v>527</v>
      </c>
      <c r="FK19" s="730">
        <v>13012587</v>
      </c>
      <c r="FL19" s="734">
        <f t="shared" si="60"/>
        <v>13012.587</v>
      </c>
      <c r="FN19" s="735" t="s">
        <v>526</v>
      </c>
      <c r="FO19" s="736">
        <v>17872725</v>
      </c>
      <c r="FP19" s="736">
        <v>17871187</v>
      </c>
      <c r="FQ19" s="736">
        <v>17871187</v>
      </c>
      <c r="FR19" s="736">
        <f t="shared" si="61"/>
        <v>17872.724999999999</v>
      </c>
      <c r="FS19" s="736">
        <f t="shared" si="62"/>
        <v>17871.187000000002</v>
      </c>
      <c r="FT19" s="736">
        <f t="shared" si="63"/>
        <v>17871.187000000002</v>
      </c>
    </row>
    <row r="20" spans="1:176" ht="15" customHeight="1" x14ac:dyDescent="0.25">
      <c r="A20" s="728" t="s">
        <v>880</v>
      </c>
      <c r="B20" s="729" t="s">
        <v>527</v>
      </c>
      <c r="C20" s="687">
        <v>0</v>
      </c>
      <c r="D20" s="687">
        <v>58750000</v>
      </c>
      <c r="E20" s="687">
        <v>0</v>
      </c>
      <c r="F20" s="687">
        <v>58750000</v>
      </c>
      <c r="G20" s="687">
        <v>0</v>
      </c>
      <c r="H20" s="730">
        <f t="shared" si="10"/>
        <v>61217.5</v>
      </c>
      <c r="I20" s="730">
        <f t="shared" si="11"/>
        <v>0</v>
      </c>
      <c r="J20" s="730">
        <f t="shared" si="12"/>
        <v>61217.5</v>
      </c>
      <c r="K20" s="730">
        <f t="shared" si="13"/>
        <v>0</v>
      </c>
      <c r="O20" s="729" t="s">
        <v>581</v>
      </c>
      <c r="P20" s="687">
        <v>820022</v>
      </c>
      <c r="Q20" s="730">
        <f t="shared" si="14"/>
        <v>854.46292400000004</v>
      </c>
      <c r="S20" s="729" t="s">
        <v>527</v>
      </c>
      <c r="T20" s="687">
        <v>58750000</v>
      </c>
      <c r="U20" s="687">
        <v>0</v>
      </c>
      <c r="V20" s="687">
        <v>0</v>
      </c>
      <c r="W20" s="687">
        <v>58750000</v>
      </c>
      <c r="X20" s="730">
        <f t="shared" si="15"/>
        <v>61217.5</v>
      </c>
      <c r="Y20" s="730">
        <f t="shared" si="16"/>
        <v>0</v>
      </c>
      <c r="Z20" s="730">
        <f t="shared" si="17"/>
        <v>0</v>
      </c>
      <c r="AA20" s="730">
        <f t="shared" si="18"/>
        <v>61217.5</v>
      </c>
      <c r="AC20" s="729" t="s">
        <v>342</v>
      </c>
      <c r="AD20" s="687">
        <v>7440567</v>
      </c>
      <c r="AE20" s="730">
        <f t="shared" si="19"/>
        <v>7753.0708140000006</v>
      </c>
      <c r="AG20" s="729" t="s">
        <v>527</v>
      </c>
      <c r="AH20" s="687">
        <v>58750000</v>
      </c>
      <c r="AI20" s="687">
        <v>15773070</v>
      </c>
      <c r="AJ20" s="687">
        <v>15773070</v>
      </c>
      <c r="AK20" s="687">
        <v>42976930</v>
      </c>
      <c r="AL20" s="687">
        <f t="shared" si="20"/>
        <v>61217.5</v>
      </c>
      <c r="AM20" s="687">
        <f t="shared" si="21"/>
        <v>16435.538939999999</v>
      </c>
      <c r="AN20" s="687">
        <f t="shared" si="22"/>
        <v>16435.538939999999</v>
      </c>
      <c r="AO20" s="687">
        <f t="shared" si="23"/>
        <v>44781.961060000001</v>
      </c>
      <c r="AR20" s="729" t="s">
        <v>581</v>
      </c>
      <c r="AS20" s="687">
        <v>738020</v>
      </c>
      <c r="AT20" s="687">
        <f t="shared" si="24"/>
        <v>769.01684</v>
      </c>
      <c r="AV20" s="729" t="s">
        <v>527</v>
      </c>
      <c r="AW20" s="687">
        <v>58750000</v>
      </c>
      <c r="AX20" s="687">
        <v>15773070</v>
      </c>
      <c r="AY20" s="687">
        <v>15773070</v>
      </c>
      <c r="AZ20" s="687">
        <v>42976930</v>
      </c>
      <c r="BA20" s="730">
        <f t="shared" si="25"/>
        <v>61217.5</v>
      </c>
      <c r="BB20" s="730">
        <f t="shared" si="26"/>
        <v>16435.538939999999</v>
      </c>
      <c r="BC20" s="730">
        <f t="shared" si="27"/>
        <v>16435.538939999999</v>
      </c>
      <c r="BD20" s="730">
        <f t="shared" si="28"/>
        <v>44781.961060000001</v>
      </c>
      <c r="BG20" s="754" t="s">
        <v>581</v>
      </c>
      <c r="BH20" s="687">
        <v>656018</v>
      </c>
      <c r="BI20" s="755">
        <f t="shared" si="29"/>
        <v>683.57075600000007</v>
      </c>
      <c r="BK20" s="754" t="s">
        <v>527</v>
      </c>
      <c r="BL20" s="687">
        <v>58750000</v>
      </c>
      <c r="BM20" s="687">
        <v>15773070</v>
      </c>
      <c r="BN20" s="687">
        <v>15773070</v>
      </c>
      <c r="BO20" s="687">
        <v>42976930</v>
      </c>
      <c r="BP20" s="687">
        <f t="shared" si="30"/>
        <v>61217.5</v>
      </c>
      <c r="BQ20" s="687">
        <f t="shared" si="31"/>
        <v>16435.538939999999</v>
      </c>
      <c r="BR20" s="687">
        <f t="shared" si="32"/>
        <v>16435.538939999999</v>
      </c>
      <c r="BS20" s="755">
        <f t="shared" si="33"/>
        <v>44781.961060000001</v>
      </c>
      <c r="BV20" s="729" t="s">
        <v>528</v>
      </c>
      <c r="BW20" s="687">
        <v>7936919</v>
      </c>
      <c r="BX20" s="730">
        <f t="shared" si="34"/>
        <v>8270.2695980000008</v>
      </c>
      <c r="BZ20" s="729" t="s">
        <v>527</v>
      </c>
      <c r="CA20" s="687">
        <v>58750000</v>
      </c>
      <c r="CB20" s="687">
        <v>30732355</v>
      </c>
      <c r="CC20" s="687">
        <v>30732355</v>
      </c>
      <c r="CD20" s="687">
        <v>28017645</v>
      </c>
      <c r="CE20" s="687">
        <f t="shared" si="35"/>
        <v>61217.5</v>
      </c>
      <c r="CF20" s="687">
        <f t="shared" si="36"/>
        <v>32023.11391</v>
      </c>
      <c r="CG20" s="687">
        <f t="shared" si="37"/>
        <v>32023.11391</v>
      </c>
      <c r="CH20" s="687">
        <f t="shared" si="38"/>
        <v>29194.38609</v>
      </c>
      <c r="CK20" s="731" t="s">
        <v>528</v>
      </c>
      <c r="CL20" s="730">
        <v>-1935</v>
      </c>
      <c r="CM20" s="730">
        <f t="shared" si="39"/>
        <v>-2.01627</v>
      </c>
      <c r="CP20" s="731" t="s">
        <v>527</v>
      </c>
      <c r="CQ20" s="730">
        <v>58750000</v>
      </c>
      <c r="CR20" s="730">
        <v>30728486</v>
      </c>
      <c r="CS20" s="730">
        <v>30728486</v>
      </c>
      <c r="CT20" s="730">
        <v>28021514</v>
      </c>
      <c r="CU20" s="730">
        <f t="shared" si="2"/>
        <v>61217.5</v>
      </c>
      <c r="CV20" s="730">
        <f t="shared" si="3"/>
        <v>32019.082412000003</v>
      </c>
      <c r="CW20" s="730">
        <f t="shared" si="4"/>
        <v>32019.082412000003</v>
      </c>
      <c r="CX20" s="730">
        <f t="shared" si="5"/>
        <v>29198.417588</v>
      </c>
      <c r="CZ20" s="731" t="s">
        <v>528</v>
      </c>
      <c r="DA20" s="730">
        <v>-6765</v>
      </c>
      <c r="DB20" s="730">
        <f t="shared" si="40"/>
        <v>-7.0491299999999999</v>
      </c>
      <c r="DE20" s="729" t="s">
        <v>527</v>
      </c>
      <c r="DF20" s="687">
        <v>58750000</v>
      </c>
      <c r="DG20" s="687">
        <v>30714956</v>
      </c>
      <c r="DH20" s="687">
        <v>30714956</v>
      </c>
      <c r="DI20" s="687">
        <v>28035044</v>
      </c>
      <c r="DJ20" s="730">
        <f t="shared" si="41"/>
        <v>61217.5</v>
      </c>
      <c r="DK20" s="730">
        <f t="shared" si="42"/>
        <v>32004.984152000001</v>
      </c>
      <c r="DL20" s="730">
        <f t="shared" si="43"/>
        <v>32004.984152000001</v>
      </c>
      <c r="DM20" s="730">
        <f t="shared" si="44"/>
        <v>29212.515848000003</v>
      </c>
      <c r="DP20" s="729" t="s">
        <v>528</v>
      </c>
      <c r="DQ20" s="687">
        <v>6930147</v>
      </c>
      <c r="DR20" s="730">
        <f t="shared" si="45"/>
        <v>6930.1469999999999</v>
      </c>
      <c r="DT20" s="729" t="s">
        <v>527</v>
      </c>
      <c r="DU20" s="687">
        <v>58750000</v>
      </c>
      <c r="DV20" s="687">
        <v>43604117</v>
      </c>
      <c r="DW20" s="687">
        <v>43604117</v>
      </c>
      <c r="DX20" s="687">
        <v>15145883</v>
      </c>
      <c r="DY20" s="730">
        <f t="shared" si="46"/>
        <v>58750</v>
      </c>
      <c r="DZ20" s="730">
        <f t="shared" si="47"/>
        <v>43604.116999999998</v>
      </c>
      <c r="EA20" s="730">
        <f t="shared" si="48"/>
        <v>43604.116999999998</v>
      </c>
      <c r="EB20" s="730">
        <f t="shared" si="49"/>
        <v>15145.883</v>
      </c>
      <c r="EE20" s="731" t="s">
        <v>529</v>
      </c>
      <c r="EF20" s="730">
        <v>7349510</v>
      </c>
      <c r="EG20" s="734">
        <f t="shared" si="50"/>
        <v>7349.51</v>
      </c>
      <c r="EI20" s="731" t="s">
        <v>526</v>
      </c>
      <c r="EJ20" s="730">
        <v>20170000</v>
      </c>
      <c r="EK20" s="730">
        <v>15040606</v>
      </c>
      <c r="EL20" s="730">
        <v>15040606</v>
      </c>
      <c r="EM20" s="734">
        <f t="shared" si="51"/>
        <v>20170</v>
      </c>
      <c r="EN20" s="734">
        <f t="shared" si="52"/>
        <v>15040.606</v>
      </c>
      <c r="EO20" s="734">
        <f t="shared" si="53"/>
        <v>15040.606</v>
      </c>
      <c r="ER20" s="729" t="s">
        <v>581</v>
      </c>
      <c r="ES20" s="687">
        <v>532113</v>
      </c>
      <c r="ET20" s="730">
        <f t="shared" si="54"/>
        <v>532.11300000000006</v>
      </c>
      <c r="EW20" s="729" t="s">
        <v>526</v>
      </c>
      <c r="EX20" s="687">
        <v>0</v>
      </c>
      <c r="EY20" s="687">
        <v>20170000</v>
      </c>
      <c r="EZ20" s="687">
        <v>16349627</v>
      </c>
      <c r="FA20" s="687">
        <v>16349627</v>
      </c>
      <c r="FB20" s="687">
        <v>3820373</v>
      </c>
      <c r="FC20" s="730">
        <f t="shared" si="55"/>
        <v>0</v>
      </c>
      <c r="FD20" s="730">
        <f t="shared" si="56"/>
        <v>20170</v>
      </c>
      <c r="FE20" s="730">
        <f t="shared" si="57"/>
        <v>16349.627</v>
      </c>
      <c r="FF20" s="730">
        <f t="shared" si="58"/>
        <v>16349.627</v>
      </c>
      <c r="FG20" s="730">
        <f t="shared" si="59"/>
        <v>3820.373</v>
      </c>
      <c r="FJ20" s="731" t="s">
        <v>528</v>
      </c>
      <c r="FK20" s="730">
        <v>6995521</v>
      </c>
      <c r="FL20" s="734">
        <f t="shared" si="60"/>
        <v>6995.5209999999997</v>
      </c>
      <c r="FN20" s="735" t="s">
        <v>527</v>
      </c>
      <c r="FO20" s="736">
        <v>56619780</v>
      </c>
      <c r="FP20" s="736">
        <v>56616704</v>
      </c>
      <c r="FQ20" s="736">
        <v>56616704</v>
      </c>
      <c r="FR20" s="736">
        <f t="shared" si="61"/>
        <v>56619.78</v>
      </c>
      <c r="FS20" s="736">
        <f t="shared" si="62"/>
        <v>56616.703999999998</v>
      </c>
      <c r="FT20" s="736">
        <f t="shared" si="63"/>
        <v>56616.703999999998</v>
      </c>
    </row>
    <row r="21" spans="1:176" ht="15" customHeight="1" x14ac:dyDescent="0.25">
      <c r="A21" s="728" t="s">
        <v>881</v>
      </c>
      <c r="B21" s="729" t="s">
        <v>528</v>
      </c>
      <c r="C21" s="687">
        <v>0</v>
      </c>
      <c r="D21" s="687">
        <v>30600000</v>
      </c>
      <c r="E21" s="687">
        <v>0</v>
      </c>
      <c r="F21" s="687">
        <v>30600000</v>
      </c>
      <c r="G21" s="687">
        <v>0</v>
      </c>
      <c r="H21" s="730">
        <f t="shared" si="10"/>
        <v>31885.200000000001</v>
      </c>
      <c r="I21" s="730">
        <f t="shared" si="11"/>
        <v>0</v>
      </c>
      <c r="J21" s="730">
        <f t="shared" si="12"/>
        <v>31885.200000000001</v>
      </c>
      <c r="K21" s="730">
        <f t="shared" si="13"/>
        <v>0</v>
      </c>
      <c r="O21" s="729" t="s">
        <v>347</v>
      </c>
      <c r="P21" s="687">
        <v>1136207264</v>
      </c>
      <c r="Q21" s="730">
        <f t="shared" si="14"/>
        <v>1183927.969088</v>
      </c>
      <c r="S21" s="729" t="s">
        <v>528</v>
      </c>
      <c r="T21" s="687">
        <v>30600000</v>
      </c>
      <c r="U21" s="687">
        <v>0</v>
      </c>
      <c r="V21" s="687">
        <v>0</v>
      </c>
      <c r="W21" s="687">
        <v>30600000</v>
      </c>
      <c r="X21" s="730">
        <f t="shared" si="15"/>
        <v>31885.200000000001</v>
      </c>
      <c r="Y21" s="730">
        <f t="shared" si="16"/>
        <v>0</v>
      </c>
      <c r="Z21" s="730">
        <f t="shared" si="17"/>
        <v>0</v>
      </c>
      <c r="AA21" s="730">
        <f t="shared" si="18"/>
        <v>31885.200000000001</v>
      </c>
      <c r="AC21" s="729" t="s">
        <v>343</v>
      </c>
      <c r="AD21" s="687">
        <v>7448258</v>
      </c>
      <c r="AE21" s="730">
        <f t="shared" si="19"/>
        <v>7761.084836</v>
      </c>
      <c r="AG21" s="729" t="s">
        <v>528</v>
      </c>
      <c r="AH21" s="687">
        <v>30600000</v>
      </c>
      <c r="AI21" s="687">
        <v>8332503</v>
      </c>
      <c r="AJ21" s="687">
        <v>8332503</v>
      </c>
      <c r="AK21" s="687">
        <v>22267497</v>
      </c>
      <c r="AL21" s="687">
        <f t="shared" si="20"/>
        <v>31885.200000000001</v>
      </c>
      <c r="AM21" s="687">
        <f t="shared" si="21"/>
        <v>8682.4681260000016</v>
      </c>
      <c r="AN21" s="687">
        <f t="shared" si="22"/>
        <v>8682.4681260000016</v>
      </c>
      <c r="AO21" s="687">
        <f t="shared" si="23"/>
        <v>23202.731874000001</v>
      </c>
      <c r="AR21" s="729" t="s">
        <v>347</v>
      </c>
      <c r="AS21" s="687">
        <v>1165209570</v>
      </c>
      <c r="AT21" s="687">
        <f t="shared" si="24"/>
        <v>1214148.3719400002</v>
      </c>
      <c r="AV21" s="729" t="s">
        <v>528</v>
      </c>
      <c r="AW21" s="687">
        <v>30600000</v>
      </c>
      <c r="AX21" s="687">
        <v>8332503</v>
      </c>
      <c r="AY21" s="687">
        <v>8332503</v>
      </c>
      <c r="AZ21" s="687">
        <v>22267497</v>
      </c>
      <c r="BA21" s="730">
        <f t="shared" si="25"/>
        <v>31885.200000000001</v>
      </c>
      <c r="BB21" s="730">
        <f t="shared" si="26"/>
        <v>8682.4681260000016</v>
      </c>
      <c r="BC21" s="730">
        <f t="shared" si="27"/>
        <v>8682.4681260000016</v>
      </c>
      <c r="BD21" s="730">
        <f t="shared" si="28"/>
        <v>23202.731874000001</v>
      </c>
      <c r="BG21" s="754" t="s">
        <v>347</v>
      </c>
      <c r="BH21" s="687">
        <v>1156670301</v>
      </c>
      <c r="BI21" s="755">
        <f t="shared" si="29"/>
        <v>1205250.453642</v>
      </c>
      <c r="BK21" s="754" t="s">
        <v>528</v>
      </c>
      <c r="BL21" s="687">
        <v>30600000</v>
      </c>
      <c r="BM21" s="687">
        <v>8332503</v>
      </c>
      <c r="BN21" s="687">
        <v>8332503</v>
      </c>
      <c r="BO21" s="687">
        <v>22267497</v>
      </c>
      <c r="BP21" s="687">
        <f t="shared" si="30"/>
        <v>31885.200000000001</v>
      </c>
      <c r="BQ21" s="687">
        <f t="shared" si="31"/>
        <v>8682.4681260000016</v>
      </c>
      <c r="BR21" s="687">
        <f t="shared" si="32"/>
        <v>8682.4681260000016</v>
      </c>
      <c r="BS21" s="755">
        <f t="shared" si="33"/>
        <v>23202.731874000001</v>
      </c>
      <c r="BV21" s="729" t="s">
        <v>342</v>
      </c>
      <c r="BW21" s="687">
        <v>7022366</v>
      </c>
      <c r="BX21" s="730">
        <f t="shared" si="34"/>
        <v>7317.3053719999998</v>
      </c>
      <c r="BZ21" s="729" t="s">
        <v>528</v>
      </c>
      <c r="CA21" s="687">
        <v>30600000</v>
      </c>
      <c r="CB21" s="687">
        <v>16269422</v>
      </c>
      <c r="CC21" s="687">
        <v>16269422</v>
      </c>
      <c r="CD21" s="687">
        <v>14330578</v>
      </c>
      <c r="CE21" s="687">
        <f t="shared" si="35"/>
        <v>31885.200000000001</v>
      </c>
      <c r="CF21" s="687">
        <f t="shared" si="36"/>
        <v>16952.737724000002</v>
      </c>
      <c r="CG21" s="687">
        <f t="shared" si="37"/>
        <v>16952.737724000002</v>
      </c>
      <c r="CH21" s="687">
        <f t="shared" si="38"/>
        <v>14932.462276</v>
      </c>
      <c r="CK21" s="731" t="s">
        <v>342</v>
      </c>
      <c r="CL21" s="730">
        <v>-1934</v>
      </c>
      <c r="CM21" s="730">
        <f t="shared" si="39"/>
        <v>-2.015228</v>
      </c>
      <c r="CP21" s="731" t="s">
        <v>528</v>
      </c>
      <c r="CQ21" s="730">
        <v>30600000</v>
      </c>
      <c r="CR21" s="730">
        <v>16267487</v>
      </c>
      <c r="CS21" s="730">
        <v>16267487</v>
      </c>
      <c r="CT21" s="730">
        <v>14332513</v>
      </c>
      <c r="CU21" s="730">
        <f t="shared" si="2"/>
        <v>31885.200000000001</v>
      </c>
      <c r="CV21" s="730">
        <f t="shared" si="3"/>
        <v>16950.721453999999</v>
      </c>
      <c r="CW21" s="730">
        <f t="shared" si="4"/>
        <v>16950.721453999999</v>
      </c>
      <c r="CX21" s="730">
        <f t="shared" si="5"/>
        <v>14934.478546000002</v>
      </c>
      <c r="CZ21" s="731" t="s">
        <v>342</v>
      </c>
      <c r="DA21" s="730">
        <v>-6765</v>
      </c>
      <c r="DB21" s="730">
        <f t="shared" si="40"/>
        <v>-7.0491299999999999</v>
      </c>
      <c r="DE21" s="729" t="s">
        <v>528</v>
      </c>
      <c r="DF21" s="687">
        <v>30600000</v>
      </c>
      <c r="DG21" s="687">
        <v>16260722</v>
      </c>
      <c r="DH21" s="687">
        <v>16260722</v>
      </c>
      <c r="DI21" s="687">
        <v>14339278</v>
      </c>
      <c r="DJ21" s="730">
        <f t="shared" si="41"/>
        <v>31885.200000000001</v>
      </c>
      <c r="DK21" s="730">
        <f t="shared" si="42"/>
        <v>16943.672323999999</v>
      </c>
      <c r="DL21" s="730">
        <f t="shared" si="43"/>
        <v>16943.672323999999</v>
      </c>
      <c r="DM21" s="730">
        <f t="shared" si="44"/>
        <v>14941.527676000002</v>
      </c>
      <c r="DP21" s="729" t="s">
        <v>342</v>
      </c>
      <c r="DQ21" s="687">
        <v>5959014</v>
      </c>
      <c r="DR21" s="730">
        <f t="shared" si="45"/>
        <v>5959.0140000000001</v>
      </c>
      <c r="DT21" s="729" t="s">
        <v>528</v>
      </c>
      <c r="DU21" s="687">
        <v>30600000</v>
      </c>
      <c r="DV21" s="687">
        <v>23190869</v>
      </c>
      <c r="DW21" s="687">
        <v>23190869</v>
      </c>
      <c r="DX21" s="687">
        <v>7409131</v>
      </c>
      <c r="DY21" s="730">
        <f t="shared" si="46"/>
        <v>30600</v>
      </c>
      <c r="DZ21" s="730">
        <f t="shared" si="47"/>
        <v>23190.868999999999</v>
      </c>
      <c r="EA21" s="730">
        <f t="shared" si="48"/>
        <v>23190.868999999999</v>
      </c>
      <c r="EB21" s="730">
        <f t="shared" si="49"/>
        <v>7409.1310000000003</v>
      </c>
      <c r="EE21" s="731" t="s">
        <v>581</v>
      </c>
      <c r="EF21" s="730">
        <v>923017</v>
      </c>
      <c r="EG21" s="734">
        <f t="shared" si="50"/>
        <v>923.01700000000005</v>
      </c>
      <c r="EI21" s="731" t="s">
        <v>527</v>
      </c>
      <c r="EJ21" s="730">
        <v>58750000</v>
      </c>
      <c r="EK21" s="730">
        <v>43604117</v>
      </c>
      <c r="EL21" s="730">
        <v>43604117</v>
      </c>
      <c r="EM21" s="734">
        <f t="shared" si="51"/>
        <v>58750</v>
      </c>
      <c r="EN21" s="734">
        <f t="shared" si="52"/>
        <v>43604.116999999998</v>
      </c>
      <c r="EO21" s="734">
        <f t="shared" si="53"/>
        <v>43604.116999999998</v>
      </c>
      <c r="ER21" s="729" t="s">
        <v>347</v>
      </c>
      <c r="ES21" s="687">
        <v>1172015908</v>
      </c>
      <c r="ET21" s="730">
        <f t="shared" si="54"/>
        <v>1172015.9080000001</v>
      </c>
      <c r="EW21" s="729" t="s">
        <v>527</v>
      </c>
      <c r="EX21" s="687">
        <v>0</v>
      </c>
      <c r="EY21" s="687">
        <v>58750000</v>
      </c>
      <c r="EZ21" s="687">
        <v>43604117</v>
      </c>
      <c r="FA21" s="687">
        <v>43604117</v>
      </c>
      <c r="FB21" s="687">
        <v>15145883</v>
      </c>
      <c r="FC21" s="730">
        <f t="shared" si="55"/>
        <v>0</v>
      </c>
      <c r="FD21" s="730">
        <f t="shared" si="56"/>
        <v>58750</v>
      </c>
      <c r="FE21" s="730">
        <f t="shared" si="57"/>
        <v>43604.116999999998</v>
      </c>
      <c r="FF21" s="730">
        <f t="shared" si="58"/>
        <v>43604.116999999998</v>
      </c>
      <c r="FG21" s="730">
        <f t="shared" si="59"/>
        <v>15145.883</v>
      </c>
      <c r="FJ21" s="731" t="s">
        <v>342</v>
      </c>
      <c r="FK21" s="730">
        <v>6017066</v>
      </c>
      <c r="FL21" s="734">
        <f t="shared" si="60"/>
        <v>6017.0659999999998</v>
      </c>
      <c r="FN21" s="735" t="s">
        <v>528</v>
      </c>
      <c r="FO21" s="736">
        <v>30187928</v>
      </c>
      <c r="FP21" s="736">
        <v>30186390</v>
      </c>
      <c r="FQ21" s="736">
        <v>30186390</v>
      </c>
      <c r="FR21" s="736">
        <f t="shared" si="61"/>
        <v>30187.928</v>
      </c>
      <c r="FS21" s="736">
        <f t="shared" si="62"/>
        <v>30186.39</v>
      </c>
      <c r="FT21" s="736">
        <f t="shared" si="63"/>
        <v>30186.39</v>
      </c>
    </row>
    <row r="22" spans="1:176" ht="15" customHeight="1" x14ac:dyDescent="0.25">
      <c r="A22" s="728" t="s">
        <v>881</v>
      </c>
      <c r="B22" s="729" t="s">
        <v>342</v>
      </c>
      <c r="C22" s="687">
        <v>0</v>
      </c>
      <c r="D22" s="687">
        <v>28150000</v>
      </c>
      <c r="E22" s="687">
        <v>0</v>
      </c>
      <c r="F22" s="687">
        <v>28150000</v>
      </c>
      <c r="G22" s="687">
        <v>0</v>
      </c>
      <c r="H22" s="730">
        <f t="shared" si="10"/>
        <v>29332.3</v>
      </c>
      <c r="I22" s="730">
        <f t="shared" si="11"/>
        <v>0</v>
      </c>
      <c r="J22" s="730">
        <f t="shared" si="12"/>
        <v>29332.3</v>
      </c>
      <c r="K22" s="730">
        <f t="shared" si="13"/>
        <v>0</v>
      </c>
      <c r="O22" s="729" t="s">
        <v>348</v>
      </c>
      <c r="P22" s="687">
        <v>1058999566</v>
      </c>
      <c r="Q22" s="730">
        <f t="shared" si="14"/>
        <v>1103477.5477720001</v>
      </c>
      <c r="S22" s="729" t="s">
        <v>342</v>
      </c>
      <c r="T22" s="687">
        <v>28150000</v>
      </c>
      <c r="U22" s="687">
        <v>0</v>
      </c>
      <c r="V22" s="687">
        <v>0</v>
      </c>
      <c r="W22" s="687">
        <v>28150000</v>
      </c>
      <c r="X22" s="730">
        <f t="shared" si="15"/>
        <v>29332.3</v>
      </c>
      <c r="Y22" s="730">
        <f t="shared" si="16"/>
        <v>0</v>
      </c>
      <c r="Z22" s="730">
        <f t="shared" si="17"/>
        <v>0</v>
      </c>
      <c r="AA22" s="730">
        <f t="shared" si="18"/>
        <v>29332.3</v>
      </c>
      <c r="AC22" s="729" t="s">
        <v>529</v>
      </c>
      <c r="AD22" s="687">
        <v>7349855</v>
      </c>
      <c r="AE22" s="730">
        <f t="shared" si="19"/>
        <v>7658.5489099999995</v>
      </c>
      <c r="AG22" s="729" t="s">
        <v>342</v>
      </c>
      <c r="AH22" s="687">
        <v>28150000</v>
      </c>
      <c r="AI22" s="687">
        <v>7440567</v>
      </c>
      <c r="AJ22" s="687">
        <v>7440567</v>
      </c>
      <c r="AK22" s="687">
        <v>20709433</v>
      </c>
      <c r="AL22" s="687">
        <f t="shared" si="20"/>
        <v>29332.3</v>
      </c>
      <c r="AM22" s="687">
        <f t="shared" si="21"/>
        <v>7753.0708140000006</v>
      </c>
      <c r="AN22" s="687">
        <f t="shared" si="22"/>
        <v>7753.0708140000006</v>
      </c>
      <c r="AO22" s="687">
        <f t="shared" si="23"/>
        <v>21579.229186</v>
      </c>
      <c r="AR22" s="729" t="s">
        <v>348</v>
      </c>
      <c r="AS22" s="687">
        <v>1083092522</v>
      </c>
      <c r="AT22" s="687">
        <f t="shared" si="24"/>
        <v>1128582.4079240002</v>
      </c>
      <c r="AV22" s="729" t="s">
        <v>342</v>
      </c>
      <c r="AW22" s="687">
        <v>28150000</v>
      </c>
      <c r="AX22" s="687">
        <v>7440567</v>
      </c>
      <c r="AY22" s="687">
        <v>7440567</v>
      </c>
      <c r="AZ22" s="687">
        <v>20709433</v>
      </c>
      <c r="BA22" s="730">
        <f t="shared" si="25"/>
        <v>29332.3</v>
      </c>
      <c r="BB22" s="730">
        <f t="shared" si="26"/>
        <v>7753.0708140000006</v>
      </c>
      <c r="BC22" s="730">
        <f t="shared" si="27"/>
        <v>7753.0708140000006</v>
      </c>
      <c r="BD22" s="730">
        <f t="shared" si="28"/>
        <v>21579.229186</v>
      </c>
      <c r="BG22" s="754" t="s">
        <v>348</v>
      </c>
      <c r="BH22" s="687">
        <v>1079853571</v>
      </c>
      <c r="BI22" s="755">
        <f t="shared" si="29"/>
        <v>1125207.420982</v>
      </c>
      <c r="BK22" s="754" t="s">
        <v>342</v>
      </c>
      <c r="BL22" s="687">
        <v>28150000</v>
      </c>
      <c r="BM22" s="687">
        <v>7440567</v>
      </c>
      <c r="BN22" s="687">
        <v>7440567</v>
      </c>
      <c r="BO22" s="687">
        <v>20709433</v>
      </c>
      <c r="BP22" s="687">
        <f t="shared" si="30"/>
        <v>29332.3</v>
      </c>
      <c r="BQ22" s="687">
        <f t="shared" si="31"/>
        <v>7753.0708140000006</v>
      </c>
      <c r="BR22" s="687">
        <f t="shared" si="32"/>
        <v>7753.0708140000006</v>
      </c>
      <c r="BS22" s="755">
        <f t="shared" si="33"/>
        <v>21579.229186</v>
      </c>
      <c r="BV22" s="729" t="s">
        <v>343</v>
      </c>
      <c r="BW22" s="687">
        <v>8104275</v>
      </c>
      <c r="BX22" s="730">
        <f t="shared" si="34"/>
        <v>8444.6545499999993</v>
      </c>
      <c r="BZ22" s="729" t="s">
        <v>342</v>
      </c>
      <c r="CA22" s="687">
        <v>28150000</v>
      </c>
      <c r="CB22" s="687">
        <v>14462933</v>
      </c>
      <c r="CC22" s="687">
        <v>14462933</v>
      </c>
      <c r="CD22" s="687">
        <v>13687067</v>
      </c>
      <c r="CE22" s="687">
        <f t="shared" si="35"/>
        <v>29332.3</v>
      </c>
      <c r="CF22" s="687">
        <f t="shared" si="36"/>
        <v>15070.376186000001</v>
      </c>
      <c r="CG22" s="687">
        <f t="shared" si="37"/>
        <v>15070.376186000001</v>
      </c>
      <c r="CH22" s="687">
        <f t="shared" si="38"/>
        <v>14261.923814</v>
      </c>
      <c r="CK22" s="731" t="s">
        <v>343</v>
      </c>
      <c r="CL22" s="730">
        <v>7759408</v>
      </c>
      <c r="CM22" s="730">
        <f t="shared" si="39"/>
        <v>8085.3031360000004</v>
      </c>
      <c r="CP22" s="731" t="s">
        <v>342</v>
      </c>
      <c r="CQ22" s="730">
        <v>28150000</v>
      </c>
      <c r="CR22" s="730">
        <v>14460999</v>
      </c>
      <c r="CS22" s="730">
        <v>14460999</v>
      </c>
      <c r="CT22" s="730">
        <v>13689001</v>
      </c>
      <c r="CU22" s="730">
        <f t="shared" si="2"/>
        <v>29332.3</v>
      </c>
      <c r="CV22" s="730">
        <f t="shared" si="3"/>
        <v>15068.360958000001</v>
      </c>
      <c r="CW22" s="730">
        <f t="shared" si="4"/>
        <v>15068.360958000001</v>
      </c>
      <c r="CX22" s="730">
        <f t="shared" si="5"/>
        <v>14263.939042</v>
      </c>
      <c r="CZ22" s="731" t="s">
        <v>343</v>
      </c>
      <c r="DA22" s="730">
        <v>8084800</v>
      </c>
      <c r="DB22" s="730">
        <f t="shared" si="40"/>
        <v>8424.3616000000002</v>
      </c>
      <c r="DE22" s="729" t="s">
        <v>342</v>
      </c>
      <c r="DF22" s="687">
        <v>28150000</v>
      </c>
      <c r="DG22" s="687">
        <v>14454234</v>
      </c>
      <c r="DH22" s="687">
        <v>14454234</v>
      </c>
      <c r="DI22" s="687">
        <v>13695766</v>
      </c>
      <c r="DJ22" s="730">
        <f t="shared" si="41"/>
        <v>29332.3</v>
      </c>
      <c r="DK22" s="730">
        <f t="shared" si="42"/>
        <v>15061.311828000002</v>
      </c>
      <c r="DL22" s="730">
        <f t="shared" si="43"/>
        <v>15061.311828000002</v>
      </c>
      <c r="DM22" s="730">
        <f t="shared" si="44"/>
        <v>14270.988171999999</v>
      </c>
      <c r="DP22" s="729" t="s">
        <v>343</v>
      </c>
      <c r="DQ22" s="687">
        <v>7827847</v>
      </c>
      <c r="DR22" s="730">
        <f t="shared" si="45"/>
        <v>7827.8469999999998</v>
      </c>
      <c r="DT22" s="729" t="s">
        <v>342</v>
      </c>
      <c r="DU22" s="687">
        <v>28150000</v>
      </c>
      <c r="DV22" s="687">
        <v>20413248</v>
      </c>
      <c r="DW22" s="687">
        <v>20413248</v>
      </c>
      <c r="DX22" s="687">
        <v>7736752</v>
      </c>
      <c r="DY22" s="730">
        <f t="shared" si="46"/>
        <v>28150</v>
      </c>
      <c r="DZ22" s="730">
        <f t="shared" si="47"/>
        <v>20413.248</v>
      </c>
      <c r="EA22" s="730">
        <f t="shared" si="48"/>
        <v>20413.248</v>
      </c>
      <c r="EB22" s="730">
        <f t="shared" si="49"/>
        <v>7736.7520000000004</v>
      </c>
      <c r="EE22" s="731" t="s">
        <v>347</v>
      </c>
      <c r="EF22" s="730">
        <v>1166134736</v>
      </c>
      <c r="EG22" s="734">
        <f t="shared" si="50"/>
        <v>1166134.736</v>
      </c>
      <c r="EI22" s="731" t="s">
        <v>528</v>
      </c>
      <c r="EJ22" s="730">
        <v>30600000</v>
      </c>
      <c r="EK22" s="730">
        <v>23190869</v>
      </c>
      <c r="EL22" s="730">
        <v>23190869</v>
      </c>
      <c r="EM22" s="734">
        <f t="shared" si="51"/>
        <v>30600</v>
      </c>
      <c r="EN22" s="734">
        <f t="shared" si="52"/>
        <v>23190.868999999999</v>
      </c>
      <c r="EO22" s="734">
        <f t="shared" si="53"/>
        <v>23190.868999999999</v>
      </c>
      <c r="ER22" s="729" t="s">
        <v>348</v>
      </c>
      <c r="ES22" s="687">
        <v>1090253099</v>
      </c>
      <c r="ET22" s="730">
        <f t="shared" si="54"/>
        <v>1090253.0989999999</v>
      </c>
      <c r="EW22" s="729" t="s">
        <v>528</v>
      </c>
      <c r="EX22" s="687">
        <v>0</v>
      </c>
      <c r="EY22" s="687">
        <v>30600000</v>
      </c>
      <c r="EZ22" s="687">
        <v>23190869</v>
      </c>
      <c r="FA22" s="687">
        <v>23190869</v>
      </c>
      <c r="FB22" s="687">
        <v>7409131</v>
      </c>
      <c r="FC22" s="730">
        <f t="shared" si="55"/>
        <v>0</v>
      </c>
      <c r="FD22" s="730">
        <f t="shared" si="56"/>
        <v>30600</v>
      </c>
      <c r="FE22" s="730">
        <f t="shared" si="57"/>
        <v>23190.868999999999</v>
      </c>
      <c r="FF22" s="730">
        <f t="shared" si="58"/>
        <v>23190.868999999999</v>
      </c>
      <c r="FG22" s="730">
        <f t="shared" si="59"/>
        <v>7409.1310000000003</v>
      </c>
      <c r="FJ22" s="731" t="s">
        <v>343</v>
      </c>
      <c r="FK22" s="730">
        <v>7684307</v>
      </c>
      <c r="FL22" s="734">
        <f t="shared" si="60"/>
        <v>7684.3069999999998</v>
      </c>
      <c r="FN22" s="735" t="s">
        <v>342</v>
      </c>
      <c r="FO22" s="736">
        <v>26431852</v>
      </c>
      <c r="FP22" s="736">
        <v>26430314</v>
      </c>
      <c r="FQ22" s="736">
        <v>26430314</v>
      </c>
      <c r="FR22" s="736">
        <f t="shared" si="61"/>
        <v>26431.851999999999</v>
      </c>
      <c r="FS22" s="736">
        <f t="shared" si="62"/>
        <v>26430.313999999998</v>
      </c>
      <c r="FT22" s="736">
        <f t="shared" si="63"/>
        <v>26430.313999999998</v>
      </c>
    </row>
    <row r="23" spans="1:176" ht="15" customHeight="1" x14ac:dyDescent="0.25">
      <c r="A23" s="728" t="s">
        <v>880</v>
      </c>
      <c r="B23" s="729" t="s">
        <v>343</v>
      </c>
      <c r="C23" s="687">
        <v>0</v>
      </c>
      <c r="D23" s="687">
        <v>208653500</v>
      </c>
      <c r="E23" s="687">
        <v>9687875</v>
      </c>
      <c r="F23" s="687">
        <v>198965625</v>
      </c>
      <c r="G23" s="687">
        <v>9687875</v>
      </c>
      <c r="H23" s="730">
        <f t="shared" si="10"/>
        <v>217416.94700000001</v>
      </c>
      <c r="I23" s="730">
        <f t="shared" si="11"/>
        <v>10094.76575</v>
      </c>
      <c r="J23" s="730">
        <f t="shared" si="12"/>
        <v>207322.18124999999</v>
      </c>
      <c r="K23" s="730">
        <f t="shared" si="13"/>
        <v>10094.76575</v>
      </c>
      <c r="O23" s="729" t="s">
        <v>349</v>
      </c>
      <c r="P23" s="687">
        <v>253519784</v>
      </c>
      <c r="Q23" s="730">
        <f t="shared" si="14"/>
        <v>264167.61492800002</v>
      </c>
      <c r="S23" s="729" t="s">
        <v>343</v>
      </c>
      <c r="T23" s="687">
        <v>211153500</v>
      </c>
      <c r="U23" s="687">
        <v>17857752</v>
      </c>
      <c r="V23" s="687">
        <v>17857752</v>
      </c>
      <c r="W23" s="687">
        <v>193295748</v>
      </c>
      <c r="X23" s="730">
        <f t="shared" si="15"/>
        <v>220021.94700000001</v>
      </c>
      <c r="Y23" s="730">
        <f t="shared" si="16"/>
        <v>18607.777583999999</v>
      </c>
      <c r="Z23" s="730">
        <f t="shared" si="17"/>
        <v>18607.777583999999</v>
      </c>
      <c r="AA23" s="730">
        <f t="shared" si="18"/>
        <v>201414.16941599999</v>
      </c>
      <c r="AC23" s="729" t="s">
        <v>581</v>
      </c>
      <c r="AD23" s="687">
        <v>98403</v>
      </c>
      <c r="AE23" s="730">
        <f t="shared" si="19"/>
        <v>102.535926</v>
      </c>
      <c r="AG23" s="729" t="s">
        <v>343</v>
      </c>
      <c r="AH23" s="687">
        <v>211153500</v>
      </c>
      <c r="AI23" s="687">
        <v>25306010</v>
      </c>
      <c r="AJ23" s="687">
        <v>25306010</v>
      </c>
      <c r="AK23" s="687">
        <v>185847490</v>
      </c>
      <c r="AL23" s="687">
        <f t="shared" si="20"/>
        <v>220021.94700000001</v>
      </c>
      <c r="AM23" s="687">
        <f t="shared" si="21"/>
        <v>26368.862419999998</v>
      </c>
      <c r="AN23" s="687">
        <f t="shared" si="22"/>
        <v>26368.862419999998</v>
      </c>
      <c r="AO23" s="687">
        <f t="shared" si="23"/>
        <v>193653.08458</v>
      </c>
      <c r="AR23" s="729" t="s">
        <v>349</v>
      </c>
      <c r="AS23" s="687">
        <v>258085286</v>
      </c>
      <c r="AT23" s="687">
        <f t="shared" si="24"/>
        <v>268924.86801199999</v>
      </c>
      <c r="AV23" s="729" t="s">
        <v>343</v>
      </c>
      <c r="AW23" s="687">
        <v>211353500</v>
      </c>
      <c r="AX23" s="687">
        <v>33393885</v>
      </c>
      <c r="AY23" s="687">
        <v>33393885</v>
      </c>
      <c r="AZ23" s="687">
        <v>177959615</v>
      </c>
      <c r="BA23" s="730">
        <f t="shared" si="25"/>
        <v>220230.34700000001</v>
      </c>
      <c r="BB23" s="730">
        <f t="shared" si="26"/>
        <v>34796.428170000007</v>
      </c>
      <c r="BC23" s="730">
        <f t="shared" si="27"/>
        <v>34796.428170000007</v>
      </c>
      <c r="BD23" s="730">
        <f t="shared" si="28"/>
        <v>185433.91883000001</v>
      </c>
      <c r="BG23" s="754" t="s">
        <v>349</v>
      </c>
      <c r="BH23" s="687">
        <v>258233330</v>
      </c>
      <c r="BI23" s="755">
        <f t="shared" si="29"/>
        <v>269079.12985999999</v>
      </c>
      <c r="BK23" s="754" t="s">
        <v>343</v>
      </c>
      <c r="BL23" s="687">
        <v>210653500</v>
      </c>
      <c r="BM23" s="687">
        <v>41399758</v>
      </c>
      <c r="BN23" s="687">
        <v>41399758</v>
      </c>
      <c r="BO23" s="687">
        <v>169253742</v>
      </c>
      <c r="BP23" s="687">
        <f t="shared" si="30"/>
        <v>219500.94700000001</v>
      </c>
      <c r="BQ23" s="687">
        <f t="shared" si="31"/>
        <v>43138.547836000005</v>
      </c>
      <c r="BR23" s="687">
        <f t="shared" si="32"/>
        <v>43138.547836000005</v>
      </c>
      <c r="BS23" s="755">
        <f t="shared" si="33"/>
        <v>176362.399164</v>
      </c>
      <c r="BV23" s="729" t="s">
        <v>529</v>
      </c>
      <c r="BW23" s="687">
        <v>7349855</v>
      </c>
      <c r="BX23" s="730">
        <f t="shared" si="34"/>
        <v>7658.5489099999995</v>
      </c>
      <c r="BZ23" s="729" t="s">
        <v>343</v>
      </c>
      <c r="CA23" s="687">
        <v>210371766</v>
      </c>
      <c r="CB23" s="687">
        <v>49504033</v>
      </c>
      <c r="CC23" s="687">
        <v>49504033</v>
      </c>
      <c r="CD23" s="687">
        <v>160867733</v>
      </c>
      <c r="CE23" s="687">
        <f t="shared" si="35"/>
        <v>219207.380172</v>
      </c>
      <c r="CF23" s="687">
        <f t="shared" si="36"/>
        <v>51583.202386000004</v>
      </c>
      <c r="CG23" s="687">
        <f t="shared" si="37"/>
        <v>51583.202386000004</v>
      </c>
      <c r="CH23" s="687">
        <f t="shared" si="38"/>
        <v>167624.17778600001</v>
      </c>
      <c r="CK23" s="731" t="s">
        <v>529</v>
      </c>
      <c r="CL23" s="730">
        <v>7347921</v>
      </c>
      <c r="CM23" s="730">
        <f t="shared" si="39"/>
        <v>7656.5336820000002</v>
      </c>
      <c r="CP23" s="731" t="s">
        <v>343</v>
      </c>
      <c r="CQ23" s="730">
        <v>210802500</v>
      </c>
      <c r="CR23" s="730">
        <v>57263441</v>
      </c>
      <c r="CS23" s="730">
        <v>57263441</v>
      </c>
      <c r="CT23" s="730">
        <v>153539059</v>
      </c>
      <c r="CU23" s="730">
        <f t="shared" si="2"/>
        <v>219656.20500000002</v>
      </c>
      <c r="CV23" s="730">
        <f t="shared" si="3"/>
        <v>59668.505521999999</v>
      </c>
      <c r="CW23" s="730">
        <f t="shared" si="4"/>
        <v>59668.505521999999</v>
      </c>
      <c r="CX23" s="730">
        <f t="shared" si="5"/>
        <v>159987.69947800002</v>
      </c>
      <c r="CZ23" s="731" t="s">
        <v>529</v>
      </c>
      <c r="DA23" s="730">
        <v>7343090</v>
      </c>
      <c r="DB23" s="730">
        <f t="shared" si="40"/>
        <v>7651.4997800000001</v>
      </c>
      <c r="DE23" s="729" t="s">
        <v>343</v>
      </c>
      <c r="DF23" s="687">
        <v>211918500</v>
      </c>
      <c r="DG23" s="687">
        <v>65348241</v>
      </c>
      <c r="DH23" s="687">
        <v>65348241</v>
      </c>
      <c r="DI23" s="687">
        <v>146570259</v>
      </c>
      <c r="DJ23" s="730">
        <f t="shared" si="41"/>
        <v>220819.07700000002</v>
      </c>
      <c r="DK23" s="730">
        <f t="shared" si="42"/>
        <v>68092.867122000011</v>
      </c>
      <c r="DL23" s="730">
        <f t="shared" si="43"/>
        <v>68092.867122000011</v>
      </c>
      <c r="DM23" s="730">
        <f t="shared" si="44"/>
        <v>152726.20987799999</v>
      </c>
      <c r="DP23" s="729" t="s">
        <v>529</v>
      </c>
      <c r="DQ23" s="687">
        <v>7349855</v>
      </c>
      <c r="DR23" s="730">
        <f t="shared" si="45"/>
        <v>7349.8549999999996</v>
      </c>
      <c r="DT23" s="729" t="s">
        <v>343</v>
      </c>
      <c r="DU23" s="687">
        <v>212237500</v>
      </c>
      <c r="DV23" s="687">
        <v>73176088</v>
      </c>
      <c r="DW23" s="687">
        <v>73176088</v>
      </c>
      <c r="DX23" s="687">
        <v>139061412</v>
      </c>
      <c r="DY23" s="730">
        <f t="shared" si="46"/>
        <v>212237.5</v>
      </c>
      <c r="DZ23" s="730">
        <f t="shared" si="47"/>
        <v>73176.088000000003</v>
      </c>
      <c r="EA23" s="730">
        <f t="shared" si="48"/>
        <v>73176.088000000003</v>
      </c>
      <c r="EB23" s="730">
        <f t="shared" si="49"/>
        <v>139061.41200000001</v>
      </c>
      <c r="EE23" s="731" t="s">
        <v>348</v>
      </c>
      <c r="EF23" s="730">
        <v>1089682361</v>
      </c>
      <c r="EG23" s="734">
        <f t="shared" si="50"/>
        <v>1089682.361</v>
      </c>
      <c r="EI23" s="731" t="s">
        <v>342</v>
      </c>
      <c r="EJ23" s="730">
        <v>28150000</v>
      </c>
      <c r="EK23" s="730">
        <v>20413248</v>
      </c>
      <c r="EL23" s="730">
        <v>20413248</v>
      </c>
      <c r="EM23" s="734">
        <f t="shared" si="51"/>
        <v>28150</v>
      </c>
      <c r="EN23" s="734">
        <f t="shared" si="52"/>
        <v>20413.248</v>
      </c>
      <c r="EO23" s="734">
        <f t="shared" si="53"/>
        <v>20413.248</v>
      </c>
      <c r="ER23" s="729" t="s">
        <v>349</v>
      </c>
      <c r="ES23" s="687">
        <v>261171514</v>
      </c>
      <c r="ET23" s="730">
        <f t="shared" si="54"/>
        <v>261171.514</v>
      </c>
      <c r="EW23" s="729" t="s">
        <v>342</v>
      </c>
      <c r="EX23" s="687">
        <v>0</v>
      </c>
      <c r="EY23" s="687">
        <v>28150000</v>
      </c>
      <c r="EZ23" s="687">
        <v>20413248</v>
      </c>
      <c r="FA23" s="687">
        <v>20413248</v>
      </c>
      <c r="FB23" s="687">
        <v>7736752</v>
      </c>
      <c r="FC23" s="730">
        <f t="shared" si="55"/>
        <v>0</v>
      </c>
      <c r="FD23" s="730">
        <f t="shared" si="56"/>
        <v>28150</v>
      </c>
      <c r="FE23" s="730">
        <f t="shared" si="57"/>
        <v>20413.248</v>
      </c>
      <c r="FF23" s="730">
        <f t="shared" si="58"/>
        <v>20413.248</v>
      </c>
      <c r="FG23" s="730">
        <f t="shared" si="59"/>
        <v>7736.7520000000004</v>
      </c>
      <c r="FJ23" s="731" t="s">
        <v>529</v>
      </c>
      <c r="FK23" s="730">
        <v>7348317</v>
      </c>
      <c r="FL23" s="734">
        <f t="shared" si="60"/>
        <v>7348.317</v>
      </c>
      <c r="FN23" s="735" t="s">
        <v>343</v>
      </c>
      <c r="FO23" s="736">
        <v>180085484</v>
      </c>
      <c r="FP23" s="736">
        <v>97014890</v>
      </c>
      <c r="FQ23" s="736">
        <v>97014890</v>
      </c>
      <c r="FR23" s="736">
        <f t="shared" si="61"/>
        <v>180085.484</v>
      </c>
      <c r="FS23" s="736">
        <f t="shared" si="62"/>
        <v>97014.89</v>
      </c>
      <c r="FT23" s="736">
        <f t="shared" si="63"/>
        <v>97014.89</v>
      </c>
    </row>
    <row r="24" spans="1:176" ht="15" customHeight="1" x14ac:dyDescent="0.25">
      <c r="A24" s="728" t="s">
        <v>881</v>
      </c>
      <c r="B24" s="729" t="s">
        <v>529</v>
      </c>
      <c r="C24" s="687">
        <v>0</v>
      </c>
      <c r="D24" s="687">
        <v>203143500</v>
      </c>
      <c r="E24" s="687">
        <v>8949855</v>
      </c>
      <c r="F24" s="687">
        <v>194193645</v>
      </c>
      <c r="G24" s="687">
        <v>8949855</v>
      </c>
      <c r="H24" s="730">
        <f t="shared" si="10"/>
        <v>211675.527</v>
      </c>
      <c r="I24" s="730">
        <f t="shared" si="11"/>
        <v>9325.7489100000003</v>
      </c>
      <c r="J24" s="730">
        <f t="shared" si="12"/>
        <v>202349.77809000001</v>
      </c>
      <c r="K24" s="730">
        <f t="shared" si="13"/>
        <v>9325.7489100000003</v>
      </c>
      <c r="O24" s="729" t="s">
        <v>532</v>
      </c>
      <c r="P24" s="687">
        <v>12204662</v>
      </c>
      <c r="Q24" s="730">
        <f t="shared" si="14"/>
        <v>12717.257804000001</v>
      </c>
      <c r="S24" s="729" t="s">
        <v>529</v>
      </c>
      <c r="T24" s="687">
        <v>203143500</v>
      </c>
      <c r="U24" s="687">
        <v>16299710</v>
      </c>
      <c r="V24" s="687">
        <v>16299710</v>
      </c>
      <c r="W24" s="687">
        <v>186843790</v>
      </c>
      <c r="X24" s="730">
        <f t="shared" si="15"/>
        <v>211675.527</v>
      </c>
      <c r="Y24" s="730">
        <f t="shared" si="16"/>
        <v>16984.29782</v>
      </c>
      <c r="Z24" s="730">
        <f t="shared" si="17"/>
        <v>16984.29782</v>
      </c>
      <c r="AA24" s="730">
        <f t="shared" si="18"/>
        <v>194691.22918000002</v>
      </c>
      <c r="AC24" s="729" t="s">
        <v>344</v>
      </c>
      <c r="AD24" s="687">
        <v>165512</v>
      </c>
      <c r="AE24" s="730">
        <f t="shared" si="19"/>
        <v>172.463504</v>
      </c>
      <c r="AG24" s="729" t="s">
        <v>529</v>
      </c>
      <c r="AH24" s="687">
        <v>203143500</v>
      </c>
      <c r="AI24" s="687">
        <v>23649565</v>
      </c>
      <c r="AJ24" s="687">
        <v>23649565</v>
      </c>
      <c r="AK24" s="687">
        <v>179493935</v>
      </c>
      <c r="AL24" s="687">
        <f t="shared" si="20"/>
        <v>211675.527</v>
      </c>
      <c r="AM24" s="687">
        <f t="shared" si="21"/>
        <v>24642.846730000001</v>
      </c>
      <c r="AN24" s="687">
        <f t="shared" si="22"/>
        <v>24642.846730000001</v>
      </c>
      <c r="AO24" s="687">
        <f t="shared" si="23"/>
        <v>187032.68027000001</v>
      </c>
      <c r="AR24" s="729" t="s">
        <v>532</v>
      </c>
      <c r="AS24" s="687">
        <v>11949147</v>
      </c>
      <c r="AT24" s="687">
        <f t="shared" si="24"/>
        <v>12451.011174000001</v>
      </c>
      <c r="AV24" s="729" t="s">
        <v>529</v>
      </c>
      <c r="AW24" s="687">
        <v>203143500</v>
      </c>
      <c r="AX24" s="687">
        <v>30999420</v>
      </c>
      <c r="AY24" s="687">
        <v>30999420</v>
      </c>
      <c r="AZ24" s="687">
        <v>172144080</v>
      </c>
      <c r="BA24" s="730">
        <f t="shared" si="25"/>
        <v>211675.527</v>
      </c>
      <c r="BB24" s="730">
        <f t="shared" si="26"/>
        <v>32301.395639999999</v>
      </c>
      <c r="BC24" s="730">
        <f t="shared" si="27"/>
        <v>32301.395639999999</v>
      </c>
      <c r="BD24" s="730">
        <f t="shared" si="28"/>
        <v>179374.13136</v>
      </c>
      <c r="BG24" s="754" t="s">
        <v>532</v>
      </c>
      <c r="BH24" s="687">
        <v>11728101</v>
      </c>
      <c r="BI24" s="755">
        <f t="shared" si="29"/>
        <v>12220.681242000001</v>
      </c>
      <c r="BK24" s="754" t="s">
        <v>529</v>
      </c>
      <c r="BL24" s="687">
        <v>203143500</v>
      </c>
      <c r="BM24" s="687">
        <v>38349275</v>
      </c>
      <c r="BN24" s="687">
        <v>38349275</v>
      </c>
      <c r="BO24" s="687">
        <v>164794225</v>
      </c>
      <c r="BP24" s="687">
        <f t="shared" si="30"/>
        <v>211675.527</v>
      </c>
      <c r="BQ24" s="687">
        <f t="shared" si="31"/>
        <v>39959.94455</v>
      </c>
      <c r="BR24" s="687">
        <f t="shared" si="32"/>
        <v>39959.94455</v>
      </c>
      <c r="BS24" s="755">
        <f t="shared" si="33"/>
        <v>171715.58245000002</v>
      </c>
      <c r="BV24" s="729" t="s">
        <v>581</v>
      </c>
      <c r="BW24" s="687">
        <v>754420</v>
      </c>
      <c r="BX24" s="730">
        <f t="shared" si="34"/>
        <v>786.10563999999999</v>
      </c>
      <c r="BZ24" s="729" t="s">
        <v>529</v>
      </c>
      <c r="CA24" s="687">
        <v>203143500</v>
      </c>
      <c r="CB24" s="687">
        <v>45699130</v>
      </c>
      <c r="CC24" s="687">
        <v>45699130</v>
      </c>
      <c r="CD24" s="687">
        <v>157444370</v>
      </c>
      <c r="CE24" s="687">
        <f t="shared" si="35"/>
        <v>211675.527</v>
      </c>
      <c r="CF24" s="687">
        <f t="shared" si="36"/>
        <v>47618.493459999998</v>
      </c>
      <c r="CG24" s="687">
        <f t="shared" si="37"/>
        <v>47618.493459999998</v>
      </c>
      <c r="CH24" s="687">
        <f t="shared" si="38"/>
        <v>164057.03354</v>
      </c>
      <c r="CK24" s="731" t="s">
        <v>581</v>
      </c>
      <c r="CL24" s="730">
        <v>411487</v>
      </c>
      <c r="CM24" s="730">
        <f t="shared" si="39"/>
        <v>428.76945400000005</v>
      </c>
      <c r="CP24" s="731" t="s">
        <v>529</v>
      </c>
      <c r="CQ24" s="730">
        <v>203143500</v>
      </c>
      <c r="CR24" s="730">
        <v>53047051</v>
      </c>
      <c r="CS24" s="730">
        <v>53047051</v>
      </c>
      <c r="CT24" s="730">
        <v>150096449</v>
      </c>
      <c r="CU24" s="730">
        <f t="shared" si="2"/>
        <v>211675.527</v>
      </c>
      <c r="CV24" s="730">
        <f t="shared" si="3"/>
        <v>55275.027141999999</v>
      </c>
      <c r="CW24" s="730">
        <f t="shared" si="4"/>
        <v>55275.027141999999</v>
      </c>
      <c r="CX24" s="730">
        <f t="shared" si="5"/>
        <v>156400.499858</v>
      </c>
      <c r="CZ24" s="731" t="s">
        <v>581</v>
      </c>
      <c r="DA24" s="730">
        <v>741710</v>
      </c>
      <c r="DB24" s="730">
        <f t="shared" si="40"/>
        <v>772.86182000000008</v>
      </c>
      <c r="DE24" s="729" t="s">
        <v>529</v>
      </c>
      <c r="DF24" s="687">
        <v>203143500</v>
      </c>
      <c r="DG24" s="687">
        <v>60390141</v>
      </c>
      <c r="DH24" s="687">
        <v>60390141</v>
      </c>
      <c r="DI24" s="687">
        <v>142753359</v>
      </c>
      <c r="DJ24" s="730">
        <f t="shared" si="41"/>
        <v>211675.527</v>
      </c>
      <c r="DK24" s="730">
        <f t="shared" si="42"/>
        <v>62926.526922000005</v>
      </c>
      <c r="DL24" s="730">
        <f t="shared" si="43"/>
        <v>62926.526922000005</v>
      </c>
      <c r="DM24" s="730">
        <f t="shared" si="44"/>
        <v>148749.00007800001</v>
      </c>
      <c r="DP24" s="729" t="s">
        <v>581</v>
      </c>
      <c r="DQ24" s="687">
        <v>477992</v>
      </c>
      <c r="DR24" s="730">
        <f t="shared" si="45"/>
        <v>477.99200000000002</v>
      </c>
      <c r="DT24" s="729" t="s">
        <v>529</v>
      </c>
      <c r="DU24" s="687">
        <v>203143500</v>
      </c>
      <c r="DV24" s="687">
        <v>67739996</v>
      </c>
      <c r="DW24" s="687">
        <v>67739996</v>
      </c>
      <c r="DX24" s="687">
        <v>135403504</v>
      </c>
      <c r="DY24" s="730">
        <f t="shared" si="46"/>
        <v>203143.5</v>
      </c>
      <c r="DZ24" s="730">
        <f t="shared" si="47"/>
        <v>67739.995999999999</v>
      </c>
      <c r="EA24" s="730">
        <f t="shared" si="48"/>
        <v>67739.995999999999</v>
      </c>
      <c r="EB24" s="730">
        <f t="shared" si="49"/>
        <v>135403.50399999999</v>
      </c>
      <c r="EE24" s="731" t="s">
        <v>349</v>
      </c>
      <c r="EF24" s="730">
        <v>261037186</v>
      </c>
      <c r="EG24" s="734">
        <f t="shared" si="50"/>
        <v>261037.18599999999</v>
      </c>
      <c r="EI24" s="731" t="s">
        <v>343</v>
      </c>
      <c r="EJ24" s="730">
        <v>213131500</v>
      </c>
      <c r="EK24" s="730">
        <v>81448615</v>
      </c>
      <c r="EL24" s="730">
        <v>81448615</v>
      </c>
      <c r="EM24" s="734">
        <f t="shared" si="51"/>
        <v>213131.5</v>
      </c>
      <c r="EN24" s="734">
        <f t="shared" si="52"/>
        <v>81448.615000000005</v>
      </c>
      <c r="EO24" s="734">
        <f t="shared" si="53"/>
        <v>81448.615000000005</v>
      </c>
      <c r="ER24" s="729" t="s">
        <v>532</v>
      </c>
      <c r="ES24" s="687">
        <v>12244607</v>
      </c>
      <c r="ET24" s="730">
        <f t="shared" si="54"/>
        <v>12244.607</v>
      </c>
      <c r="EW24" s="729" t="s">
        <v>343</v>
      </c>
      <c r="EX24" s="687">
        <v>0</v>
      </c>
      <c r="EY24" s="687">
        <v>213131500</v>
      </c>
      <c r="EZ24" s="687">
        <v>89330583</v>
      </c>
      <c r="FA24" s="687">
        <v>89330583</v>
      </c>
      <c r="FB24" s="687">
        <v>123800917</v>
      </c>
      <c r="FC24" s="730">
        <f t="shared" si="55"/>
        <v>0</v>
      </c>
      <c r="FD24" s="730">
        <f t="shared" si="56"/>
        <v>213131.5</v>
      </c>
      <c r="FE24" s="730">
        <f t="shared" si="57"/>
        <v>89330.582999999999</v>
      </c>
      <c r="FF24" s="730">
        <f t="shared" si="58"/>
        <v>89330.582999999999</v>
      </c>
      <c r="FG24" s="730">
        <f t="shared" si="59"/>
        <v>123800.917</v>
      </c>
      <c r="FJ24" s="731" t="s">
        <v>530</v>
      </c>
      <c r="FK24" s="730">
        <v>138200</v>
      </c>
      <c r="FL24" s="734">
        <f t="shared" si="60"/>
        <v>138.19999999999999</v>
      </c>
      <c r="FN24" s="735" t="s">
        <v>529</v>
      </c>
      <c r="FO24" s="736">
        <v>169031554</v>
      </c>
      <c r="FP24" s="736">
        <v>89787678</v>
      </c>
      <c r="FQ24" s="736">
        <v>89787678</v>
      </c>
      <c r="FR24" s="736">
        <f t="shared" si="61"/>
        <v>169031.554</v>
      </c>
      <c r="FS24" s="736">
        <f t="shared" si="62"/>
        <v>89787.678</v>
      </c>
      <c r="FT24" s="736">
        <f t="shared" si="63"/>
        <v>89787.678</v>
      </c>
    </row>
    <row r="25" spans="1:176" ht="15" customHeight="1" x14ac:dyDescent="0.25">
      <c r="A25" s="728" t="s">
        <v>881</v>
      </c>
      <c r="B25" s="729" t="s">
        <v>530</v>
      </c>
      <c r="C25" s="687">
        <v>0</v>
      </c>
      <c r="D25" s="687">
        <v>600000</v>
      </c>
      <c r="E25" s="687">
        <v>0</v>
      </c>
      <c r="F25" s="687">
        <v>600000</v>
      </c>
      <c r="G25" s="687">
        <v>0</v>
      </c>
      <c r="H25" s="730">
        <f t="shared" si="10"/>
        <v>625.20000000000005</v>
      </c>
      <c r="I25" s="730">
        <f t="shared" si="11"/>
        <v>0</v>
      </c>
      <c r="J25" s="730">
        <f t="shared" si="12"/>
        <v>625.20000000000005</v>
      </c>
      <c r="K25" s="730">
        <f t="shared" si="13"/>
        <v>0</v>
      </c>
      <c r="O25" s="729" t="s">
        <v>350</v>
      </c>
      <c r="P25" s="687">
        <v>179838810</v>
      </c>
      <c r="Q25" s="730">
        <f t="shared" si="14"/>
        <v>187392.04002000001</v>
      </c>
      <c r="S25" s="729" t="s">
        <v>530</v>
      </c>
      <c r="T25" s="687">
        <v>600000</v>
      </c>
      <c r="U25" s="687">
        <v>0</v>
      </c>
      <c r="V25" s="687">
        <v>0</v>
      </c>
      <c r="W25" s="687">
        <v>600000</v>
      </c>
      <c r="X25" s="730">
        <f t="shared" si="15"/>
        <v>625.20000000000005</v>
      </c>
      <c r="Y25" s="730">
        <f t="shared" si="16"/>
        <v>0</v>
      </c>
      <c r="Z25" s="730">
        <f t="shared" si="17"/>
        <v>0</v>
      </c>
      <c r="AA25" s="730">
        <f t="shared" si="18"/>
        <v>625.20000000000005</v>
      </c>
      <c r="AC25" s="729" t="s">
        <v>457</v>
      </c>
      <c r="AD25" s="687">
        <v>165512</v>
      </c>
      <c r="AE25" s="730">
        <f t="shared" si="19"/>
        <v>172.463504</v>
      </c>
      <c r="AG25" s="729" t="s">
        <v>530</v>
      </c>
      <c r="AH25" s="687">
        <v>600000</v>
      </c>
      <c r="AI25" s="687">
        <v>0</v>
      </c>
      <c r="AJ25" s="687">
        <v>0</v>
      </c>
      <c r="AK25" s="687">
        <v>600000</v>
      </c>
      <c r="AL25" s="687">
        <f t="shared" si="20"/>
        <v>625.20000000000005</v>
      </c>
      <c r="AM25" s="687">
        <f t="shared" si="21"/>
        <v>0</v>
      </c>
      <c r="AN25" s="687">
        <f t="shared" si="22"/>
        <v>0</v>
      </c>
      <c r="AO25" s="687">
        <f t="shared" si="23"/>
        <v>625.20000000000005</v>
      </c>
      <c r="AR25" s="729" t="s">
        <v>350</v>
      </c>
      <c r="AS25" s="687">
        <v>184523508</v>
      </c>
      <c r="AT25" s="687">
        <f t="shared" si="24"/>
        <v>192273.49533600002</v>
      </c>
      <c r="AV25" s="729" t="s">
        <v>530</v>
      </c>
      <c r="AW25" s="687">
        <v>600000</v>
      </c>
      <c r="AX25" s="687">
        <v>0</v>
      </c>
      <c r="AY25" s="687">
        <v>0</v>
      </c>
      <c r="AZ25" s="687">
        <v>600000</v>
      </c>
      <c r="BA25" s="730">
        <f t="shared" si="25"/>
        <v>625.20000000000005</v>
      </c>
      <c r="BB25" s="730">
        <f t="shared" si="26"/>
        <v>0</v>
      </c>
      <c r="BC25" s="730">
        <f t="shared" si="27"/>
        <v>0</v>
      </c>
      <c r="BD25" s="730">
        <f t="shared" si="28"/>
        <v>625.20000000000005</v>
      </c>
      <c r="BG25" s="754" t="s">
        <v>350</v>
      </c>
      <c r="BH25" s="687">
        <v>184016938</v>
      </c>
      <c r="BI25" s="755">
        <f t="shared" si="29"/>
        <v>191745.64939599999</v>
      </c>
      <c r="BK25" s="754" t="s">
        <v>530</v>
      </c>
      <c r="BL25" s="687">
        <v>600000</v>
      </c>
      <c r="BM25" s="687">
        <v>0</v>
      </c>
      <c r="BN25" s="687">
        <v>0</v>
      </c>
      <c r="BO25" s="687">
        <v>600000</v>
      </c>
      <c r="BP25" s="687">
        <f t="shared" si="30"/>
        <v>625.20000000000005</v>
      </c>
      <c r="BQ25" s="687">
        <f t="shared" si="31"/>
        <v>0</v>
      </c>
      <c r="BR25" s="687">
        <f t="shared" si="32"/>
        <v>0</v>
      </c>
      <c r="BS25" s="755">
        <f t="shared" si="33"/>
        <v>625.20000000000005</v>
      </c>
      <c r="BV25" s="729" t="s">
        <v>344</v>
      </c>
      <c r="BW25" s="687">
        <v>165512</v>
      </c>
      <c r="BX25" s="730">
        <f t="shared" si="34"/>
        <v>172.463504</v>
      </c>
      <c r="BZ25" s="729" t="s">
        <v>530</v>
      </c>
      <c r="CA25" s="687">
        <v>600000</v>
      </c>
      <c r="CB25" s="687">
        <v>0</v>
      </c>
      <c r="CC25" s="687">
        <v>0</v>
      </c>
      <c r="CD25" s="687">
        <v>600000</v>
      </c>
      <c r="CE25" s="687">
        <f t="shared" si="35"/>
        <v>625.20000000000005</v>
      </c>
      <c r="CF25" s="687">
        <f t="shared" si="36"/>
        <v>0</v>
      </c>
      <c r="CG25" s="687">
        <f t="shared" si="37"/>
        <v>0</v>
      </c>
      <c r="CH25" s="687">
        <f t="shared" si="38"/>
        <v>625.20000000000005</v>
      </c>
      <c r="CK25" s="731" t="s">
        <v>344</v>
      </c>
      <c r="CL25" s="730">
        <v>-1934</v>
      </c>
      <c r="CM25" s="730">
        <f t="shared" si="39"/>
        <v>-2.015228</v>
      </c>
      <c r="CP25" s="731" t="s">
        <v>530</v>
      </c>
      <c r="CQ25" s="730">
        <v>600000</v>
      </c>
      <c r="CR25" s="730">
        <v>0</v>
      </c>
      <c r="CS25" s="730">
        <v>0</v>
      </c>
      <c r="CT25" s="730">
        <v>600000</v>
      </c>
      <c r="CU25" s="730">
        <f t="shared" si="2"/>
        <v>625.20000000000005</v>
      </c>
      <c r="CV25" s="730">
        <f t="shared" si="3"/>
        <v>0</v>
      </c>
      <c r="CW25" s="730">
        <f t="shared" si="4"/>
        <v>0</v>
      </c>
      <c r="CX25" s="730">
        <f t="shared" si="5"/>
        <v>625.20000000000005</v>
      </c>
      <c r="CZ25" s="731" t="s">
        <v>344</v>
      </c>
      <c r="DA25" s="730">
        <v>-2561</v>
      </c>
      <c r="DB25" s="730">
        <f t="shared" si="40"/>
        <v>-2.6685620000000001</v>
      </c>
      <c r="DE25" s="729" t="s">
        <v>530</v>
      </c>
      <c r="DF25" s="687">
        <v>600000</v>
      </c>
      <c r="DG25" s="687">
        <v>0</v>
      </c>
      <c r="DH25" s="687">
        <v>0</v>
      </c>
      <c r="DI25" s="687">
        <v>600000</v>
      </c>
      <c r="DJ25" s="730">
        <f t="shared" si="41"/>
        <v>625.20000000000005</v>
      </c>
      <c r="DK25" s="730">
        <f t="shared" si="42"/>
        <v>0</v>
      </c>
      <c r="DL25" s="730">
        <f t="shared" si="43"/>
        <v>0</v>
      </c>
      <c r="DM25" s="730">
        <f t="shared" si="44"/>
        <v>625.20000000000005</v>
      </c>
      <c r="DP25" s="729" t="s">
        <v>344</v>
      </c>
      <c r="DQ25" s="687">
        <v>203235</v>
      </c>
      <c r="DR25" s="730">
        <f t="shared" si="45"/>
        <v>203.23500000000001</v>
      </c>
      <c r="DT25" s="729" t="s">
        <v>530</v>
      </c>
      <c r="DU25" s="687">
        <v>600000</v>
      </c>
      <c r="DV25" s="687">
        <v>0</v>
      </c>
      <c r="DW25" s="687">
        <v>0</v>
      </c>
      <c r="DX25" s="687">
        <v>600000</v>
      </c>
      <c r="DY25" s="730">
        <f t="shared" si="46"/>
        <v>600</v>
      </c>
      <c r="DZ25" s="730">
        <f t="shared" si="47"/>
        <v>0</v>
      </c>
      <c r="EA25" s="730">
        <f t="shared" si="48"/>
        <v>0</v>
      </c>
      <c r="EB25" s="730">
        <f t="shared" si="49"/>
        <v>600</v>
      </c>
      <c r="EE25" s="731" t="s">
        <v>532</v>
      </c>
      <c r="EF25" s="730">
        <v>12102164</v>
      </c>
      <c r="EG25" s="734">
        <f t="shared" si="50"/>
        <v>12102.164000000001</v>
      </c>
      <c r="EI25" s="731" t="s">
        <v>529</v>
      </c>
      <c r="EJ25" s="730">
        <v>203143500</v>
      </c>
      <c r="EK25" s="730">
        <v>75089506</v>
      </c>
      <c r="EL25" s="730">
        <v>75089506</v>
      </c>
      <c r="EM25" s="734">
        <f t="shared" si="51"/>
        <v>203143.5</v>
      </c>
      <c r="EN25" s="734">
        <f t="shared" si="52"/>
        <v>75089.505999999994</v>
      </c>
      <c r="EO25" s="734">
        <f t="shared" si="53"/>
        <v>75089.505999999994</v>
      </c>
      <c r="ER25" s="729" t="s">
        <v>350</v>
      </c>
      <c r="ES25" s="687">
        <v>185524480</v>
      </c>
      <c r="ET25" s="730">
        <f t="shared" si="54"/>
        <v>185524.48000000001</v>
      </c>
      <c r="EW25" s="729" t="s">
        <v>529</v>
      </c>
      <c r="EX25" s="687">
        <v>0</v>
      </c>
      <c r="EY25" s="687">
        <v>203143500</v>
      </c>
      <c r="EZ25" s="687">
        <v>82439361</v>
      </c>
      <c r="FA25" s="687">
        <v>82439361</v>
      </c>
      <c r="FB25" s="687">
        <v>120704139</v>
      </c>
      <c r="FC25" s="730">
        <f t="shared" si="55"/>
        <v>0</v>
      </c>
      <c r="FD25" s="730">
        <f t="shared" si="56"/>
        <v>203143.5</v>
      </c>
      <c r="FE25" s="730">
        <f t="shared" si="57"/>
        <v>82439.361000000004</v>
      </c>
      <c r="FF25" s="730">
        <f t="shared" si="58"/>
        <v>82439.361000000004</v>
      </c>
      <c r="FG25" s="730">
        <f t="shared" si="59"/>
        <v>120704.139</v>
      </c>
      <c r="FJ25" s="731" t="s">
        <v>581</v>
      </c>
      <c r="FK25" s="730">
        <v>197790</v>
      </c>
      <c r="FL25" s="734">
        <f t="shared" si="60"/>
        <v>197.79</v>
      </c>
      <c r="FN25" s="735" t="s">
        <v>530</v>
      </c>
      <c r="FO25" s="736">
        <v>600000</v>
      </c>
      <c r="FP25" s="736">
        <v>138200</v>
      </c>
      <c r="FQ25" s="736">
        <v>138200</v>
      </c>
      <c r="FR25" s="736">
        <f t="shared" si="61"/>
        <v>600</v>
      </c>
      <c r="FS25" s="736">
        <f t="shared" si="62"/>
        <v>138.19999999999999</v>
      </c>
      <c r="FT25" s="736">
        <f t="shared" si="63"/>
        <v>138.19999999999999</v>
      </c>
    </row>
    <row r="26" spans="1:176" ht="15" customHeight="1" x14ac:dyDescent="0.25">
      <c r="A26" s="728" t="s">
        <v>881</v>
      </c>
      <c r="B26" s="729" t="s">
        <v>581</v>
      </c>
      <c r="C26" s="687">
        <v>0</v>
      </c>
      <c r="D26" s="687">
        <v>2910000</v>
      </c>
      <c r="E26" s="687">
        <v>738020</v>
      </c>
      <c r="F26" s="687">
        <v>2171980</v>
      </c>
      <c r="G26" s="687">
        <v>738020</v>
      </c>
      <c r="H26" s="730">
        <f t="shared" si="10"/>
        <v>3032.2200000000003</v>
      </c>
      <c r="I26" s="730">
        <f t="shared" si="11"/>
        <v>769.01684</v>
      </c>
      <c r="J26" s="730">
        <f t="shared" si="12"/>
        <v>2263.20316</v>
      </c>
      <c r="K26" s="730">
        <f t="shared" si="13"/>
        <v>769.01684</v>
      </c>
      <c r="O26" s="729" t="s">
        <v>351</v>
      </c>
      <c r="P26" s="687">
        <v>23731030</v>
      </c>
      <c r="Q26" s="730">
        <f t="shared" si="14"/>
        <v>24727.733260000001</v>
      </c>
      <c r="S26" s="729" t="s">
        <v>581</v>
      </c>
      <c r="T26" s="687">
        <v>5410000</v>
      </c>
      <c r="U26" s="687">
        <v>1558042</v>
      </c>
      <c r="V26" s="687">
        <v>1558042</v>
      </c>
      <c r="W26" s="687">
        <v>3851958</v>
      </c>
      <c r="X26" s="730">
        <f t="shared" si="15"/>
        <v>5637.22</v>
      </c>
      <c r="Y26" s="730">
        <f t="shared" si="16"/>
        <v>1623.4797639999999</v>
      </c>
      <c r="Z26" s="730">
        <f t="shared" si="17"/>
        <v>1623.4797639999999</v>
      </c>
      <c r="AA26" s="730">
        <f t="shared" si="18"/>
        <v>4013.7402360000001</v>
      </c>
      <c r="AC26" s="729" t="s">
        <v>347</v>
      </c>
      <c r="AD26" s="687">
        <v>2030654465</v>
      </c>
      <c r="AE26" s="730">
        <f t="shared" si="19"/>
        <v>2115941.9525300004</v>
      </c>
      <c r="AG26" s="729" t="s">
        <v>581</v>
      </c>
      <c r="AH26" s="687">
        <v>5410000</v>
      </c>
      <c r="AI26" s="687">
        <v>1656445</v>
      </c>
      <c r="AJ26" s="687">
        <v>1656445</v>
      </c>
      <c r="AK26" s="687">
        <v>3753555</v>
      </c>
      <c r="AL26" s="687">
        <f t="shared" si="20"/>
        <v>5637.22</v>
      </c>
      <c r="AM26" s="687">
        <f t="shared" si="21"/>
        <v>1726.0156899999999</v>
      </c>
      <c r="AN26" s="687">
        <f t="shared" si="22"/>
        <v>1726.0156899999999</v>
      </c>
      <c r="AO26" s="687">
        <f t="shared" si="23"/>
        <v>3911.2043100000001</v>
      </c>
      <c r="AR26" s="729" t="s">
        <v>351</v>
      </c>
      <c r="AS26" s="687">
        <v>24479553</v>
      </c>
      <c r="AT26" s="687">
        <f t="shared" si="24"/>
        <v>25507.694226</v>
      </c>
      <c r="AV26" s="729" t="s">
        <v>581</v>
      </c>
      <c r="AW26" s="687">
        <v>5610000</v>
      </c>
      <c r="AX26" s="687">
        <v>2394465</v>
      </c>
      <c r="AY26" s="687">
        <v>2394465</v>
      </c>
      <c r="AZ26" s="687">
        <v>3215535</v>
      </c>
      <c r="BA26" s="730">
        <f t="shared" si="25"/>
        <v>5845.62</v>
      </c>
      <c r="BB26" s="730">
        <f t="shared" si="26"/>
        <v>2495.0325300000004</v>
      </c>
      <c r="BC26" s="730">
        <f t="shared" si="27"/>
        <v>2495.0325300000004</v>
      </c>
      <c r="BD26" s="730">
        <f t="shared" si="28"/>
        <v>3350.5874699999999</v>
      </c>
      <c r="BG26" s="754" t="s">
        <v>351</v>
      </c>
      <c r="BH26" s="687">
        <v>24161957</v>
      </c>
      <c r="BI26" s="755">
        <f t="shared" si="29"/>
        <v>25176.759193999998</v>
      </c>
      <c r="BK26" s="754" t="s">
        <v>581</v>
      </c>
      <c r="BL26" s="687">
        <v>4910000</v>
      </c>
      <c r="BM26" s="687">
        <v>3050483</v>
      </c>
      <c r="BN26" s="687">
        <v>3050483</v>
      </c>
      <c r="BO26" s="687">
        <v>1859517</v>
      </c>
      <c r="BP26" s="687">
        <f t="shared" si="30"/>
        <v>5116.22</v>
      </c>
      <c r="BQ26" s="687">
        <f t="shared" si="31"/>
        <v>3178.6032860000005</v>
      </c>
      <c r="BR26" s="687">
        <f t="shared" si="32"/>
        <v>3178.6032860000005</v>
      </c>
      <c r="BS26" s="755">
        <f t="shared" si="33"/>
        <v>1937.6167140000002</v>
      </c>
      <c r="BV26" s="729" t="s">
        <v>457</v>
      </c>
      <c r="BW26" s="687">
        <v>165512</v>
      </c>
      <c r="BX26" s="730">
        <f t="shared" si="34"/>
        <v>172.463504</v>
      </c>
      <c r="BZ26" s="729" t="s">
        <v>581</v>
      </c>
      <c r="CA26" s="687">
        <v>4628266</v>
      </c>
      <c r="CB26" s="687">
        <v>3804903</v>
      </c>
      <c r="CC26" s="687">
        <v>3804903</v>
      </c>
      <c r="CD26" s="687">
        <v>823363</v>
      </c>
      <c r="CE26" s="687">
        <f t="shared" si="35"/>
        <v>4822.6531719999994</v>
      </c>
      <c r="CF26" s="687">
        <f t="shared" si="36"/>
        <v>3964.7089259999998</v>
      </c>
      <c r="CG26" s="687">
        <f t="shared" si="37"/>
        <v>3964.7089259999998</v>
      </c>
      <c r="CH26" s="687">
        <f t="shared" si="38"/>
        <v>857.94424600000013</v>
      </c>
      <c r="CK26" s="731" t="s">
        <v>457</v>
      </c>
      <c r="CL26" s="730">
        <v>-1934</v>
      </c>
      <c r="CM26" s="730">
        <f t="shared" si="39"/>
        <v>-2.015228</v>
      </c>
      <c r="CP26" s="731" t="s">
        <v>581</v>
      </c>
      <c r="CQ26" s="730">
        <v>5059000</v>
      </c>
      <c r="CR26" s="730">
        <v>4216390</v>
      </c>
      <c r="CS26" s="730">
        <v>4216390</v>
      </c>
      <c r="CT26" s="730">
        <v>842610</v>
      </c>
      <c r="CU26" s="730">
        <f t="shared" si="2"/>
        <v>5271.4780000000001</v>
      </c>
      <c r="CV26" s="730">
        <f t="shared" si="3"/>
        <v>4393.4783800000005</v>
      </c>
      <c r="CW26" s="730">
        <f t="shared" si="4"/>
        <v>4393.4783800000005</v>
      </c>
      <c r="CX26" s="730">
        <f t="shared" si="5"/>
        <v>877.99962000000005</v>
      </c>
      <c r="CZ26" s="731" t="s">
        <v>457</v>
      </c>
      <c r="DA26" s="730">
        <v>-2561</v>
      </c>
      <c r="DB26" s="730">
        <f t="shared" si="40"/>
        <v>-2.6685620000000001</v>
      </c>
      <c r="DE26" s="729" t="s">
        <v>581</v>
      </c>
      <c r="DF26" s="687">
        <v>6175000</v>
      </c>
      <c r="DG26" s="687">
        <v>4958100</v>
      </c>
      <c r="DH26" s="687">
        <v>4958100</v>
      </c>
      <c r="DI26" s="687">
        <v>1216900</v>
      </c>
      <c r="DJ26" s="730">
        <f t="shared" si="41"/>
        <v>6434.35</v>
      </c>
      <c r="DK26" s="730">
        <f t="shared" si="42"/>
        <v>5166.3402000000006</v>
      </c>
      <c r="DL26" s="730">
        <f t="shared" si="43"/>
        <v>5166.3402000000006</v>
      </c>
      <c r="DM26" s="730">
        <f t="shared" si="44"/>
        <v>1268.0098</v>
      </c>
      <c r="DP26" s="729" t="s">
        <v>345</v>
      </c>
      <c r="DQ26" s="687">
        <v>203235</v>
      </c>
      <c r="DR26" s="730">
        <f t="shared" si="45"/>
        <v>203.23500000000001</v>
      </c>
      <c r="DT26" s="729" t="s">
        <v>581</v>
      </c>
      <c r="DU26" s="687">
        <v>6494000</v>
      </c>
      <c r="DV26" s="687">
        <v>5436092</v>
      </c>
      <c r="DW26" s="687">
        <v>5436092</v>
      </c>
      <c r="DX26" s="687">
        <v>1057908</v>
      </c>
      <c r="DY26" s="730">
        <f t="shared" si="46"/>
        <v>6494</v>
      </c>
      <c r="DZ26" s="730">
        <f t="shared" si="47"/>
        <v>5436.0919999999996</v>
      </c>
      <c r="EA26" s="730">
        <f t="shared" si="48"/>
        <v>5436.0919999999996</v>
      </c>
      <c r="EB26" s="730">
        <f t="shared" si="49"/>
        <v>1057.9079999999999</v>
      </c>
      <c r="EE26" s="731" t="s">
        <v>350</v>
      </c>
      <c r="EF26" s="730">
        <v>184979388</v>
      </c>
      <c r="EG26" s="734">
        <f t="shared" si="50"/>
        <v>184979.38800000001</v>
      </c>
      <c r="EI26" s="731" t="s">
        <v>530</v>
      </c>
      <c r="EJ26" s="730">
        <v>600000</v>
      </c>
      <c r="EK26" s="730">
        <v>0</v>
      </c>
      <c r="EL26" s="730">
        <v>0</v>
      </c>
      <c r="EM26" s="734">
        <f t="shared" si="51"/>
        <v>600</v>
      </c>
      <c r="EN26" s="734">
        <f t="shared" si="52"/>
        <v>0</v>
      </c>
      <c r="EO26" s="734">
        <f t="shared" si="53"/>
        <v>0</v>
      </c>
      <c r="ER26" s="729" t="s">
        <v>351</v>
      </c>
      <c r="ES26" s="687">
        <v>23620608</v>
      </c>
      <c r="ET26" s="730">
        <f t="shared" si="54"/>
        <v>23620.608</v>
      </c>
      <c r="EW26" s="729" t="s">
        <v>530</v>
      </c>
      <c r="EX26" s="687">
        <v>0</v>
      </c>
      <c r="EY26" s="687">
        <v>600000</v>
      </c>
      <c r="EZ26" s="687">
        <v>0</v>
      </c>
      <c r="FA26" s="687">
        <v>0</v>
      </c>
      <c r="FB26" s="687">
        <v>600000</v>
      </c>
      <c r="FC26" s="730">
        <f t="shared" si="55"/>
        <v>0</v>
      </c>
      <c r="FD26" s="730">
        <f t="shared" si="56"/>
        <v>600</v>
      </c>
      <c r="FE26" s="730">
        <f t="shared" si="57"/>
        <v>0</v>
      </c>
      <c r="FF26" s="730">
        <f t="shared" si="58"/>
        <v>0</v>
      </c>
      <c r="FG26" s="730">
        <f t="shared" si="59"/>
        <v>600</v>
      </c>
      <c r="FJ26" s="731" t="s">
        <v>344</v>
      </c>
      <c r="FK26" s="730">
        <v>679250</v>
      </c>
      <c r="FL26" s="734">
        <f t="shared" si="60"/>
        <v>679.25</v>
      </c>
      <c r="FN26" s="735" t="s">
        <v>581</v>
      </c>
      <c r="FO26" s="736">
        <v>8453930</v>
      </c>
      <c r="FP26" s="736">
        <v>7089012</v>
      </c>
      <c r="FQ26" s="736">
        <v>7089012</v>
      </c>
      <c r="FR26" s="736">
        <f t="shared" si="61"/>
        <v>8453.93</v>
      </c>
      <c r="FS26" s="736">
        <f t="shared" si="62"/>
        <v>7089.0119999999997</v>
      </c>
      <c r="FT26" s="736">
        <f t="shared" si="63"/>
        <v>7089.0119999999997</v>
      </c>
    </row>
    <row r="27" spans="1:176" ht="15" customHeight="1" x14ac:dyDescent="0.25">
      <c r="A27" s="728" t="s">
        <v>881</v>
      </c>
      <c r="B27" s="729" t="s">
        <v>531</v>
      </c>
      <c r="C27" s="687">
        <v>0</v>
      </c>
      <c r="D27" s="687">
        <v>2000000</v>
      </c>
      <c r="E27" s="687">
        <v>0</v>
      </c>
      <c r="F27" s="687">
        <v>2000000</v>
      </c>
      <c r="G27" s="687">
        <v>0</v>
      </c>
      <c r="H27" s="730">
        <f t="shared" si="10"/>
        <v>2084</v>
      </c>
      <c r="I27" s="730">
        <f t="shared" si="11"/>
        <v>0</v>
      </c>
      <c r="J27" s="730">
        <f t="shared" si="12"/>
        <v>2084</v>
      </c>
      <c r="K27" s="730">
        <f t="shared" si="13"/>
        <v>0</v>
      </c>
      <c r="O27" s="729" t="s">
        <v>534</v>
      </c>
      <c r="P27" s="687">
        <v>13047712</v>
      </c>
      <c r="Q27" s="730">
        <f t="shared" si="14"/>
        <v>13595.715904000001</v>
      </c>
      <c r="S27" s="729" t="s">
        <v>531</v>
      </c>
      <c r="T27" s="687">
        <v>2000000</v>
      </c>
      <c r="U27" s="687">
        <v>0</v>
      </c>
      <c r="V27" s="687">
        <v>0</v>
      </c>
      <c r="W27" s="687">
        <v>2000000</v>
      </c>
      <c r="X27" s="730">
        <f t="shared" si="15"/>
        <v>2084</v>
      </c>
      <c r="Y27" s="730">
        <f t="shared" si="16"/>
        <v>0</v>
      </c>
      <c r="Z27" s="730">
        <f t="shared" si="17"/>
        <v>0</v>
      </c>
      <c r="AA27" s="730">
        <f t="shared" si="18"/>
        <v>2084</v>
      </c>
      <c r="AC27" s="729" t="s">
        <v>348</v>
      </c>
      <c r="AD27" s="687">
        <v>1550516999</v>
      </c>
      <c r="AE27" s="730">
        <f t="shared" si="19"/>
        <v>1615638.7129580001</v>
      </c>
      <c r="AG27" s="729" t="s">
        <v>531</v>
      </c>
      <c r="AH27" s="687">
        <v>2000000</v>
      </c>
      <c r="AI27" s="687">
        <v>0</v>
      </c>
      <c r="AJ27" s="687">
        <v>0</v>
      </c>
      <c r="AK27" s="687">
        <v>2000000</v>
      </c>
      <c r="AL27" s="687">
        <f t="shared" si="20"/>
        <v>2084</v>
      </c>
      <c r="AM27" s="687">
        <f t="shared" si="21"/>
        <v>0</v>
      </c>
      <c r="AN27" s="687">
        <f t="shared" si="22"/>
        <v>0</v>
      </c>
      <c r="AO27" s="687">
        <f t="shared" si="23"/>
        <v>2084</v>
      </c>
      <c r="AR27" s="729" t="s">
        <v>534</v>
      </c>
      <c r="AS27" s="687">
        <v>11786942</v>
      </c>
      <c r="AT27" s="687">
        <f t="shared" si="24"/>
        <v>12281.993564</v>
      </c>
      <c r="AV27" s="729" t="s">
        <v>531</v>
      </c>
      <c r="AW27" s="687">
        <v>2000000</v>
      </c>
      <c r="AX27" s="687">
        <v>0</v>
      </c>
      <c r="AY27" s="687">
        <v>0</v>
      </c>
      <c r="AZ27" s="687">
        <v>2000000</v>
      </c>
      <c r="BA27" s="730">
        <f t="shared" si="25"/>
        <v>2084</v>
      </c>
      <c r="BB27" s="730">
        <f t="shared" si="26"/>
        <v>0</v>
      </c>
      <c r="BC27" s="730">
        <f t="shared" si="27"/>
        <v>0</v>
      </c>
      <c r="BD27" s="730">
        <f t="shared" si="28"/>
        <v>2084</v>
      </c>
      <c r="BG27" s="754" t="s">
        <v>534</v>
      </c>
      <c r="BH27" s="687">
        <v>11786942</v>
      </c>
      <c r="BI27" s="755">
        <f t="shared" si="29"/>
        <v>12281.993564</v>
      </c>
      <c r="BK27" s="754" t="s">
        <v>531</v>
      </c>
      <c r="BL27" s="687">
        <v>2000000</v>
      </c>
      <c r="BM27" s="687">
        <v>0</v>
      </c>
      <c r="BN27" s="687">
        <v>0</v>
      </c>
      <c r="BO27" s="687">
        <v>2000000</v>
      </c>
      <c r="BP27" s="687">
        <f t="shared" si="30"/>
        <v>2084</v>
      </c>
      <c r="BQ27" s="687">
        <f t="shared" si="31"/>
        <v>0</v>
      </c>
      <c r="BR27" s="687">
        <f t="shared" si="32"/>
        <v>0</v>
      </c>
      <c r="BS27" s="755">
        <f t="shared" si="33"/>
        <v>2084</v>
      </c>
      <c r="BV27" s="729" t="s">
        <v>347</v>
      </c>
      <c r="BW27" s="687">
        <v>2080437600</v>
      </c>
      <c r="BX27" s="730">
        <f t="shared" si="34"/>
        <v>2167815.9791999999</v>
      </c>
      <c r="BZ27" s="729" t="s">
        <v>531</v>
      </c>
      <c r="CA27" s="687">
        <v>2000000</v>
      </c>
      <c r="CB27" s="687">
        <v>0</v>
      </c>
      <c r="CC27" s="687">
        <v>0</v>
      </c>
      <c r="CD27" s="687">
        <v>2000000</v>
      </c>
      <c r="CE27" s="687">
        <f t="shared" si="35"/>
        <v>2084</v>
      </c>
      <c r="CF27" s="687">
        <f t="shared" si="36"/>
        <v>0</v>
      </c>
      <c r="CG27" s="687">
        <f t="shared" si="37"/>
        <v>0</v>
      </c>
      <c r="CH27" s="687">
        <f t="shared" si="38"/>
        <v>2084</v>
      </c>
      <c r="CK27" s="731" t="s">
        <v>347</v>
      </c>
      <c r="CL27" s="730">
        <v>1178338578</v>
      </c>
      <c r="CM27" s="730">
        <f t="shared" si="39"/>
        <v>1227828.798276</v>
      </c>
      <c r="CP27" s="731" t="s">
        <v>531</v>
      </c>
      <c r="CQ27" s="730">
        <v>2000000</v>
      </c>
      <c r="CR27" s="730">
        <v>0</v>
      </c>
      <c r="CS27" s="730">
        <v>0</v>
      </c>
      <c r="CT27" s="730">
        <v>2000000</v>
      </c>
      <c r="CU27" s="730">
        <f t="shared" si="2"/>
        <v>2084</v>
      </c>
      <c r="CV27" s="730">
        <f t="shared" si="3"/>
        <v>0</v>
      </c>
      <c r="CW27" s="730">
        <f t="shared" si="4"/>
        <v>0</v>
      </c>
      <c r="CX27" s="730">
        <f t="shared" si="5"/>
        <v>2084</v>
      </c>
      <c r="CZ27" s="731" t="s">
        <v>347</v>
      </c>
      <c r="DA27" s="730">
        <v>1179380537</v>
      </c>
      <c r="DB27" s="730">
        <f t="shared" si="40"/>
        <v>1228914.5195540001</v>
      </c>
      <c r="DE27" s="729" t="s">
        <v>531</v>
      </c>
      <c r="DF27" s="687">
        <v>2000000</v>
      </c>
      <c r="DG27" s="687">
        <v>0</v>
      </c>
      <c r="DH27" s="687">
        <v>0</v>
      </c>
      <c r="DI27" s="687">
        <v>2000000</v>
      </c>
      <c r="DJ27" s="730">
        <f t="shared" si="41"/>
        <v>2084</v>
      </c>
      <c r="DK27" s="730">
        <f t="shared" si="42"/>
        <v>0</v>
      </c>
      <c r="DL27" s="730">
        <f t="shared" si="43"/>
        <v>0</v>
      </c>
      <c r="DM27" s="730">
        <f t="shared" si="44"/>
        <v>2084</v>
      </c>
      <c r="DP27" s="729" t="s">
        <v>347</v>
      </c>
      <c r="DQ27" s="687">
        <v>2109184607</v>
      </c>
      <c r="DR27" s="730">
        <f t="shared" si="45"/>
        <v>2109184.6069999998</v>
      </c>
      <c r="DT27" s="729" t="s">
        <v>531</v>
      </c>
      <c r="DU27" s="687">
        <v>2000000</v>
      </c>
      <c r="DV27" s="687">
        <v>0</v>
      </c>
      <c r="DW27" s="687">
        <v>0</v>
      </c>
      <c r="DX27" s="687">
        <v>2000000</v>
      </c>
      <c r="DY27" s="730">
        <f t="shared" si="46"/>
        <v>2000</v>
      </c>
      <c r="DZ27" s="730">
        <f t="shared" si="47"/>
        <v>0</v>
      </c>
      <c r="EA27" s="730">
        <f t="shared" si="48"/>
        <v>0</v>
      </c>
      <c r="EB27" s="730">
        <f t="shared" si="49"/>
        <v>2000</v>
      </c>
      <c r="EE27" s="731" t="s">
        <v>351</v>
      </c>
      <c r="EF27" s="730">
        <v>24711469</v>
      </c>
      <c r="EG27" s="734">
        <f t="shared" si="50"/>
        <v>24711.469000000001</v>
      </c>
      <c r="EI27" s="731" t="s">
        <v>581</v>
      </c>
      <c r="EJ27" s="730">
        <v>7388000</v>
      </c>
      <c r="EK27" s="730">
        <v>6359109</v>
      </c>
      <c r="EL27" s="730">
        <v>6359109</v>
      </c>
      <c r="EM27" s="734">
        <f t="shared" si="51"/>
        <v>7388</v>
      </c>
      <c r="EN27" s="734">
        <f t="shared" si="52"/>
        <v>6359.1090000000004</v>
      </c>
      <c r="EO27" s="734">
        <f t="shared" si="53"/>
        <v>6359.1090000000004</v>
      </c>
      <c r="ER27" s="729" t="s">
        <v>534</v>
      </c>
      <c r="ES27" s="687">
        <v>12316456</v>
      </c>
      <c r="ET27" s="730">
        <f t="shared" si="54"/>
        <v>12316.456</v>
      </c>
      <c r="EW27" s="729" t="s">
        <v>581</v>
      </c>
      <c r="EX27" s="687">
        <v>0</v>
      </c>
      <c r="EY27" s="687">
        <v>7388000</v>
      </c>
      <c r="EZ27" s="687">
        <v>6891222</v>
      </c>
      <c r="FA27" s="687">
        <v>6891222</v>
      </c>
      <c r="FB27" s="687">
        <v>496778</v>
      </c>
      <c r="FC27" s="730">
        <f t="shared" si="55"/>
        <v>0</v>
      </c>
      <c r="FD27" s="730">
        <f t="shared" si="56"/>
        <v>7388</v>
      </c>
      <c r="FE27" s="730">
        <f t="shared" si="57"/>
        <v>6891.2219999999998</v>
      </c>
      <c r="FF27" s="730">
        <f t="shared" si="58"/>
        <v>6891.2219999999998</v>
      </c>
      <c r="FG27" s="730">
        <f t="shared" si="59"/>
        <v>496.77800000000002</v>
      </c>
      <c r="FJ27" s="731" t="s">
        <v>345</v>
      </c>
      <c r="FK27" s="730">
        <v>140182</v>
      </c>
      <c r="FL27" s="734">
        <f t="shared" si="60"/>
        <v>140.18199999999999</v>
      </c>
      <c r="FN27" s="735" t="s">
        <v>531</v>
      </c>
      <c r="FO27" s="736">
        <v>2000000</v>
      </c>
      <c r="FP27" s="736">
        <v>0</v>
      </c>
      <c r="FQ27" s="736">
        <v>0</v>
      </c>
      <c r="FR27" s="736">
        <f t="shared" si="61"/>
        <v>2000</v>
      </c>
      <c r="FS27" s="736">
        <f t="shared" si="62"/>
        <v>0</v>
      </c>
      <c r="FT27" s="736">
        <f t="shared" si="63"/>
        <v>0</v>
      </c>
    </row>
    <row r="28" spans="1:176" ht="15" customHeight="1" x14ac:dyDescent="0.25">
      <c r="A28" s="728" t="s">
        <v>880</v>
      </c>
      <c r="B28" s="729" t="s">
        <v>344</v>
      </c>
      <c r="C28" s="687">
        <v>0</v>
      </c>
      <c r="D28" s="687">
        <v>1110000</v>
      </c>
      <c r="E28" s="687">
        <v>0</v>
      </c>
      <c r="F28" s="687">
        <v>1110000</v>
      </c>
      <c r="G28" s="687">
        <v>0</v>
      </c>
      <c r="H28" s="730">
        <f t="shared" si="10"/>
        <v>1156.6200000000001</v>
      </c>
      <c r="I28" s="730">
        <f t="shared" si="11"/>
        <v>0</v>
      </c>
      <c r="J28" s="730">
        <f t="shared" si="12"/>
        <v>1156.6200000000001</v>
      </c>
      <c r="K28" s="730">
        <f t="shared" si="13"/>
        <v>0</v>
      </c>
      <c r="O28" s="729" t="s">
        <v>535</v>
      </c>
      <c r="P28" s="687">
        <v>171732468</v>
      </c>
      <c r="Q28" s="730">
        <f t="shared" si="14"/>
        <v>178945.23165599999</v>
      </c>
      <c r="S28" s="729" t="s">
        <v>344</v>
      </c>
      <c r="T28" s="687">
        <v>1110000</v>
      </c>
      <c r="U28" s="687">
        <v>0</v>
      </c>
      <c r="V28" s="687">
        <v>0</v>
      </c>
      <c r="W28" s="687">
        <v>1110000</v>
      </c>
      <c r="X28" s="730">
        <f t="shared" si="15"/>
        <v>1156.6200000000001</v>
      </c>
      <c r="Y28" s="730">
        <f t="shared" si="16"/>
        <v>0</v>
      </c>
      <c r="Z28" s="730">
        <f t="shared" si="17"/>
        <v>0</v>
      </c>
      <c r="AA28" s="730">
        <f t="shared" si="18"/>
        <v>1156.6200000000001</v>
      </c>
      <c r="AC28" s="729" t="s">
        <v>349</v>
      </c>
      <c r="AD28" s="687">
        <v>254715762</v>
      </c>
      <c r="AE28" s="730">
        <f t="shared" si="19"/>
        <v>265413.82400399999</v>
      </c>
      <c r="AG28" s="729" t="s">
        <v>344</v>
      </c>
      <c r="AH28" s="687">
        <v>1110000</v>
      </c>
      <c r="AI28" s="687">
        <v>165512</v>
      </c>
      <c r="AJ28" s="687">
        <v>165512</v>
      </c>
      <c r="AK28" s="687">
        <v>944488</v>
      </c>
      <c r="AL28" s="687">
        <f t="shared" si="20"/>
        <v>1156.6200000000001</v>
      </c>
      <c r="AM28" s="687">
        <f t="shared" si="21"/>
        <v>172.463504</v>
      </c>
      <c r="AN28" s="687">
        <f t="shared" si="22"/>
        <v>172.463504</v>
      </c>
      <c r="AO28" s="687">
        <f t="shared" si="23"/>
        <v>984.15649600000006</v>
      </c>
      <c r="AR28" s="729" t="s">
        <v>535</v>
      </c>
      <c r="AS28" s="687">
        <v>175870465</v>
      </c>
      <c r="AT28" s="687">
        <f t="shared" si="24"/>
        <v>183257.02453</v>
      </c>
      <c r="AV28" s="729" t="s">
        <v>344</v>
      </c>
      <c r="AW28" s="687">
        <v>1110000</v>
      </c>
      <c r="AX28" s="687">
        <v>165512</v>
      </c>
      <c r="AY28" s="687">
        <v>165512</v>
      </c>
      <c r="AZ28" s="687">
        <v>944488</v>
      </c>
      <c r="BA28" s="730">
        <f t="shared" si="25"/>
        <v>1156.6200000000001</v>
      </c>
      <c r="BB28" s="730">
        <f t="shared" si="26"/>
        <v>172.463504</v>
      </c>
      <c r="BC28" s="730">
        <f t="shared" si="27"/>
        <v>172.463504</v>
      </c>
      <c r="BD28" s="730">
        <f t="shared" si="28"/>
        <v>984.15649600000006</v>
      </c>
      <c r="BG28" s="754" t="s">
        <v>535</v>
      </c>
      <c r="BH28" s="687">
        <v>175271281</v>
      </c>
      <c r="BI28" s="755">
        <f t="shared" si="29"/>
        <v>182632.67480199999</v>
      </c>
      <c r="BK28" s="754" t="s">
        <v>344</v>
      </c>
      <c r="BL28" s="687">
        <v>1110000</v>
      </c>
      <c r="BM28" s="687">
        <v>165512</v>
      </c>
      <c r="BN28" s="687">
        <v>165512</v>
      </c>
      <c r="BO28" s="687">
        <v>944488</v>
      </c>
      <c r="BP28" s="687">
        <f t="shared" si="30"/>
        <v>1156.6200000000001</v>
      </c>
      <c r="BQ28" s="687">
        <f t="shared" si="31"/>
        <v>172.463504</v>
      </c>
      <c r="BR28" s="687">
        <f t="shared" si="32"/>
        <v>172.463504</v>
      </c>
      <c r="BS28" s="755">
        <f t="shared" si="33"/>
        <v>984.15649600000006</v>
      </c>
      <c r="BV28" s="729" t="s">
        <v>348</v>
      </c>
      <c r="BW28" s="687">
        <v>1584988480</v>
      </c>
      <c r="BX28" s="730">
        <f t="shared" si="34"/>
        <v>1651557.9961600001</v>
      </c>
      <c r="BZ28" s="729" t="s">
        <v>344</v>
      </c>
      <c r="CA28" s="687">
        <v>1275512</v>
      </c>
      <c r="CB28" s="687">
        <v>331024</v>
      </c>
      <c r="CC28" s="687">
        <v>331024</v>
      </c>
      <c r="CD28" s="687">
        <v>944488</v>
      </c>
      <c r="CE28" s="687">
        <f t="shared" si="35"/>
        <v>1329.0835039999999</v>
      </c>
      <c r="CF28" s="687">
        <f t="shared" si="36"/>
        <v>344.927008</v>
      </c>
      <c r="CG28" s="687">
        <f t="shared" si="37"/>
        <v>344.927008</v>
      </c>
      <c r="CH28" s="687">
        <f t="shared" si="38"/>
        <v>984.15649600000006</v>
      </c>
      <c r="CK28" s="731" t="s">
        <v>348</v>
      </c>
      <c r="CL28" s="730">
        <v>1093977664</v>
      </c>
      <c r="CM28" s="730">
        <f t="shared" si="39"/>
        <v>1139924.7258880001</v>
      </c>
      <c r="CP28" s="731" t="s">
        <v>344</v>
      </c>
      <c r="CQ28" s="730">
        <v>1275512</v>
      </c>
      <c r="CR28" s="730">
        <v>329090</v>
      </c>
      <c r="CS28" s="730">
        <v>329090</v>
      </c>
      <c r="CT28" s="730">
        <v>946422</v>
      </c>
      <c r="CU28" s="730">
        <f t="shared" si="2"/>
        <v>1329.0835039999999</v>
      </c>
      <c r="CV28" s="730">
        <f t="shared" si="3"/>
        <v>342.91177999999996</v>
      </c>
      <c r="CW28" s="730">
        <f t="shared" si="4"/>
        <v>342.91177999999996</v>
      </c>
      <c r="CX28" s="730">
        <f t="shared" si="5"/>
        <v>986.17172400000004</v>
      </c>
      <c r="CZ28" s="731" t="s">
        <v>348</v>
      </c>
      <c r="DA28" s="730">
        <v>1091330690</v>
      </c>
      <c r="DB28" s="730">
        <f t="shared" si="40"/>
        <v>1137166.57898</v>
      </c>
      <c r="DE28" s="729" t="s">
        <v>344</v>
      </c>
      <c r="DF28" s="687">
        <v>1275512</v>
      </c>
      <c r="DG28" s="687">
        <v>326529</v>
      </c>
      <c r="DH28" s="687">
        <v>326529</v>
      </c>
      <c r="DI28" s="687">
        <v>948983</v>
      </c>
      <c r="DJ28" s="730">
        <f t="shared" si="41"/>
        <v>1329.0835039999999</v>
      </c>
      <c r="DK28" s="730">
        <f t="shared" si="42"/>
        <v>340.24321800000001</v>
      </c>
      <c r="DL28" s="730">
        <f t="shared" si="43"/>
        <v>340.24321800000001</v>
      </c>
      <c r="DM28" s="730">
        <f t="shared" si="44"/>
        <v>988.84028599999999</v>
      </c>
      <c r="DP28" s="729" t="s">
        <v>348</v>
      </c>
      <c r="DQ28" s="687">
        <v>1598754250</v>
      </c>
      <c r="DR28" s="730">
        <f t="shared" si="45"/>
        <v>1598754.25</v>
      </c>
      <c r="DT28" s="729" t="s">
        <v>344</v>
      </c>
      <c r="DU28" s="687">
        <v>1575512</v>
      </c>
      <c r="DV28" s="687">
        <v>529764</v>
      </c>
      <c r="DW28" s="687">
        <v>529764</v>
      </c>
      <c r="DX28" s="687">
        <v>1045748</v>
      </c>
      <c r="DY28" s="730">
        <f t="shared" si="46"/>
        <v>1575.5119999999999</v>
      </c>
      <c r="DZ28" s="730">
        <f t="shared" si="47"/>
        <v>529.76400000000001</v>
      </c>
      <c r="EA28" s="730">
        <f t="shared" si="48"/>
        <v>529.76400000000001</v>
      </c>
      <c r="EB28" s="730">
        <f t="shared" si="49"/>
        <v>1045.748</v>
      </c>
      <c r="EE28" s="731" t="s">
        <v>534</v>
      </c>
      <c r="EF28" s="730">
        <v>12370507</v>
      </c>
      <c r="EG28" s="734">
        <f t="shared" si="50"/>
        <v>12370.507</v>
      </c>
      <c r="EI28" s="731" t="s">
        <v>531</v>
      </c>
      <c r="EJ28" s="730">
        <v>2000000</v>
      </c>
      <c r="EK28" s="730">
        <v>0</v>
      </c>
      <c r="EL28" s="730">
        <v>0</v>
      </c>
      <c r="EM28" s="734">
        <f t="shared" si="51"/>
        <v>2000</v>
      </c>
      <c r="EN28" s="734">
        <f t="shared" si="52"/>
        <v>0</v>
      </c>
      <c r="EO28" s="734">
        <f t="shared" si="53"/>
        <v>0</v>
      </c>
      <c r="ER28" s="729" t="s">
        <v>535</v>
      </c>
      <c r="ES28" s="687">
        <v>176857494</v>
      </c>
      <c r="ET28" s="730">
        <f t="shared" si="54"/>
        <v>176857.49400000001</v>
      </c>
      <c r="EW28" s="729" t="s">
        <v>531</v>
      </c>
      <c r="EX28" s="687">
        <v>0</v>
      </c>
      <c r="EY28" s="687">
        <v>2000000</v>
      </c>
      <c r="EZ28" s="687">
        <v>0</v>
      </c>
      <c r="FA28" s="687">
        <v>0</v>
      </c>
      <c r="FB28" s="687">
        <v>2000000</v>
      </c>
      <c r="FC28" s="730">
        <f t="shared" si="55"/>
        <v>0</v>
      </c>
      <c r="FD28" s="730">
        <f t="shared" si="56"/>
        <v>2000</v>
      </c>
      <c r="FE28" s="730">
        <f t="shared" si="57"/>
        <v>0</v>
      </c>
      <c r="FF28" s="730">
        <f t="shared" si="58"/>
        <v>0</v>
      </c>
      <c r="FG28" s="730">
        <f t="shared" si="59"/>
        <v>2000</v>
      </c>
      <c r="FJ28" s="731" t="s">
        <v>346</v>
      </c>
      <c r="FK28" s="730">
        <v>539068</v>
      </c>
      <c r="FL28" s="734">
        <f t="shared" si="60"/>
        <v>539.06799999999998</v>
      </c>
      <c r="FN28" s="735" t="s">
        <v>344</v>
      </c>
      <c r="FO28" s="736">
        <v>1210551</v>
      </c>
      <c r="FP28" s="736">
        <v>1209014</v>
      </c>
      <c r="FQ28" s="736">
        <v>1209014</v>
      </c>
      <c r="FR28" s="736">
        <f t="shared" si="61"/>
        <v>1210.5509999999999</v>
      </c>
      <c r="FS28" s="736">
        <f t="shared" si="62"/>
        <v>1209.0139999999999</v>
      </c>
      <c r="FT28" s="736">
        <f t="shared" si="63"/>
        <v>1209.0139999999999</v>
      </c>
    </row>
    <row r="29" spans="1:176" ht="15" customHeight="1" x14ac:dyDescent="0.25">
      <c r="A29" s="728" t="s">
        <v>881</v>
      </c>
      <c r="B29" s="729" t="s">
        <v>345</v>
      </c>
      <c r="C29" s="687">
        <v>0</v>
      </c>
      <c r="D29" s="687">
        <v>10000</v>
      </c>
      <c r="E29" s="687">
        <v>0</v>
      </c>
      <c r="F29" s="687">
        <v>10000</v>
      </c>
      <c r="G29" s="687">
        <v>0</v>
      </c>
      <c r="H29" s="730">
        <f t="shared" si="10"/>
        <v>10.42</v>
      </c>
      <c r="I29" s="730">
        <f t="shared" si="11"/>
        <v>0</v>
      </c>
      <c r="J29" s="730">
        <f t="shared" si="12"/>
        <v>10.42</v>
      </c>
      <c r="K29" s="730">
        <f t="shared" si="13"/>
        <v>0</v>
      </c>
      <c r="O29" s="729" t="s">
        <v>536</v>
      </c>
      <c r="P29" s="687">
        <v>404577234</v>
      </c>
      <c r="Q29" s="730">
        <f t="shared" si="14"/>
        <v>421569.47782800003</v>
      </c>
      <c r="S29" s="729" t="s">
        <v>345</v>
      </c>
      <c r="T29" s="687">
        <v>10000</v>
      </c>
      <c r="U29" s="687">
        <v>0</v>
      </c>
      <c r="V29" s="687">
        <v>0</v>
      </c>
      <c r="W29" s="687">
        <v>10000</v>
      </c>
      <c r="X29" s="730">
        <f t="shared" si="15"/>
        <v>10.42</v>
      </c>
      <c r="Y29" s="730">
        <f t="shared" si="16"/>
        <v>0</v>
      </c>
      <c r="Z29" s="730">
        <f t="shared" si="17"/>
        <v>0</v>
      </c>
      <c r="AA29" s="730">
        <f t="shared" si="18"/>
        <v>10.42</v>
      </c>
      <c r="AC29" s="729" t="s">
        <v>532</v>
      </c>
      <c r="AD29" s="687">
        <v>12171579</v>
      </c>
      <c r="AE29" s="730">
        <f t="shared" si="19"/>
        <v>12682.785318</v>
      </c>
      <c r="AG29" s="729" t="s">
        <v>345</v>
      </c>
      <c r="AH29" s="687">
        <v>10000</v>
      </c>
      <c r="AI29" s="687">
        <v>0</v>
      </c>
      <c r="AJ29" s="687">
        <v>0</v>
      </c>
      <c r="AK29" s="687">
        <v>10000</v>
      </c>
      <c r="AL29" s="687">
        <f t="shared" si="20"/>
        <v>10.42</v>
      </c>
      <c r="AM29" s="687">
        <f t="shared" si="21"/>
        <v>0</v>
      </c>
      <c r="AN29" s="687">
        <f t="shared" si="22"/>
        <v>0</v>
      </c>
      <c r="AO29" s="687">
        <f t="shared" si="23"/>
        <v>10.42</v>
      </c>
      <c r="AR29" s="729" t="s">
        <v>536</v>
      </c>
      <c r="AS29" s="687">
        <v>414978395</v>
      </c>
      <c r="AT29" s="687">
        <f t="shared" si="24"/>
        <v>432407.48759000003</v>
      </c>
      <c r="AV29" s="729" t="s">
        <v>345</v>
      </c>
      <c r="AW29" s="687">
        <v>10000</v>
      </c>
      <c r="AX29" s="687">
        <v>0</v>
      </c>
      <c r="AY29" s="687">
        <v>0</v>
      </c>
      <c r="AZ29" s="687">
        <v>10000</v>
      </c>
      <c r="BA29" s="730">
        <f t="shared" si="25"/>
        <v>10.42</v>
      </c>
      <c r="BB29" s="730">
        <f t="shared" si="26"/>
        <v>0</v>
      </c>
      <c r="BC29" s="730">
        <f t="shared" si="27"/>
        <v>0</v>
      </c>
      <c r="BD29" s="730">
        <f t="shared" si="28"/>
        <v>10.42</v>
      </c>
      <c r="BG29" s="754" t="s">
        <v>536</v>
      </c>
      <c r="BH29" s="687">
        <v>414307156</v>
      </c>
      <c r="BI29" s="755">
        <f t="shared" si="29"/>
        <v>431708.05655200005</v>
      </c>
      <c r="BK29" s="754" t="s">
        <v>345</v>
      </c>
      <c r="BL29" s="687">
        <v>10000</v>
      </c>
      <c r="BM29" s="687">
        <v>0</v>
      </c>
      <c r="BN29" s="687">
        <v>0</v>
      </c>
      <c r="BO29" s="687">
        <v>10000</v>
      </c>
      <c r="BP29" s="687">
        <f t="shared" si="30"/>
        <v>10.42</v>
      </c>
      <c r="BQ29" s="687">
        <f t="shared" si="31"/>
        <v>0</v>
      </c>
      <c r="BR29" s="687">
        <f t="shared" si="32"/>
        <v>0</v>
      </c>
      <c r="BS29" s="755">
        <f t="shared" si="33"/>
        <v>10.42</v>
      </c>
      <c r="BV29" s="729" t="s">
        <v>349</v>
      </c>
      <c r="BW29" s="687">
        <v>261152524</v>
      </c>
      <c r="BX29" s="730">
        <f t="shared" si="34"/>
        <v>272120.930008</v>
      </c>
      <c r="BZ29" s="729" t="s">
        <v>345</v>
      </c>
      <c r="CA29" s="687">
        <v>10000</v>
      </c>
      <c r="CB29" s="687">
        <v>0</v>
      </c>
      <c r="CC29" s="687">
        <v>0</v>
      </c>
      <c r="CD29" s="687">
        <v>10000</v>
      </c>
      <c r="CE29" s="687">
        <f t="shared" si="35"/>
        <v>10.42</v>
      </c>
      <c r="CF29" s="687">
        <f t="shared" si="36"/>
        <v>0</v>
      </c>
      <c r="CG29" s="687">
        <f t="shared" si="37"/>
        <v>0</v>
      </c>
      <c r="CH29" s="687">
        <f t="shared" si="38"/>
        <v>10.42</v>
      </c>
      <c r="CK29" s="731" t="s">
        <v>349</v>
      </c>
      <c r="CL29" s="730">
        <v>261775830</v>
      </c>
      <c r="CM29" s="730">
        <f t="shared" si="39"/>
        <v>272770.41486000002</v>
      </c>
      <c r="CP29" s="731" t="s">
        <v>345</v>
      </c>
      <c r="CQ29" s="730">
        <v>10000</v>
      </c>
      <c r="CR29" s="730">
        <v>0</v>
      </c>
      <c r="CS29" s="730">
        <v>0</v>
      </c>
      <c r="CT29" s="730">
        <v>10000</v>
      </c>
      <c r="CU29" s="730">
        <f t="shared" si="2"/>
        <v>10.42</v>
      </c>
      <c r="CV29" s="730">
        <f t="shared" si="3"/>
        <v>0</v>
      </c>
      <c r="CW29" s="730">
        <f t="shared" si="4"/>
        <v>0</v>
      </c>
      <c r="CX29" s="730">
        <f t="shared" si="5"/>
        <v>10.42</v>
      </c>
      <c r="CZ29" s="731" t="s">
        <v>349</v>
      </c>
      <c r="DA29" s="730">
        <v>260736664</v>
      </c>
      <c r="DB29" s="730">
        <f t="shared" si="40"/>
        <v>271687.60388800001</v>
      </c>
      <c r="DE29" s="729" t="s">
        <v>345</v>
      </c>
      <c r="DF29" s="687">
        <v>10000</v>
      </c>
      <c r="DG29" s="687">
        <v>0</v>
      </c>
      <c r="DH29" s="687">
        <v>0</v>
      </c>
      <c r="DI29" s="687">
        <v>10000</v>
      </c>
      <c r="DJ29" s="730">
        <f t="shared" si="41"/>
        <v>10.42</v>
      </c>
      <c r="DK29" s="730">
        <f t="shared" si="42"/>
        <v>0</v>
      </c>
      <c r="DL29" s="730">
        <f t="shared" si="43"/>
        <v>0</v>
      </c>
      <c r="DM29" s="730">
        <f t="shared" si="44"/>
        <v>10.42</v>
      </c>
      <c r="DP29" s="729" t="s">
        <v>349</v>
      </c>
      <c r="DQ29" s="687">
        <v>261049968</v>
      </c>
      <c r="DR29" s="730">
        <f t="shared" si="45"/>
        <v>261049.96799999999</v>
      </c>
      <c r="DT29" s="729" t="s">
        <v>345</v>
      </c>
      <c r="DU29" s="687">
        <v>310000</v>
      </c>
      <c r="DV29" s="687">
        <v>203235</v>
      </c>
      <c r="DW29" s="687">
        <v>203235</v>
      </c>
      <c r="DX29" s="687">
        <v>106765</v>
      </c>
      <c r="DY29" s="730">
        <f t="shared" si="46"/>
        <v>310</v>
      </c>
      <c r="DZ29" s="730">
        <f t="shared" si="47"/>
        <v>203.23500000000001</v>
      </c>
      <c r="EA29" s="730">
        <f t="shared" si="48"/>
        <v>203.23500000000001</v>
      </c>
      <c r="EB29" s="730">
        <f t="shared" si="49"/>
        <v>106.765</v>
      </c>
      <c r="EE29" s="731" t="s">
        <v>535</v>
      </c>
      <c r="EF29" s="730">
        <v>176622469</v>
      </c>
      <c r="EG29" s="734">
        <f t="shared" si="50"/>
        <v>176622.46900000001</v>
      </c>
      <c r="EI29" s="731" t="s">
        <v>344</v>
      </c>
      <c r="EJ29" s="730">
        <v>1575512</v>
      </c>
      <c r="EK29" s="730">
        <v>529764</v>
      </c>
      <c r="EL29" s="730">
        <v>529764</v>
      </c>
      <c r="EM29" s="734">
        <f t="shared" si="51"/>
        <v>1575.5119999999999</v>
      </c>
      <c r="EN29" s="734">
        <f t="shared" si="52"/>
        <v>529.76400000000001</v>
      </c>
      <c r="EO29" s="734">
        <f t="shared" si="53"/>
        <v>529.76400000000001</v>
      </c>
      <c r="ER29" s="729" t="s">
        <v>536</v>
      </c>
      <c r="ES29" s="687">
        <v>418168335</v>
      </c>
      <c r="ET29" s="730">
        <f t="shared" si="54"/>
        <v>418168.33500000002</v>
      </c>
      <c r="EW29" s="729" t="s">
        <v>344</v>
      </c>
      <c r="EX29" s="687">
        <v>0</v>
      </c>
      <c r="EY29" s="687">
        <v>1575512</v>
      </c>
      <c r="EZ29" s="687">
        <v>529764</v>
      </c>
      <c r="FA29" s="687">
        <v>529764</v>
      </c>
      <c r="FB29" s="687">
        <v>1045748</v>
      </c>
      <c r="FC29" s="730">
        <f t="shared" si="55"/>
        <v>0</v>
      </c>
      <c r="FD29" s="730">
        <f t="shared" si="56"/>
        <v>1575.5119999999999</v>
      </c>
      <c r="FE29" s="730">
        <f t="shared" si="57"/>
        <v>529.76400000000001</v>
      </c>
      <c r="FF29" s="730">
        <f t="shared" si="58"/>
        <v>529.76400000000001</v>
      </c>
      <c r="FG29" s="730">
        <f t="shared" si="59"/>
        <v>1045.748</v>
      </c>
      <c r="FJ29" s="731" t="s">
        <v>347</v>
      </c>
      <c r="FK29" s="730">
        <v>2202884511</v>
      </c>
      <c r="FL29" s="734">
        <f t="shared" si="60"/>
        <v>2202884.5109999999</v>
      </c>
      <c r="FN29" s="735" t="s">
        <v>345</v>
      </c>
      <c r="FO29" s="736">
        <v>344954</v>
      </c>
      <c r="FP29" s="736">
        <v>343417</v>
      </c>
      <c r="FQ29" s="736">
        <v>343417</v>
      </c>
      <c r="FR29" s="736">
        <f t="shared" si="61"/>
        <v>344.95400000000001</v>
      </c>
      <c r="FS29" s="736">
        <f t="shared" si="62"/>
        <v>343.41699999999997</v>
      </c>
      <c r="FT29" s="736">
        <f t="shared" si="63"/>
        <v>343.41699999999997</v>
      </c>
    </row>
    <row r="30" spans="1:176" ht="15" customHeight="1" x14ac:dyDescent="0.25">
      <c r="A30" s="728" t="s">
        <v>881</v>
      </c>
      <c r="B30" s="729" t="s">
        <v>457</v>
      </c>
      <c r="C30" s="687">
        <v>0</v>
      </c>
      <c r="D30" s="687">
        <v>320000</v>
      </c>
      <c r="E30" s="687">
        <v>0</v>
      </c>
      <c r="F30" s="687">
        <v>320000</v>
      </c>
      <c r="G30" s="687">
        <v>0</v>
      </c>
      <c r="H30" s="730">
        <f t="shared" si="10"/>
        <v>333.44</v>
      </c>
      <c r="I30" s="730">
        <f t="shared" si="11"/>
        <v>0</v>
      </c>
      <c r="J30" s="730">
        <f t="shared" si="12"/>
        <v>333.44</v>
      </c>
      <c r="K30" s="730">
        <f t="shared" si="13"/>
        <v>0</v>
      </c>
      <c r="O30" s="729" t="s">
        <v>539</v>
      </c>
      <c r="P30" s="687">
        <v>347866</v>
      </c>
      <c r="Q30" s="730">
        <f t="shared" si="14"/>
        <v>362.47637200000003</v>
      </c>
      <c r="S30" s="729" t="s">
        <v>457</v>
      </c>
      <c r="T30" s="687">
        <v>320000</v>
      </c>
      <c r="U30" s="687">
        <v>0</v>
      </c>
      <c r="V30" s="687">
        <v>0</v>
      </c>
      <c r="W30" s="687">
        <v>320000</v>
      </c>
      <c r="X30" s="730">
        <f t="shared" si="15"/>
        <v>333.44</v>
      </c>
      <c r="Y30" s="730">
        <f t="shared" si="16"/>
        <v>0</v>
      </c>
      <c r="Z30" s="730">
        <f t="shared" si="17"/>
        <v>0</v>
      </c>
      <c r="AA30" s="730">
        <f t="shared" si="18"/>
        <v>333.44</v>
      </c>
      <c r="AC30" s="729" t="s">
        <v>350</v>
      </c>
      <c r="AD30" s="687">
        <v>180662825</v>
      </c>
      <c r="AE30" s="730">
        <f t="shared" si="19"/>
        <v>188250.66365000003</v>
      </c>
      <c r="AG30" s="729" t="s">
        <v>457</v>
      </c>
      <c r="AH30" s="687">
        <v>320000</v>
      </c>
      <c r="AI30" s="687">
        <v>165512</v>
      </c>
      <c r="AJ30" s="687">
        <v>165512</v>
      </c>
      <c r="AK30" s="687">
        <v>154488</v>
      </c>
      <c r="AL30" s="687">
        <f t="shared" si="20"/>
        <v>333.44</v>
      </c>
      <c r="AM30" s="687">
        <f t="shared" si="21"/>
        <v>172.463504</v>
      </c>
      <c r="AN30" s="687">
        <f t="shared" si="22"/>
        <v>172.463504</v>
      </c>
      <c r="AO30" s="687">
        <f t="shared" si="23"/>
        <v>160.976496</v>
      </c>
      <c r="AR30" s="729" t="s">
        <v>537</v>
      </c>
      <c r="AS30" s="687">
        <v>1071360</v>
      </c>
      <c r="AT30" s="687">
        <f t="shared" si="24"/>
        <v>1116.3571199999999</v>
      </c>
      <c r="AV30" s="729" t="s">
        <v>457</v>
      </c>
      <c r="AW30" s="687">
        <v>320000</v>
      </c>
      <c r="AX30" s="687">
        <v>165512</v>
      </c>
      <c r="AY30" s="687">
        <v>165512</v>
      </c>
      <c r="AZ30" s="687">
        <v>154488</v>
      </c>
      <c r="BA30" s="730">
        <f t="shared" si="25"/>
        <v>333.44</v>
      </c>
      <c r="BB30" s="730">
        <f t="shared" si="26"/>
        <v>172.463504</v>
      </c>
      <c r="BC30" s="730">
        <f t="shared" si="27"/>
        <v>172.463504</v>
      </c>
      <c r="BD30" s="730">
        <f t="shared" si="28"/>
        <v>160.976496</v>
      </c>
      <c r="BG30" s="754" t="s">
        <v>539</v>
      </c>
      <c r="BH30" s="687">
        <v>347866</v>
      </c>
      <c r="BI30" s="755">
        <f t="shared" si="29"/>
        <v>362.47637200000003</v>
      </c>
      <c r="BK30" s="754" t="s">
        <v>457</v>
      </c>
      <c r="BL30" s="687">
        <v>320000</v>
      </c>
      <c r="BM30" s="687">
        <v>165512</v>
      </c>
      <c r="BN30" s="687">
        <v>165512</v>
      </c>
      <c r="BO30" s="687">
        <v>154488</v>
      </c>
      <c r="BP30" s="687">
        <f t="shared" si="30"/>
        <v>333.44</v>
      </c>
      <c r="BQ30" s="687">
        <f t="shared" si="31"/>
        <v>172.463504</v>
      </c>
      <c r="BR30" s="687">
        <f t="shared" si="32"/>
        <v>172.463504</v>
      </c>
      <c r="BS30" s="755">
        <f t="shared" si="33"/>
        <v>160.976496</v>
      </c>
      <c r="BV30" s="729" t="s">
        <v>532</v>
      </c>
      <c r="BW30" s="687">
        <v>11855183</v>
      </c>
      <c r="BX30" s="730">
        <f t="shared" si="34"/>
        <v>12353.100686000002</v>
      </c>
      <c r="BZ30" s="729" t="s">
        <v>457</v>
      </c>
      <c r="CA30" s="687">
        <v>485512</v>
      </c>
      <c r="CB30" s="687">
        <v>331024</v>
      </c>
      <c r="CC30" s="687">
        <v>331024</v>
      </c>
      <c r="CD30" s="687">
        <v>154488</v>
      </c>
      <c r="CE30" s="687">
        <f t="shared" si="35"/>
        <v>505.903504</v>
      </c>
      <c r="CF30" s="687">
        <f t="shared" si="36"/>
        <v>344.927008</v>
      </c>
      <c r="CG30" s="687">
        <f t="shared" si="37"/>
        <v>344.927008</v>
      </c>
      <c r="CH30" s="687">
        <f t="shared" si="38"/>
        <v>160.976496</v>
      </c>
      <c r="CK30" s="731" t="s">
        <v>532</v>
      </c>
      <c r="CL30" s="730">
        <v>11823294</v>
      </c>
      <c r="CM30" s="730">
        <f t="shared" si="39"/>
        <v>12319.872348000001</v>
      </c>
      <c r="CP30" s="731" t="s">
        <v>457</v>
      </c>
      <c r="CQ30" s="730">
        <v>485512</v>
      </c>
      <c r="CR30" s="730">
        <v>329090</v>
      </c>
      <c r="CS30" s="730">
        <v>329090</v>
      </c>
      <c r="CT30" s="730">
        <v>156422</v>
      </c>
      <c r="CU30" s="730">
        <f t="shared" si="2"/>
        <v>505.903504</v>
      </c>
      <c r="CV30" s="730">
        <f t="shared" si="3"/>
        <v>342.91177999999996</v>
      </c>
      <c r="CW30" s="730">
        <f t="shared" si="4"/>
        <v>342.91177999999996</v>
      </c>
      <c r="CX30" s="730">
        <f t="shared" si="5"/>
        <v>162.991724</v>
      </c>
      <c r="CZ30" s="731" t="s">
        <v>532</v>
      </c>
      <c r="DA30" s="730">
        <v>11908945</v>
      </c>
      <c r="DB30" s="730">
        <f t="shared" si="40"/>
        <v>12409.12069</v>
      </c>
      <c r="DE30" s="729" t="s">
        <v>457</v>
      </c>
      <c r="DF30" s="687">
        <v>485512</v>
      </c>
      <c r="DG30" s="687">
        <v>326529</v>
      </c>
      <c r="DH30" s="687">
        <v>326529</v>
      </c>
      <c r="DI30" s="687">
        <v>158983</v>
      </c>
      <c r="DJ30" s="730">
        <f t="shared" si="41"/>
        <v>505.903504</v>
      </c>
      <c r="DK30" s="730">
        <f t="shared" si="42"/>
        <v>340.24321800000001</v>
      </c>
      <c r="DL30" s="730">
        <f t="shared" si="43"/>
        <v>340.24321800000001</v>
      </c>
      <c r="DM30" s="730">
        <f t="shared" si="44"/>
        <v>165.66028600000001</v>
      </c>
      <c r="DP30" s="729" t="s">
        <v>532</v>
      </c>
      <c r="DQ30" s="687">
        <v>12064635</v>
      </c>
      <c r="DR30" s="730">
        <f t="shared" si="45"/>
        <v>12064.635</v>
      </c>
      <c r="DT30" s="729" t="s">
        <v>457</v>
      </c>
      <c r="DU30" s="687">
        <v>485512</v>
      </c>
      <c r="DV30" s="687">
        <v>326529</v>
      </c>
      <c r="DW30" s="687">
        <v>326529</v>
      </c>
      <c r="DX30" s="687">
        <v>158983</v>
      </c>
      <c r="DY30" s="730">
        <f t="shared" si="46"/>
        <v>485.512</v>
      </c>
      <c r="DZ30" s="730">
        <f t="shared" si="47"/>
        <v>326.529</v>
      </c>
      <c r="EA30" s="730">
        <f t="shared" si="48"/>
        <v>326.529</v>
      </c>
      <c r="EB30" s="730">
        <f t="shared" si="49"/>
        <v>158.983</v>
      </c>
      <c r="EE30" s="731" t="s">
        <v>536</v>
      </c>
      <c r="EF30" s="730">
        <v>417336849</v>
      </c>
      <c r="EG30" s="734">
        <f t="shared" si="50"/>
        <v>417336.84899999999</v>
      </c>
      <c r="EI30" s="731" t="s">
        <v>345</v>
      </c>
      <c r="EJ30" s="730">
        <v>310000</v>
      </c>
      <c r="EK30" s="730">
        <v>203235</v>
      </c>
      <c r="EL30" s="730">
        <v>203235</v>
      </c>
      <c r="EM30" s="734">
        <f t="shared" si="51"/>
        <v>310</v>
      </c>
      <c r="EN30" s="734">
        <f t="shared" si="52"/>
        <v>203.23500000000001</v>
      </c>
      <c r="EO30" s="734">
        <f t="shared" si="53"/>
        <v>203.23500000000001</v>
      </c>
      <c r="ER30" s="729" t="s">
        <v>539</v>
      </c>
      <c r="ES30" s="687">
        <v>349605</v>
      </c>
      <c r="ET30" s="730">
        <f t="shared" si="54"/>
        <v>349.60500000000002</v>
      </c>
      <c r="EW30" s="729" t="s">
        <v>345</v>
      </c>
      <c r="EX30" s="687">
        <v>0</v>
      </c>
      <c r="EY30" s="687">
        <v>310000</v>
      </c>
      <c r="EZ30" s="687">
        <v>203235</v>
      </c>
      <c r="FA30" s="687">
        <v>203235</v>
      </c>
      <c r="FB30" s="687">
        <v>106765</v>
      </c>
      <c r="FC30" s="730">
        <f t="shared" si="55"/>
        <v>0</v>
      </c>
      <c r="FD30" s="730">
        <f t="shared" si="56"/>
        <v>310</v>
      </c>
      <c r="FE30" s="730">
        <f t="shared" si="57"/>
        <v>203.23500000000001</v>
      </c>
      <c r="FF30" s="730">
        <f t="shared" si="58"/>
        <v>203.23500000000001</v>
      </c>
      <c r="FG30" s="730">
        <f t="shared" si="59"/>
        <v>106.765</v>
      </c>
      <c r="FJ30" s="731" t="s">
        <v>348</v>
      </c>
      <c r="FK30" s="730">
        <v>1628256951</v>
      </c>
      <c r="FL30" s="734">
        <f t="shared" si="60"/>
        <v>1628256.9509999999</v>
      </c>
      <c r="FN30" s="735" t="s">
        <v>457</v>
      </c>
      <c r="FO30" s="736">
        <v>326529</v>
      </c>
      <c r="FP30" s="736">
        <v>326529</v>
      </c>
      <c r="FQ30" s="736">
        <v>326529</v>
      </c>
      <c r="FR30" s="736">
        <f t="shared" si="61"/>
        <v>326.529</v>
      </c>
      <c r="FS30" s="736">
        <f t="shared" si="62"/>
        <v>326.529</v>
      </c>
      <c r="FT30" s="736">
        <f t="shared" si="63"/>
        <v>326.529</v>
      </c>
    </row>
    <row r="31" spans="1:176" ht="15" customHeight="1" x14ac:dyDescent="0.25">
      <c r="A31" s="728" t="s">
        <v>881</v>
      </c>
      <c r="B31" s="729" t="s">
        <v>346</v>
      </c>
      <c r="C31" s="687">
        <v>0</v>
      </c>
      <c r="D31" s="687">
        <v>780000</v>
      </c>
      <c r="E31" s="687">
        <v>0</v>
      </c>
      <c r="F31" s="687">
        <v>780000</v>
      </c>
      <c r="G31" s="687">
        <v>0</v>
      </c>
      <c r="H31" s="730">
        <f t="shared" si="10"/>
        <v>812.76</v>
      </c>
      <c r="I31" s="730">
        <f t="shared" si="11"/>
        <v>0</v>
      </c>
      <c r="J31" s="730">
        <f t="shared" si="12"/>
        <v>812.76</v>
      </c>
      <c r="K31" s="730">
        <f t="shared" si="13"/>
        <v>0</v>
      </c>
      <c r="O31" s="729" t="s">
        <v>352</v>
      </c>
      <c r="P31" s="687">
        <v>46826888</v>
      </c>
      <c r="Q31" s="730">
        <f t="shared" si="14"/>
        <v>48793.617296000004</v>
      </c>
      <c r="S31" s="729" t="s">
        <v>346</v>
      </c>
      <c r="T31" s="687">
        <v>780000</v>
      </c>
      <c r="U31" s="687">
        <v>0</v>
      </c>
      <c r="V31" s="687">
        <v>0</v>
      </c>
      <c r="W31" s="687">
        <v>780000</v>
      </c>
      <c r="X31" s="730">
        <f t="shared" si="15"/>
        <v>812.76</v>
      </c>
      <c r="Y31" s="730">
        <f t="shared" si="16"/>
        <v>0</v>
      </c>
      <c r="Z31" s="730">
        <f t="shared" si="17"/>
        <v>0</v>
      </c>
      <c r="AA31" s="730">
        <f t="shared" si="18"/>
        <v>812.76</v>
      </c>
      <c r="AC31" s="729" t="s">
        <v>351</v>
      </c>
      <c r="AD31" s="687">
        <v>23828207</v>
      </c>
      <c r="AE31" s="730">
        <f t="shared" si="19"/>
        <v>24828.991694</v>
      </c>
      <c r="AG31" s="729" t="s">
        <v>346</v>
      </c>
      <c r="AH31" s="687">
        <v>780000</v>
      </c>
      <c r="AI31" s="687">
        <v>0</v>
      </c>
      <c r="AJ31" s="687">
        <v>0</v>
      </c>
      <c r="AK31" s="687">
        <v>780000</v>
      </c>
      <c r="AL31" s="687">
        <f t="shared" si="20"/>
        <v>812.76</v>
      </c>
      <c r="AM31" s="687">
        <f t="shared" si="21"/>
        <v>0</v>
      </c>
      <c r="AN31" s="687">
        <f t="shared" si="22"/>
        <v>0</v>
      </c>
      <c r="AO31" s="687">
        <f t="shared" si="23"/>
        <v>812.76</v>
      </c>
      <c r="AR31" s="729" t="s">
        <v>539</v>
      </c>
      <c r="AS31" s="687">
        <v>347866</v>
      </c>
      <c r="AT31" s="687">
        <f t="shared" si="24"/>
        <v>362.47637200000003</v>
      </c>
      <c r="AV31" s="729" t="s">
        <v>346</v>
      </c>
      <c r="AW31" s="687">
        <v>780000</v>
      </c>
      <c r="AX31" s="687">
        <v>0</v>
      </c>
      <c r="AY31" s="687">
        <v>0</v>
      </c>
      <c r="AZ31" s="687">
        <v>780000</v>
      </c>
      <c r="BA31" s="730">
        <f t="shared" si="25"/>
        <v>812.76</v>
      </c>
      <c r="BB31" s="730">
        <f t="shared" si="26"/>
        <v>0</v>
      </c>
      <c r="BC31" s="730">
        <f t="shared" si="27"/>
        <v>0</v>
      </c>
      <c r="BD31" s="730">
        <f t="shared" si="28"/>
        <v>812.76</v>
      </c>
      <c r="BG31" s="754" t="s">
        <v>352</v>
      </c>
      <c r="BH31" s="687">
        <v>43619569</v>
      </c>
      <c r="BI31" s="755">
        <f t="shared" si="29"/>
        <v>45451.590898000002</v>
      </c>
      <c r="BK31" s="754" t="s">
        <v>346</v>
      </c>
      <c r="BL31" s="687">
        <v>780000</v>
      </c>
      <c r="BM31" s="687">
        <v>0</v>
      </c>
      <c r="BN31" s="687">
        <v>0</v>
      </c>
      <c r="BO31" s="687">
        <v>780000</v>
      </c>
      <c r="BP31" s="687">
        <f t="shared" si="30"/>
        <v>812.76</v>
      </c>
      <c r="BQ31" s="687">
        <f t="shared" si="31"/>
        <v>0</v>
      </c>
      <c r="BR31" s="687">
        <f t="shared" si="32"/>
        <v>0</v>
      </c>
      <c r="BS31" s="755">
        <f t="shared" si="33"/>
        <v>812.76</v>
      </c>
      <c r="BV31" s="729" t="s">
        <v>350</v>
      </c>
      <c r="BW31" s="687">
        <v>185908387</v>
      </c>
      <c r="BX31" s="730">
        <f t="shared" si="34"/>
        <v>193716.539254</v>
      </c>
      <c r="BZ31" s="729" t="s">
        <v>346</v>
      </c>
      <c r="CA31" s="687">
        <v>780000</v>
      </c>
      <c r="CB31" s="687">
        <v>0</v>
      </c>
      <c r="CC31" s="687">
        <v>0</v>
      </c>
      <c r="CD31" s="687">
        <v>780000</v>
      </c>
      <c r="CE31" s="687">
        <f t="shared" si="35"/>
        <v>812.76</v>
      </c>
      <c r="CF31" s="687">
        <f t="shared" si="36"/>
        <v>0</v>
      </c>
      <c r="CG31" s="687">
        <f t="shared" si="37"/>
        <v>0</v>
      </c>
      <c r="CH31" s="687">
        <f t="shared" si="38"/>
        <v>812.76</v>
      </c>
      <c r="CK31" s="731" t="s">
        <v>350</v>
      </c>
      <c r="CL31" s="730">
        <v>186248319</v>
      </c>
      <c r="CM31" s="730">
        <f t="shared" si="39"/>
        <v>194070.748398</v>
      </c>
      <c r="CP31" s="731" t="s">
        <v>346</v>
      </c>
      <c r="CQ31" s="730">
        <v>780000</v>
      </c>
      <c r="CR31" s="730">
        <v>0</v>
      </c>
      <c r="CS31" s="730">
        <v>0</v>
      </c>
      <c r="CT31" s="730">
        <v>780000</v>
      </c>
      <c r="CU31" s="730">
        <f t="shared" si="2"/>
        <v>812.76</v>
      </c>
      <c r="CV31" s="730">
        <f t="shared" si="3"/>
        <v>0</v>
      </c>
      <c r="CW31" s="730">
        <f t="shared" si="4"/>
        <v>0</v>
      </c>
      <c r="CX31" s="730">
        <f t="shared" si="5"/>
        <v>812.76</v>
      </c>
      <c r="CZ31" s="731" t="s">
        <v>350</v>
      </c>
      <c r="DA31" s="730">
        <v>185857975</v>
      </c>
      <c r="DB31" s="730">
        <f t="shared" si="40"/>
        <v>193664.00995000001</v>
      </c>
      <c r="DE31" s="729" t="s">
        <v>346</v>
      </c>
      <c r="DF31" s="687">
        <v>780000</v>
      </c>
      <c r="DG31" s="687">
        <v>0</v>
      </c>
      <c r="DH31" s="687">
        <v>0</v>
      </c>
      <c r="DI31" s="687">
        <v>780000</v>
      </c>
      <c r="DJ31" s="730">
        <f t="shared" si="41"/>
        <v>812.76</v>
      </c>
      <c r="DK31" s="730">
        <f t="shared" si="42"/>
        <v>0</v>
      </c>
      <c r="DL31" s="730">
        <f t="shared" si="43"/>
        <v>0</v>
      </c>
      <c r="DM31" s="730">
        <f t="shared" si="44"/>
        <v>812.76</v>
      </c>
      <c r="DP31" s="729" t="s">
        <v>350</v>
      </c>
      <c r="DQ31" s="687">
        <v>186622986</v>
      </c>
      <c r="DR31" s="730">
        <f t="shared" si="45"/>
        <v>186622.986</v>
      </c>
      <c r="DT31" s="729" t="s">
        <v>346</v>
      </c>
      <c r="DU31" s="687">
        <v>780000</v>
      </c>
      <c r="DV31" s="687">
        <v>0</v>
      </c>
      <c r="DW31" s="687">
        <v>0</v>
      </c>
      <c r="DX31" s="687">
        <v>780000</v>
      </c>
      <c r="DY31" s="730">
        <f t="shared" si="46"/>
        <v>780</v>
      </c>
      <c r="DZ31" s="730">
        <f t="shared" si="47"/>
        <v>0</v>
      </c>
      <c r="EA31" s="730">
        <f t="shared" si="48"/>
        <v>0</v>
      </c>
      <c r="EB31" s="730">
        <f t="shared" si="49"/>
        <v>780</v>
      </c>
      <c r="EE31" s="731" t="s">
        <v>537</v>
      </c>
      <c r="EF31" s="730">
        <v>173068</v>
      </c>
      <c r="EG31" s="734">
        <f t="shared" si="50"/>
        <v>173.06800000000001</v>
      </c>
      <c r="EI31" s="731" t="s">
        <v>457</v>
      </c>
      <c r="EJ31" s="730">
        <v>485512</v>
      </c>
      <c r="EK31" s="730">
        <v>326529</v>
      </c>
      <c r="EL31" s="730">
        <v>326529</v>
      </c>
      <c r="EM31" s="734">
        <f t="shared" si="51"/>
        <v>485.512</v>
      </c>
      <c r="EN31" s="734">
        <f t="shared" si="52"/>
        <v>326.529</v>
      </c>
      <c r="EO31" s="734">
        <f t="shared" si="53"/>
        <v>326.529</v>
      </c>
      <c r="ER31" s="729" t="s">
        <v>352</v>
      </c>
      <c r="ES31" s="687">
        <v>44389373</v>
      </c>
      <c r="ET31" s="730">
        <f t="shared" si="54"/>
        <v>44389.373</v>
      </c>
      <c r="EW31" s="729" t="s">
        <v>457</v>
      </c>
      <c r="EX31" s="687">
        <v>0</v>
      </c>
      <c r="EY31" s="687">
        <v>485512</v>
      </c>
      <c r="EZ31" s="687">
        <v>326529</v>
      </c>
      <c r="FA31" s="687">
        <v>326529</v>
      </c>
      <c r="FB31" s="687">
        <v>158983</v>
      </c>
      <c r="FC31" s="730">
        <f t="shared" si="55"/>
        <v>0</v>
      </c>
      <c r="FD31" s="730">
        <f t="shared" si="56"/>
        <v>485.512</v>
      </c>
      <c r="FE31" s="730">
        <f t="shared" si="57"/>
        <v>326.529</v>
      </c>
      <c r="FF31" s="730">
        <f t="shared" si="58"/>
        <v>326.529</v>
      </c>
      <c r="FG31" s="730">
        <f t="shared" si="59"/>
        <v>158.983</v>
      </c>
      <c r="FJ31" s="731" t="s">
        <v>349</v>
      </c>
      <c r="FK31" s="730">
        <v>267675488</v>
      </c>
      <c r="FL31" s="734">
        <f t="shared" si="60"/>
        <v>267675.48800000001</v>
      </c>
      <c r="FN31" s="735" t="s">
        <v>346</v>
      </c>
      <c r="FO31" s="736">
        <v>539068</v>
      </c>
      <c r="FP31" s="736">
        <v>539068</v>
      </c>
      <c r="FQ31" s="736">
        <v>539068</v>
      </c>
      <c r="FR31" s="736">
        <f t="shared" si="61"/>
        <v>539.06799999999998</v>
      </c>
      <c r="FS31" s="736">
        <f t="shared" si="62"/>
        <v>539.06799999999998</v>
      </c>
      <c r="FT31" s="736">
        <f t="shared" si="63"/>
        <v>539.06799999999998</v>
      </c>
    </row>
    <row r="32" spans="1:176" ht="15" customHeight="1" x14ac:dyDescent="0.25">
      <c r="A32" s="728" t="s">
        <v>879</v>
      </c>
      <c r="B32" s="729" t="s">
        <v>347</v>
      </c>
      <c r="C32" s="687">
        <v>0</v>
      </c>
      <c r="D32" s="687">
        <v>17005520500</v>
      </c>
      <c r="E32" s="687">
        <v>1121309759</v>
      </c>
      <c r="F32" s="687">
        <v>15884210741</v>
      </c>
      <c r="G32" s="687">
        <v>1121309759</v>
      </c>
      <c r="H32" s="730">
        <f t="shared" si="10"/>
        <v>17719752.361000001</v>
      </c>
      <c r="I32" s="730">
        <f t="shared" si="11"/>
        <v>1168404.7688780001</v>
      </c>
      <c r="J32" s="730">
        <f t="shared" si="12"/>
        <v>16551347.592122002</v>
      </c>
      <c r="K32" s="730">
        <f t="shared" si="13"/>
        <v>1168404.7688780001</v>
      </c>
      <c r="O32" s="729" t="s">
        <v>540</v>
      </c>
      <c r="P32" s="687">
        <v>8019053</v>
      </c>
      <c r="Q32" s="730">
        <f t="shared" si="14"/>
        <v>8355.8532260000011</v>
      </c>
      <c r="S32" s="729" t="s">
        <v>347</v>
      </c>
      <c r="T32" s="687">
        <v>17003020500</v>
      </c>
      <c r="U32" s="687">
        <v>2257517023</v>
      </c>
      <c r="V32" s="687">
        <v>2257517023</v>
      </c>
      <c r="W32" s="687">
        <v>14745503477</v>
      </c>
      <c r="X32" s="730">
        <f t="shared" si="15"/>
        <v>17717147.361000001</v>
      </c>
      <c r="Y32" s="730">
        <f t="shared" si="16"/>
        <v>2352332.7379660001</v>
      </c>
      <c r="Z32" s="730">
        <f t="shared" si="17"/>
        <v>2352332.7379660001</v>
      </c>
      <c r="AA32" s="730">
        <f t="shared" si="18"/>
        <v>15364814.623034</v>
      </c>
      <c r="AC32" s="729" t="s">
        <v>534</v>
      </c>
      <c r="AD32" s="687">
        <v>11786942</v>
      </c>
      <c r="AE32" s="730">
        <f t="shared" si="19"/>
        <v>12281.993564</v>
      </c>
      <c r="AG32" s="729" t="s">
        <v>347</v>
      </c>
      <c r="AH32" s="687">
        <v>17003020500</v>
      </c>
      <c r="AI32" s="687">
        <v>4288171488</v>
      </c>
      <c r="AJ32" s="687">
        <v>4288171488</v>
      </c>
      <c r="AK32" s="687">
        <v>12714849012</v>
      </c>
      <c r="AL32" s="687">
        <f t="shared" si="20"/>
        <v>17717147.361000001</v>
      </c>
      <c r="AM32" s="687">
        <f t="shared" si="21"/>
        <v>4468274.6904960005</v>
      </c>
      <c r="AN32" s="687">
        <f t="shared" si="22"/>
        <v>4468274.6904960005</v>
      </c>
      <c r="AO32" s="687">
        <f t="shared" si="23"/>
        <v>13248872.670504</v>
      </c>
      <c r="AR32" s="729" t="s">
        <v>352</v>
      </c>
      <c r="AS32" s="687">
        <v>43653208</v>
      </c>
      <c r="AT32" s="687">
        <f t="shared" si="24"/>
        <v>45486.642736000002</v>
      </c>
      <c r="AV32" s="729" t="s">
        <v>347</v>
      </c>
      <c r="AW32" s="687">
        <v>17002820500</v>
      </c>
      <c r="AX32" s="687">
        <v>5453381058</v>
      </c>
      <c r="AY32" s="687">
        <v>5453381058</v>
      </c>
      <c r="AZ32" s="687">
        <v>11549439442</v>
      </c>
      <c r="BA32" s="730">
        <f t="shared" si="25"/>
        <v>17716938.960999999</v>
      </c>
      <c r="BB32" s="730">
        <f t="shared" si="26"/>
        <v>5682423.0624360004</v>
      </c>
      <c r="BC32" s="730">
        <f t="shared" si="27"/>
        <v>5682423.0624360004</v>
      </c>
      <c r="BD32" s="730">
        <f t="shared" si="28"/>
        <v>12034515.898564</v>
      </c>
      <c r="BG32" s="754" t="s">
        <v>540</v>
      </c>
      <c r="BH32" s="687">
        <v>4089282</v>
      </c>
      <c r="BI32" s="755">
        <f t="shared" si="29"/>
        <v>4261.0318440000001</v>
      </c>
      <c r="BK32" s="754" t="s">
        <v>347</v>
      </c>
      <c r="BL32" s="687">
        <v>17003520500</v>
      </c>
      <c r="BM32" s="687">
        <v>6610051359</v>
      </c>
      <c r="BN32" s="687">
        <v>6610051359</v>
      </c>
      <c r="BO32" s="687">
        <v>10393469141</v>
      </c>
      <c r="BP32" s="687">
        <f t="shared" si="30"/>
        <v>17717668.361000001</v>
      </c>
      <c r="BQ32" s="687">
        <f t="shared" si="31"/>
        <v>6887673.5160780009</v>
      </c>
      <c r="BR32" s="687">
        <f t="shared" si="32"/>
        <v>6887673.5160780009</v>
      </c>
      <c r="BS32" s="755">
        <f t="shared" si="33"/>
        <v>10829994.844922001</v>
      </c>
      <c r="BV32" s="729" t="s">
        <v>351</v>
      </c>
      <c r="BW32" s="687">
        <v>24531343</v>
      </c>
      <c r="BX32" s="730">
        <f t="shared" si="34"/>
        <v>25561.659406000002</v>
      </c>
      <c r="BZ32" s="729" t="s">
        <v>347</v>
      </c>
      <c r="CA32" s="687">
        <v>16990784269</v>
      </c>
      <c r="CB32" s="687">
        <v>8690488959</v>
      </c>
      <c r="CC32" s="687">
        <v>8690488959</v>
      </c>
      <c r="CD32" s="687">
        <v>8300295310</v>
      </c>
      <c r="CE32" s="687">
        <f t="shared" si="35"/>
        <v>17704397.208298001</v>
      </c>
      <c r="CF32" s="687">
        <f t="shared" si="36"/>
        <v>9055489.4952780008</v>
      </c>
      <c r="CG32" s="687">
        <f t="shared" si="37"/>
        <v>9055489.4952780008</v>
      </c>
      <c r="CH32" s="687">
        <f t="shared" si="38"/>
        <v>8648907.7130200006</v>
      </c>
      <c r="CK32" s="731" t="s">
        <v>351</v>
      </c>
      <c r="CL32" s="730">
        <v>24189520</v>
      </c>
      <c r="CM32" s="730">
        <f t="shared" si="39"/>
        <v>25205.47984</v>
      </c>
      <c r="CP32" s="731" t="s">
        <v>347</v>
      </c>
      <c r="CQ32" s="730">
        <v>16924735369</v>
      </c>
      <c r="CR32" s="730">
        <v>9868827537</v>
      </c>
      <c r="CS32" s="730">
        <v>9868827537</v>
      </c>
      <c r="CT32" s="730">
        <v>7055907832</v>
      </c>
      <c r="CU32" s="730">
        <f t="shared" si="2"/>
        <v>17635574.254498001</v>
      </c>
      <c r="CV32" s="730">
        <f t="shared" si="3"/>
        <v>10283318.293554001</v>
      </c>
      <c r="CW32" s="730">
        <f t="shared" si="4"/>
        <v>10283318.293554001</v>
      </c>
      <c r="CX32" s="730">
        <f t="shared" si="5"/>
        <v>7352255.9609440006</v>
      </c>
      <c r="CZ32" s="731" t="s">
        <v>351</v>
      </c>
      <c r="DA32" s="730">
        <v>24184690</v>
      </c>
      <c r="DB32" s="730">
        <f t="shared" si="40"/>
        <v>25200.446980000001</v>
      </c>
      <c r="DE32" s="729" t="s">
        <v>347</v>
      </c>
      <c r="DF32" s="687">
        <v>16923619369</v>
      </c>
      <c r="DG32" s="687">
        <v>11048208074</v>
      </c>
      <c r="DH32" s="687">
        <v>11048208074</v>
      </c>
      <c r="DI32" s="687">
        <v>5875411295</v>
      </c>
      <c r="DJ32" s="730">
        <f t="shared" si="41"/>
        <v>17634411.382498</v>
      </c>
      <c r="DK32" s="730">
        <f t="shared" si="42"/>
        <v>11512232.813107999</v>
      </c>
      <c r="DL32" s="730">
        <f t="shared" si="43"/>
        <v>11512232.813107999</v>
      </c>
      <c r="DM32" s="730">
        <f t="shared" si="44"/>
        <v>6122178.5693899998</v>
      </c>
      <c r="DP32" s="729" t="s">
        <v>351</v>
      </c>
      <c r="DQ32" s="687">
        <v>24209992</v>
      </c>
      <c r="DR32" s="730">
        <f t="shared" si="45"/>
        <v>24209.991999999998</v>
      </c>
      <c r="DT32" s="729" t="s">
        <v>347</v>
      </c>
      <c r="DU32" s="687">
        <v>16921613535</v>
      </c>
      <c r="DV32" s="687">
        <v>13157392681</v>
      </c>
      <c r="DW32" s="687">
        <v>13157392681</v>
      </c>
      <c r="DX32" s="687">
        <v>3764220854</v>
      </c>
      <c r="DY32" s="730">
        <f t="shared" si="46"/>
        <v>16921613.535</v>
      </c>
      <c r="DZ32" s="730">
        <f t="shared" si="47"/>
        <v>13157392.681</v>
      </c>
      <c r="EA32" s="730">
        <f t="shared" si="48"/>
        <v>13157392.681</v>
      </c>
      <c r="EB32" s="730">
        <f t="shared" si="49"/>
        <v>3764220.8539999998</v>
      </c>
      <c r="EE32" s="731" t="s">
        <v>539</v>
      </c>
      <c r="EF32" s="730">
        <v>349261</v>
      </c>
      <c r="EG32" s="734">
        <f t="shared" si="50"/>
        <v>349.26100000000002</v>
      </c>
      <c r="EI32" s="731" t="s">
        <v>346</v>
      </c>
      <c r="EJ32" s="730">
        <v>780000</v>
      </c>
      <c r="EK32" s="730">
        <v>0</v>
      </c>
      <c r="EL32" s="730">
        <v>0</v>
      </c>
      <c r="EM32" s="734">
        <f t="shared" si="51"/>
        <v>780</v>
      </c>
      <c r="EN32" s="734">
        <f t="shared" si="52"/>
        <v>0</v>
      </c>
      <c r="EO32" s="734">
        <f t="shared" si="53"/>
        <v>0</v>
      </c>
      <c r="ER32" s="729" t="s">
        <v>540</v>
      </c>
      <c r="ES32" s="687">
        <v>4190789</v>
      </c>
      <c r="ET32" s="730">
        <f t="shared" si="54"/>
        <v>4190.7889999999998</v>
      </c>
      <c r="EW32" s="729" t="s">
        <v>346</v>
      </c>
      <c r="EX32" s="687">
        <v>0</v>
      </c>
      <c r="EY32" s="687">
        <v>780000</v>
      </c>
      <c r="EZ32" s="687">
        <v>0</v>
      </c>
      <c r="FA32" s="687">
        <v>0</v>
      </c>
      <c r="FB32" s="687">
        <v>780000</v>
      </c>
      <c r="FC32" s="730">
        <f t="shared" si="55"/>
        <v>0</v>
      </c>
      <c r="FD32" s="730">
        <f t="shared" si="56"/>
        <v>780</v>
      </c>
      <c r="FE32" s="730">
        <f t="shared" si="57"/>
        <v>0</v>
      </c>
      <c r="FF32" s="730">
        <f t="shared" si="58"/>
        <v>0</v>
      </c>
      <c r="FG32" s="730">
        <f t="shared" si="59"/>
        <v>780</v>
      </c>
      <c r="FJ32" s="731" t="s">
        <v>532</v>
      </c>
      <c r="FK32" s="730">
        <v>12681060</v>
      </c>
      <c r="FL32" s="734">
        <f t="shared" si="60"/>
        <v>12681.06</v>
      </c>
      <c r="FN32" s="735" t="s">
        <v>347</v>
      </c>
      <c r="FO32" s="736">
        <v>18111575655</v>
      </c>
      <c r="FP32" s="736">
        <v>17698427836</v>
      </c>
      <c r="FQ32" s="736">
        <v>17698427836</v>
      </c>
      <c r="FR32" s="736">
        <f t="shared" si="61"/>
        <v>18111575.655000001</v>
      </c>
      <c r="FS32" s="736">
        <f t="shared" si="62"/>
        <v>17698427.835999999</v>
      </c>
      <c r="FT32" s="736">
        <f t="shared" si="63"/>
        <v>17698427.835999999</v>
      </c>
    </row>
    <row r="33" spans="1:176" ht="15" customHeight="1" x14ac:dyDescent="0.25">
      <c r="A33" s="728" t="s">
        <v>880</v>
      </c>
      <c r="B33" s="729" t="s">
        <v>348</v>
      </c>
      <c r="C33" s="687">
        <v>0</v>
      </c>
      <c r="D33" s="687">
        <v>14581439994</v>
      </c>
      <c r="E33" s="687">
        <v>1055400744</v>
      </c>
      <c r="F33" s="687">
        <v>13526039250</v>
      </c>
      <c r="G33" s="687">
        <v>1055400744</v>
      </c>
      <c r="H33" s="730">
        <f t="shared" si="10"/>
        <v>15193860.473748002</v>
      </c>
      <c r="I33" s="730">
        <f t="shared" si="11"/>
        <v>1099727.575248</v>
      </c>
      <c r="J33" s="730">
        <f t="shared" si="12"/>
        <v>14094132.898500001</v>
      </c>
      <c r="K33" s="730">
        <f t="shared" si="13"/>
        <v>1099727.575248</v>
      </c>
      <c r="O33" s="729" t="s">
        <v>541</v>
      </c>
      <c r="P33" s="687">
        <v>38807835</v>
      </c>
      <c r="Q33" s="730">
        <f t="shared" si="14"/>
        <v>40437.764069999997</v>
      </c>
      <c r="S33" s="729" t="s">
        <v>348</v>
      </c>
      <c r="T33" s="687">
        <v>14582440000</v>
      </c>
      <c r="U33" s="687">
        <v>2114400310</v>
      </c>
      <c r="V33" s="687">
        <v>2114400310</v>
      </c>
      <c r="W33" s="687">
        <v>12468039690</v>
      </c>
      <c r="X33" s="730">
        <f t="shared" si="15"/>
        <v>15194902.48</v>
      </c>
      <c r="Y33" s="730">
        <f t="shared" si="16"/>
        <v>2203205.1230200003</v>
      </c>
      <c r="Z33" s="730">
        <f t="shared" si="17"/>
        <v>2203205.1230200003</v>
      </c>
      <c r="AA33" s="730">
        <f t="shared" si="18"/>
        <v>12991697.35698</v>
      </c>
      <c r="AC33" s="729" t="s">
        <v>535</v>
      </c>
      <c r="AD33" s="687">
        <v>262203438</v>
      </c>
      <c r="AE33" s="730">
        <f t="shared" si="19"/>
        <v>273215.98239600001</v>
      </c>
      <c r="AG33" s="729" t="s">
        <v>348</v>
      </c>
      <c r="AH33" s="687">
        <v>14582440000</v>
      </c>
      <c r="AI33" s="687">
        <v>3664917309</v>
      </c>
      <c r="AJ33" s="687">
        <v>3664917309</v>
      </c>
      <c r="AK33" s="687">
        <v>10917522691</v>
      </c>
      <c r="AL33" s="687">
        <f t="shared" si="20"/>
        <v>15194902.48</v>
      </c>
      <c r="AM33" s="687">
        <f t="shared" si="21"/>
        <v>3818843.835978</v>
      </c>
      <c r="AN33" s="687">
        <f t="shared" si="22"/>
        <v>3818843.835978</v>
      </c>
      <c r="AO33" s="687">
        <f t="shared" si="23"/>
        <v>11376058.644022001</v>
      </c>
      <c r="AR33" s="729" t="s">
        <v>540</v>
      </c>
      <c r="AS33" s="687">
        <v>4089282</v>
      </c>
      <c r="AT33" s="687">
        <f t="shared" si="24"/>
        <v>4261.0318440000001</v>
      </c>
      <c r="AV33" s="729" t="s">
        <v>348</v>
      </c>
      <c r="AW33" s="687">
        <v>14581940000</v>
      </c>
      <c r="AX33" s="687">
        <v>4748009831</v>
      </c>
      <c r="AY33" s="687">
        <v>4748009831</v>
      </c>
      <c r="AZ33" s="687">
        <v>9833930169</v>
      </c>
      <c r="BA33" s="730">
        <f t="shared" si="25"/>
        <v>15194381.48</v>
      </c>
      <c r="BB33" s="730">
        <f t="shared" si="26"/>
        <v>4947426.2439020006</v>
      </c>
      <c r="BC33" s="730">
        <f t="shared" si="27"/>
        <v>4947426.2439020006</v>
      </c>
      <c r="BD33" s="730">
        <f t="shared" si="28"/>
        <v>10246955.236098001</v>
      </c>
      <c r="BG33" s="754" t="s">
        <v>541</v>
      </c>
      <c r="BH33" s="687">
        <v>39530287</v>
      </c>
      <c r="BI33" s="755">
        <f t="shared" si="29"/>
        <v>41190.559053999998</v>
      </c>
      <c r="BK33" s="754" t="s">
        <v>348</v>
      </c>
      <c r="BL33" s="687">
        <v>14581940000</v>
      </c>
      <c r="BM33" s="687">
        <v>5827863402</v>
      </c>
      <c r="BN33" s="687">
        <v>5827863402</v>
      </c>
      <c r="BO33" s="687">
        <v>8754076598</v>
      </c>
      <c r="BP33" s="687">
        <f t="shared" si="30"/>
        <v>15194381.48</v>
      </c>
      <c r="BQ33" s="687">
        <f t="shared" si="31"/>
        <v>6072633.6648840001</v>
      </c>
      <c r="BR33" s="687">
        <f t="shared" si="32"/>
        <v>6072633.6648840001</v>
      </c>
      <c r="BS33" s="755">
        <f t="shared" si="33"/>
        <v>9121747.8151159994</v>
      </c>
      <c r="BV33" s="729" t="s">
        <v>534</v>
      </c>
      <c r="BW33" s="687">
        <v>11845881</v>
      </c>
      <c r="BX33" s="730">
        <f t="shared" si="34"/>
        <v>12343.408002</v>
      </c>
      <c r="BZ33" s="729" t="s">
        <v>348</v>
      </c>
      <c r="CA33" s="687">
        <v>14559322339</v>
      </c>
      <c r="CB33" s="687">
        <v>7412851882</v>
      </c>
      <c r="CC33" s="687">
        <v>7412851882</v>
      </c>
      <c r="CD33" s="687">
        <v>7146470457</v>
      </c>
      <c r="CE33" s="687">
        <f t="shared" si="35"/>
        <v>15170813.877238</v>
      </c>
      <c r="CF33" s="687">
        <f t="shared" si="36"/>
        <v>7724191.6610440006</v>
      </c>
      <c r="CG33" s="687">
        <f t="shared" si="37"/>
        <v>7724191.6610440006</v>
      </c>
      <c r="CH33" s="687">
        <f t="shared" si="38"/>
        <v>7446622.216194001</v>
      </c>
      <c r="CK33" s="731" t="s">
        <v>534</v>
      </c>
      <c r="CL33" s="730">
        <v>11843946</v>
      </c>
      <c r="CM33" s="730">
        <f t="shared" si="39"/>
        <v>12341.391732</v>
      </c>
      <c r="CP33" s="731" t="s">
        <v>348</v>
      </c>
      <c r="CQ33" s="730">
        <v>14450541173</v>
      </c>
      <c r="CR33" s="730">
        <v>8506829546</v>
      </c>
      <c r="CS33" s="730">
        <v>8506829546</v>
      </c>
      <c r="CT33" s="730">
        <v>5943711627</v>
      </c>
      <c r="CU33" s="730">
        <f t="shared" si="2"/>
        <v>15057463.902266001</v>
      </c>
      <c r="CV33" s="730">
        <f t="shared" si="3"/>
        <v>8864116.3869320005</v>
      </c>
      <c r="CW33" s="730">
        <f t="shared" si="4"/>
        <v>8864116.3869320005</v>
      </c>
      <c r="CX33" s="730">
        <f t="shared" si="5"/>
        <v>6193347.5153340008</v>
      </c>
      <c r="CZ33" s="731" t="s">
        <v>534</v>
      </c>
      <c r="DA33" s="730">
        <v>11839116</v>
      </c>
      <c r="DB33" s="730">
        <f t="shared" si="40"/>
        <v>12336.358872000001</v>
      </c>
      <c r="DE33" s="729" t="s">
        <v>348</v>
      </c>
      <c r="DF33" s="687">
        <v>14450541173</v>
      </c>
      <c r="DG33" s="687">
        <v>9598160236</v>
      </c>
      <c r="DH33" s="687">
        <v>9598160236</v>
      </c>
      <c r="DI33" s="687">
        <v>4852380937</v>
      </c>
      <c r="DJ33" s="730">
        <f t="shared" si="41"/>
        <v>15057463.902266001</v>
      </c>
      <c r="DK33" s="730">
        <f t="shared" si="42"/>
        <v>10001282.965911999</v>
      </c>
      <c r="DL33" s="730">
        <f t="shared" si="43"/>
        <v>10001282.965911999</v>
      </c>
      <c r="DM33" s="730">
        <f t="shared" si="44"/>
        <v>5056180.9363540001</v>
      </c>
      <c r="DP33" s="729" t="s">
        <v>534</v>
      </c>
      <c r="DQ33" s="687">
        <v>15704371</v>
      </c>
      <c r="DR33" s="730">
        <f t="shared" si="45"/>
        <v>15704.370999999999</v>
      </c>
      <c r="DT33" s="729" t="s">
        <v>348</v>
      </c>
      <c r="DU33" s="687">
        <v>14425854339</v>
      </c>
      <c r="DV33" s="687">
        <v>11196914486</v>
      </c>
      <c r="DW33" s="687">
        <v>11196914486</v>
      </c>
      <c r="DX33" s="687">
        <v>3228939853</v>
      </c>
      <c r="DY33" s="730">
        <f t="shared" si="46"/>
        <v>14425854.339</v>
      </c>
      <c r="DZ33" s="730">
        <f t="shared" si="47"/>
        <v>11196914.486</v>
      </c>
      <c r="EA33" s="730">
        <f t="shared" si="48"/>
        <v>11196914.486</v>
      </c>
      <c r="EB33" s="730">
        <f t="shared" si="49"/>
        <v>3228939.8530000001</v>
      </c>
      <c r="EE33" s="731" t="s">
        <v>352</v>
      </c>
      <c r="EF33" s="730">
        <v>44273945</v>
      </c>
      <c r="EG33" s="734">
        <f t="shared" si="50"/>
        <v>44273.945</v>
      </c>
      <c r="EI33" s="731" t="s">
        <v>347</v>
      </c>
      <c r="EJ33" s="730">
        <v>16918056500</v>
      </c>
      <c r="EK33" s="730">
        <v>14323527417</v>
      </c>
      <c r="EL33" s="730">
        <v>14323527417</v>
      </c>
      <c r="EM33" s="734">
        <f t="shared" si="51"/>
        <v>16918056.5</v>
      </c>
      <c r="EN33" s="734">
        <f t="shared" si="52"/>
        <v>14323527.416999999</v>
      </c>
      <c r="EO33" s="734">
        <f t="shared" si="53"/>
        <v>14323527.416999999</v>
      </c>
      <c r="ER33" s="729" t="s">
        <v>541</v>
      </c>
      <c r="ES33" s="687">
        <v>40198584</v>
      </c>
      <c r="ET33" s="730">
        <f t="shared" si="54"/>
        <v>40198.584000000003</v>
      </c>
      <c r="EW33" s="729" t="s">
        <v>347</v>
      </c>
      <c r="EX33" s="687">
        <v>0</v>
      </c>
      <c r="EY33" s="687">
        <v>16914056500</v>
      </c>
      <c r="EZ33" s="687">
        <v>15495543325</v>
      </c>
      <c r="FA33" s="687">
        <v>15495543325</v>
      </c>
      <c r="FB33" s="687">
        <v>1418513175</v>
      </c>
      <c r="FC33" s="730">
        <f t="shared" si="55"/>
        <v>0</v>
      </c>
      <c r="FD33" s="730">
        <f t="shared" si="56"/>
        <v>16914056.5</v>
      </c>
      <c r="FE33" s="730">
        <f t="shared" si="57"/>
        <v>15495543.324999999</v>
      </c>
      <c r="FF33" s="730">
        <f t="shared" si="58"/>
        <v>15495543.324999999</v>
      </c>
      <c r="FG33" s="730">
        <f t="shared" si="59"/>
        <v>1418513.175</v>
      </c>
      <c r="FJ33" s="731" t="s">
        <v>350</v>
      </c>
      <c r="FK33" s="730">
        <v>190611509</v>
      </c>
      <c r="FL33" s="734">
        <f t="shared" si="60"/>
        <v>190611.50899999999</v>
      </c>
      <c r="FN33" s="735" t="s">
        <v>348</v>
      </c>
      <c r="FO33" s="736">
        <v>15374928512</v>
      </c>
      <c r="FP33" s="736">
        <v>15005106897</v>
      </c>
      <c r="FQ33" s="736">
        <v>15005106897</v>
      </c>
      <c r="FR33" s="736">
        <f t="shared" si="61"/>
        <v>15374928.512</v>
      </c>
      <c r="FS33" s="736">
        <f t="shared" si="62"/>
        <v>15005106.897</v>
      </c>
      <c r="FT33" s="736">
        <f t="shared" si="63"/>
        <v>15005106.897</v>
      </c>
    </row>
    <row r="34" spans="1:176" ht="15" customHeight="1" x14ac:dyDescent="0.25">
      <c r="A34" s="728" t="s">
        <v>881</v>
      </c>
      <c r="B34" s="729" t="s">
        <v>349</v>
      </c>
      <c r="C34" s="687">
        <v>0</v>
      </c>
      <c r="D34" s="687">
        <v>3314312128</v>
      </c>
      <c r="E34" s="687">
        <v>252675135</v>
      </c>
      <c r="F34" s="687">
        <v>3061636993</v>
      </c>
      <c r="G34" s="687">
        <v>252675135</v>
      </c>
      <c r="H34" s="730">
        <f t="shared" si="10"/>
        <v>3453513.2373760003</v>
      </c>
      <c r="I34" s="730">
        <f t="shared" si="11"/>
        <v>263287.49067000003</v>
      </c>
      <c r="J34" s="730">
        <f t="shared" si="12"/>
        <v>3190225.7467060001</v>
      </c>
      <c r="K34" s="730">
        <f t="shared" si="13"/>
        <v>263287.49067000003</v>
      </c>
      <c r="O34" s="729" t="s">
        <v>354</v>
      </c>
      <c r="P34" s="687">
        <v>30380810</v>
      </c>
      <c r="Q34" s="730">
        <f t="shared" si="14"/>
        <v>31656.804020000003</v>
      </c>
      <c r="S34" s="729" t="s">
        <v>349</v>
      </c>
      <c r="T34" s="687">
        <v>3314964268</v>
      </c>
      <c r="U34" s="687">
        <v>506194919</v>
      </c>
      <c r="V34" s="687">
        <v>506194919</v>
      </c>
      <c r="W34" s="687">
        <v>2808769349</v>
      </c>
      <c r="X34" s="730">
        <f t="shared" si="15"/>
        <v>3454192.7672560001</v>
      </c>
      <c r="Y34" s="730">
        <f t="shared" si="16"/>
        <v>527455.10559799999</v>
      </c>
      <c r="Z34" s="730">
        <f t="shared" si="17"/>
        <v>527455.10559799999</v>
      </c>
      <c r="AA34" s="730">
        <f t="shared" si="18"/>
        <v>2926737.6616580002</v>
      </c>
      <c r="AC34" s="729" t="s">
        <v>536</v>
      </c>
      <c r="AD34" s="687">
        <v>407783246</v>
      </c>
      <c r="AE34" s="730">
        <f t="shared" si="19"/>
        <v>424910.14233200002</v>
      </c>
      <c r="AG34" s="729" t="s">
        <v>349</v>
      </c>
      <c r="AH34" s="687">
        <v>3300964268</v>
      </c>
      <c r="AI34" s="687">
        <v>760910681</v>
      </c>
      <c r="AJ34" s="687">
        <v>760910681</v>
      </c>
      <c r="AK34" s="687">
        <v>2540053587</v>
      </c>
      <c r="AL34" s="687">
        <f t="shared" si="20"/>
        <v>3439604.7672560001</v>
      </c>
      <c r="AM34" s="687">
        <f t="shared" si="21"/>
        <v>792868.92960200005</v>
      </c>
      <c r="AN34" s="687">
        <f t="shared" si="22"/>
        <v>792868.92960200005</v>
      </c>
      <c r="AO34" s="687">
        <f t="shared" si="23"/>
        <v>2646735.8376539997</v>
      </c>
      <c r="AR34" s="729" t="s">
        <v>541</v>
      </c>
      <c r="AS34" s="687">
        <v>39563926</v>
      </c>
      <c r="AT34" s="687">
        <f t="shared" si="24"/>
        <v>41225.610892000004</v>
      </c>
      <c r="AV34" s="729" t="s">
        <v>349</v>
      </c>
      <c r="AW34" s="687">
        <v>3300464268</v>
      </c>
      <c r="AX34" s="687">
        <v>1018995967</v>
      </c>
      <c r="AY34" s="687">
        <v>1018995967</v>
      </c>
      <c r="AZ34" s="687">
        <v>2281468301</v>
      </c>
      <c r="BA34" s="730">
        <f t="shared" si="25"/>
        <v>3439083.7672560001</v>
      </c>
      <c r="BB34" s="730">
        <f t="shared" si="26"/>
        <v>1061793.797614</v>
      </c>
      <c r="BC34" s="730">
        <f t="shared" si="27"/>
        <v>1061793.797614</v>
      </c>
      <c r="BD34" s="730">
        <f t="shared" si="28"/>
        <v>2377289.9696420003</v>
      </c>
      <c r="BG34" s="754" t="s">
        <v>354</v>
      </c>
      <c r="BH34" s="687">
        <v>33197161</v>
      </c>
      <c r="BI34" s="755">
        <f t="shared" si="29"/>
        <v>34591.441762000002</v>
      </c>
      <c r="BK34" s="754" t="s">
        <v>349</v>
      </c>
      <c r="BL34" s="687">
        <v>3298377072</v>
      </c>
      <c r="BM34" s="687">
        <v>1277229297</v>
      </c>
      <c r="BN34" s="687">
        <v>1277229297</v>
      </c>
      <c r="BO34" s="687">
        <v>2021147775</v>
      </c>
      <c r="BP34" s="687">
        <f t="shared" si="30"/>
        <v>3436908.9090240002</v>
      </c>
      <c r="BQ34" s="687">
        <f t="shared" si="31"/>
        <v>1330872.927474</v>
      </c>
      <c r="BR34" s="687">
        <f t="shared" si="32"/>
        <v>1330872.927474</v>
      </c>
      <c r="BS34" s="755">
        <f t="shared" si="33"/>
        <v>2106035.9815500001</v>
      </c>
      <c r="BV34" s="729" t="s">
        <v>535</v>
      </c>
      <c r="BW34" s="687">
        <v>265862661</v>
      </c>
      <c r="BX34" s="730">
        <f t="shared" si="34"/>
        <v>277028.89276200003</v>
      </c>
      <c r="BZ34" s="729" t="s">
        <v>349</v>
      </c>
      <c r="CA34" s="687">
        <v>3262585311</v>
      </c>
      <c r="CB34" s="687">
        <v>1538381821</v>
      </c>
      <c r="CC34" s="687">
        <v>1538381821</v>
      </c>
      <c r="CD34" s="687">
        <v>1724203490</v>
      </c>
      <c r="CE34" s="687">
        <f t="shared" si="35"/>
        <v>3399613.8940620003</v>
      </c>
      <c r="CF34" s="687">
        <f t="shared" si="36"/>
        <v>1602993.857482</v>
      </c>
      <c r="CG34" s="687">
        <f t="shared" si="37"/>
        <v>1602993.857482</v>
      </c>
      <c r="CH34" s="687">
        <f t="shared" si="38"/>
        <v>1796620.0365800001</v>
      </c>
      <c r="CK34" s="731" t="s">
        <v>535</v>
      </c>
      <c r="CL34" s="730">
        <v>177494439</v>
      </c>
      <c r="CM34" s="730">
        <f t="shared" si="39"/>
        <v>184949.20543800003</v>
      </c>
      <c r="CP34" s="731" t="s">
        <v>349</v>
      </c>
      <c r="CQ34" s="730">
        <v>3153804145</v>
      </c>
      <c r="CR34" s="730">
        <v>1800157651</v>
      </c>
      <c r="CS34" s="730">
        <v>1800157651</v>
      </c>
      <c r="CT34" s="730">
        <v>1353646494</v>
      </c>
      <c r="CU34" s="730">
        <f t="shared" si="2"/>
        <v>3286263.91909</v>
      </c>
      <c r="CV34" s="730">
        <f t="shared" si="3"/>
        <v>1875764.2723420002</v>
      </c>
      <c r="CW34" s="730">
        <f t="shared" si="4"/>
        <v>1875764.2723420002</v>
      </c>
      <c r="CX34" s="730">
        <f t="shared" si="5"/>
        <v>1410499.6467480001</v>
      </c>
      <c r="CZ34" s="731" t="s">
        <v>535</v>
      </c>
      <c r="DA34" s="730">
        <v>177118811</v>
      </c>
      <c r="DB34" s="730">
        <f t="shared" si="40"/>
        <v>184557.80106199998</v>
      </c>
      <c r="DE34" s="729" t="s">
        <v>349</v>
      </c>
      <c r="DF34" s="687">
        <v>3153804145</v>
      </c>
      <c r="DG34" s="687">
        <v>2060894315</v>
      </c>
      <c r="DH34" s="687">
        <v>2060894315</v>
      </c>
      <c r="DI34" s="687">
        <v>1092909830</v>
      </c>
      <c r="DJ34" s="730">
        <f t="shared" si="41"/>
        <v>3286263.91909</v>
      </c>
      <c r="DK34" s="730">
        <f t="shared" si="42"/>
        <v>2147451.8762300001</v>
      </c>
      <c r="DL34" s="730">
        <f t="shared" si="43"/>
        <v>2147451.8762300001</v>
      </c>
      <c r="DM34" s="730">
        <f t="shared" si="44"/>
        <v>1138812.0428600002</v>
      </c>
      <c r="DP34" s="729" t="s">
        <v>535</v>
      </c>
      <c r="DQ34" s="687">
        <v>272583567</v>
      </c>
      <c r="DR34" s="730">
        <f t="shared" si="45"/>
        <v>272583.56699999998</v>
      </c>
      <c r="DT34" s="729" t="s">
        <v>349</v>
      </c>
      <c r="DU34" s="687">
        <v>3115117311</v>
      </c>
      <c r="DV34" s="687">
        <v>2321944283</v>
      </c>
      <c r="DW34" s="687">
        <v>2321944283</v>
      </c>
      <c r="DX34" s="687">
        <v>793173028</v>
      </c>
      <c r="DY34" s="730">
        <f t="shared" si="46"/>
        <v>3115117.3110000002</v>
      </c>
      <c r="DZ34" s="730">
        <f t="shared" si="47"/>
        <v>2321944.2829999998</v>
      </c>
      <c r="EA34" s="730">
        <f t="shared" si="48"/>
        <v>2321944.2829999998</v>
      </c>
      <c r="EB34" s="730">
        <f t="shared" si="49"/>
        <v>793173.02800000005</v>
      </c>
      <c r="EE34" s="731" t="s">
        <v>540</v>
      </c>
      <c r="EF34" s="730">
        <v>4176288</v>
      </c>
      <c r="EG34" s="734">
        <f t="shared" si="50"/>
        <v>4176.2879999999996</v>
      </c>
      <c r="EI34" s="731" t="s">
        <v>348</v>
      </c>
      <c r="EJ34" s="730">
        <v>14423191304</v>
      </c>
      <c r="EK34" s="730">
        <v>12286596847</v>
      </c>
      <c r="EL34" s="730">
        <v>12286596847</v>
      </c>
      <c r="EM34" s="734">
        <f t="shared" si="51"/>
        <v>14423191.304</v>
      </c>
      <c r="EN34" s="734">
        <f t="shared" si="52"/>
        <v>12286596.846999999</v>
      </c>
      <c r="EO34" s="734">
        <f t="shared" si="53"/>
        <v>12286596.846999999</v>
      </c>
      <c r="ER34" s="729" t="s">
        <v>354</v>
      </c>
      <c r="ES34" s="687">
        <v>37373436</v>
      </c>
      <c r="ET34" s="730">
        <f t="shared" si="54"/>
        <v>37373.436000000002</v>
      </c>
      <c r="EW34" s="729" t="s">
        <v>348</v>
      </c>
      <c r="EX34" s="687">
        <v>0</v>
      </c>
      <c r="EY34" s="687">
        <v>14357354304</v>
      </c>
      <c r="EZ34" s="687">
        <v>13376849946</v>
      </c>
      <c r="FA34" s="687">
        <v>13376849946</v>
      </c>
      <c r="FB34" s="687">
        <v>980504358</v>
      </c>
      <c r="FC34" s="730">
        <f t="shared" si="55"/>
        <v>0</v>
      </c>
      <c r="FD34" s="730">
        <f t="shared" si="56"/>
        <v>14357354.304</v>
      </c>
      <c r="FE34" s="730">
        <f t="shared" si="57"/>
        <v>13376849.946</v>
      </c>
      <c r="FF34" s="730">
        <f t="shared" si="58"/>
        <v>13376849.946</v>
      </c>
      <c r="FG34" s="730">
        <f t="shared" si="59"/>
        <v>980504.35800000001</v>
      </c>
      <c r="FJ34" s="731" t="s">
        <v>351</v>
      </c>
      <c r="FK34" s="730">
        <v>24021701</v>
      </c>
      <c r="FL34" s="734">
        <f t="shared" si="60"/>
        <v>24021.701000000001</v>
      </c>
      <c r="FN34" s="735" t="s">
        <v>349</v>
      </c>
      <c r="FO34" s="736">
        <v>3479080494</v>
      </c>
      <c r="FP34" s="736">
        <v>3111828471</v>
      </c>
      <c r="FQ34" s="736">
        <v>3111828471</v>
      </c>
      <c r="FR34" s="736">
        <f t="shared" si="61"/>
        <v>3479080.4939999999</v>
      </c>
      <c r="FS34" s="736">
        <f t="shared" si="62"/>
        <v>3111828.4709999999</v>
      </c>
      <c r="FT34" s="736">
        <f t="shared" si="63"/>
        <v>3111828.4709999999</v>
      </c>
    </row>
    <row r="35" spans="1:176" ht="15" customHeight="1" x14ac:dyDescent="0.25">
      <c r="A35" s="728" t="s">
        <v>881</v>
      </c>
      <c r="B35" s="729" t="s">
        <v>532</v>
      </c>
      <c r="C35" s="687">
        <v>0</v>
      </c>
      <c r="D35" s="687">
        <v>131240000</v>
      </c>
      <c r="E35" s="687">
        <v>12136782</v>
      </c>
      <c r="F35" s="687">
        <v>119103218</v>
      </c>
      <c r="G35" s="687">
        <v>12136782</v>
      </c>
      <c r="H35" s="730">
        <f t="shared" si="10"/>
        <v>136752.08000000002</v>
      </c>
      <c r="I35" s="730">
        <f t="shared" si="11"/>
        <v>12646.526844</v>
      </c>
      <c r="J35" s="730">
        <f t="shared" si="12"/>
        <v>124105.55315599999</v>
      </c>
      <c r="K35" s="730">
        <f t="shared" si="13"/>
        <v>12646.526844</v>
      </c>
      <c r="O35" s="729" t="s">
        <v>544</v>
      </c>
      <c r="P35" s="687">
        <v>18449201</v>
      </c>
      <c r="Q35" s="730">
        <f t="shared" si="14"/>
        <v>19224.067442000003</v>
      </c>
      <c r="S35" s="729" t="s">
        <v>532</v>
      </c>
      <c r="T35" s="687">
        <v>131240000</v>
      </c>
      <c r="U35" s="687">
        <v>24341444</v>
      </c>
      <c r="V35" s="687">
        <v>24341444</v>
      </c>
      <c r="W35" s="687">
        <v>106898556</v>
      </c>
      <c r="X35" s="730">
        <f t="shared" si="15"/>
        <v>136752.08000000002</v>
      </c>
      <c r="Y35" s="730">
        <f t="shared" si="16"/>
        <v>25363.784648000001</v>
      </c>
      <c r="Z35" s="730">
        <f t="shared" si="17"/>
        <v>25363.784648000001</v>
      </c>
      <c r="AA35" s="730">
        <f t="shared" si="18"/>
        <v>111388.295352</v>
      </c>
      <c r="AC35" s="729" t="s">
        <v>537</v>
      </c>
      <c r="AD35" s="687">
        <v>383909927</v>
      </c>
      <c r="AE35" s="730">
        <f t="shared" si="19"/>
        <v>400034.14393400005</v>
      </c>
      <c r="AG35" s="729" t="s">
        <v>532</v>
      </c>
      <c r="AH35" s="687">
        <v>131240000</v>
      </c>
      <c r="AI35" s="687">
        <v>36513023</v>
      </c>
      <c r="AJ35" s="687">
        <v>36513023</v>
      </c>
      <c r="AK35" s="687">
        <v>94726977</v>
      </c>
      <c r="AL35" s="687">
        <f t="shared" si="20"/>
        <v>136752.08000000002</v>
      </c>
      <c r="AM35" s="687">
        <f t="shared" si="21"/>
        <v>38046.569966000003</v>
      </c>
      <c r="AN35" s="687">
        <f t="shared" si="22"/>
        <v>38046.569966000003</v>
      </c>
      <c r="AO35" s="687">
        <f t="shared" si="23"/>
        <v>98705.510034000006</v>
      </c>
      <c r="AR35" s="729" t="s">
        <v>542</v>
      </c>
      <c r="AS35" s="687">
        <v>1060306</v>
      </c>
      <c r="AT35" s="687">
        <f t="shared" si="24"/>
        <v>1104.8388520000001</v>
      </c>
      <c r="AV35" s="729" t="s">
        <v>532</v>
      </c>
      <c r="AW35" s="687">
        <v>131240000</v>
      </c>
      <c r="AX35" s="687">
        <v>48462170</v>
      </c>
      <c r="AY35" s="687">
        <v>48462170</v>
      </c>
      <c r="AZ35" s="687">
        <v>82777830</v>
      </c>
      <c r="BA35" s="730">
        <f t="shared" si="25"/>
        <v>136752.08000000002</v>
      </c>
      <c r="BB35" s="730">
        <f t="shared" si="26"/>
        <v>50497.581140000002</v>
      </c>
      <c r="BC35" s="730">
        <f t="shared" si="27"/>
        <v>50497.581140000002</v>
      </c>
      <c r="BD35" s="730">
        <f t="shared" si="28"/>
        <v>86254.498860000007</v>
      </c>
      <c r="BG35" s="754" t="s">
        <v>544</v>
      </c>
      <c r="BH35" s="687">
        <v>18863642</v>
      </c>
      <c r="BI35" s="755">
        <f t="shared" si="29"/>
        <v>19655.914964</v>
      </c>
      <c r="BK35" s="754" t="s">
        <v>532</v>
      </c>
      <c r="BL35" s="687">
        <v>131240000</v>
      </c>
      <c r="BM35" s="687">
        <v>60190271</v>
      </c>
      <c r="BN35" s="687">
        <v>60190271</v>
      </c>
      <c r="BO35" s="687">
        <v>71049729</v>
      </c>
      <c r="BP35" s="687">
        <f t="shared" si="30"/>
        <v>136752.08000000002</v>
      </c>
      <c r="BQ35" s="687">
        <f t="shared" si="31"/>
        <v>62718.262382000001</v>
      </c>
      <c r="BR35" s="687">
        <f t="shared" si="32"/>
        <v>62718.262382000001</v>
      </c>
      <c r="BS35" s="755">
        <f t="shared" si="33"/>
        <v>74033.817618000016</v>
      </c>
      <c r="BV35" s="729" t="s">
        <v>536</v>
      </c>
      <c r="BW35" s="687">
        <v>418920608</v>
      </c>
      <c r="BX35" s="730">
        <f t="shared" si="34"/>
        <v>436515.27353600005</v>
      </c>
      <c r="BZ35" s="729" t="s">
        <v>532</v>
      </c>
      <c r="CA35" s="687">
        <v>131240000</v>
      </c>
      <c r="CB35" s="687">
        <v>72045454</v>
      </c>
      <c r="CC35" s="687">
        <v>72045454</v>
      </c>
      <c r="CD35" s="687">
        <v>59194546</v>
      </c>
      <c r="CE35" s="687">
        <f t="shared" si="35"/>
        <v>136752.08000000002</v>
      </c>
      <c r="CF35" s="687">
        <f t="shared" si="36"/>
        <v>75071.363068000006</v>
      </c>
      <c r="CG35" s="687">
        <f t="shared" si="37"/>
        <v>75071.363068000006</v>
      </c>
      <c r="CH35" s="687">
        <f t="shared" si="38"/>
        <v>61680.716932000003</v>
      </c>
      <c r="CK35" s="731" t="s">
        <v>536</v>
      </c>
      <c r="CL35" s="730">
        <v>419834645</v>
      </c>
      <c r="CM35" s="730">
        <f t="shared" si="39"/>
        <v>437467.70009000006</v>
      </c>
      <c r="CP35" s="731" t="s">
        <v>532</v>
      </c>
      <c r="CQ35" s="730">
        <v>131240000</v>
      </c>
      <c r="CR35" s="730">
        <v>83868748</v>
      </c>
      <c r="CS35" s="730">
        <v>83868748</v>
      </c>
      <c r="CT35" s="730">
        <v>47371252</v>
      </c>
      <c r="CU35" s="730">
        <f t="shared" ref="CU35:CU66" si="64">+CQ35/$CV$1*$CW$1</f>
        <v>136752.08000000002</v>
      </c>
      <c r="CV35" s="730">
        <f t="shared" ref="CV35:CV66" si="65">+CR35/$CV$1*$CW$1</f>
        <v>87391.23541600001</v>
      </c>
      <c r="CW35" s="730">
        <f t="shared" ref="CW35:CW66" si="66">+CS35/$CV$1*$CW$1</f>
        <v>87391.23541600001</v>
      </c>
      <c r="CX35" s="730">
        <f t="shared" ref="CX35:CX66" si="67">+CT35/$CV$1*$CW$1</f>
        <v>49360.844583999999</v>
      </c>
      <c r="CZ35" s="731" t="s">
        <v>536</v>
      </c>
      <c r="DA35" s="730">
        <v>419355178</v>
      </c>
      <c r="DB35" s="730">
        <f t="shared" si="40"/>
        <v>436968.09547600005</v>
      </c>
      <c r="DE35" s="729" t="s">
        <v>532</v>
      </c>
      <c r="DF35" s="687">
        <v>131240000</v>
      </c>
      <c r="DG35" s="687">
        <v>95777693</v>
      </c>
      <c r="DH35" s="687">
        <v>95777693</v>
      </c>
      <c r="DI35" s="687">
        <v>35462307</v>
      </c>
      <c r="DJ35" s="730">
        <f t="shared" si="41"/>
        <v>136752.08000000002</v>
      </c>
      <c r="DK35" s="730">
        <f t="shared" si="42"/>
        <v>99800.356106000007</v>
      </c>
      <c r="DL35" s="730">
        <f t="shared" si="43"/>
        <v>99800.356106000007</v>
      </c>
      <c r="DM35" s="730">
        <f t="shared" si="44"/>
        <v>36951.723894000002</v>
      </c>
      <c r="DP35" s="729" t="s">
        <v>536</v>
      </c>
      <c r="DQ35" s="687">
        <v>417825993</v>
      </c>
      <c r="DR35" s="730">
        <f t="shared" si="45"/>
        <v>417825.99300000002</v>
      </c>
      <c r="DT35" s="729" t="s">
        <v>532</v>
      </c>
      <c r="DU35" s="687">
        <v>131240000</v>
      </c>
      <c r="DV35" s="687">
        <v>107842328</v>
      </c>
      <c r="DW35" s="687">
        <v>107842328</v>
      </c>
      <c r="DX35" s="687">
        <v>23397672</v>
      </c>
      <c r="DY35" s="730">
        <f t="shared" si="46"/>
        <v>131240</v>
      </c>
      <c r="DZ35" s="730">
        <f t="shared" si="47"/>
        <v>107842.32799999999</v>
      </c>
      <c r="EA35" s="730">
        <f t="shared" si="48"/>
        <v>107842.32799999999</v>
      </c>
      <c r="EB35" s="730">
        <f t="shared" si="49"/>
        <v>23397.671999999999</v>
      </c>
      <c r="EE35" s="731" t="s">
        <v>541</v>
      </c>
      <c r="EF35" s="730">
        <v>40097657</v>
      </c>
      <c r="EG35" s="734">
        <f t="shared" si="50"/>
        <v>40097.656999999999</v>
      </c>
      <c r="EI35" s="731" t="s">
        <v>349</v>
      </c>
      <c r="EJ35" s="730">
        <v>3112617311</v>
      </c>
      <c r="EK35" s="730">
        <v>2582981469</v>
      </c>
      <c r="EL35" s="730">
        <v>2582981469</v>
      </c>
      <c r="EM35" s="734">
        <f t="shared" si="51"/>
        <v>3112617.3110000002</v>
      </c>
      <c r="EN35" s="734">
        <f t="shared" si="52"/>
        <v>2582981.469</v>
      </c>
      <c r="EO35" s="734">
        <f t="shared" si="53"/>
        <v>2582981.469</v>
      </c>
      <c r="ER35" s="729" t="s">
        <v>544</v>
      </c>
      <c r="ES35" s="687">
        <v>20756830</v>
      </c>
      <c r="ET35" s="730">
        <f t="shared" si="54"/>
        <v>20756.830000000002</v>
      </c>
      <c r="EW35" s="729" t="s">
        <v>349</v>
      </c>
      <c r="EX35" s="687">
        <v>0</v>
      </c>
      <c r="EY35" s="687">
        <v>3033380311</v>
      </c>
      <c r="EZ35" s="687">
        <v>2844152983</v>
      </c>
      <c r="FA35" s="687">
        <v>2844152983</v>
      </c>
      <c r="FB35" s="687">
        <v>189227328</v>
      </c>
      <c r="FC35" s="730">
        <f t="shared" si="55"/>
        <v>0</v>
      </c>
      <c r="FD35" s="730">
        <f t="shared" si="56"/>
        <v>3033380.3110000002</v>
      </c>
      <c r="FE35" s="730">
        <f t="shared" si="57"/>
        <v>2844152.983</v>
      </c>
      <c r="FF35" s="730">
        <f t="shared" si="58"/>
        <v>2844152.983</v>
      </c>
      <c r="FG35" s="730">
        <f t="shared" si="59"/>
        <v>189227.32800000001</v>
      </c>
      <c r="FJ35" s="731" t="s">
        <v>534</v>
      </c>
      <c r="FK35" s="730">
        <v>12740439</v>
      </c>
      <c r="FL35" s="734">
        <f t="shared" si="60"/>
        <v>12740.439</v>
      </c>
      <c r="FN35" s="735" t="s">
        <v>532</v>
      </c>
      <c r="FO35" s="736">
        <v>144871696</v>
      </c>
      <c r="FP35" s="736">
        <v>144870159</v>
      </c>
      <c r="FQ35" s="736">
        <v>144870159</v>
      </c>
      <c r="FR35" s="736">
        <f t="shared" si="61"/>
        <v>144871.696</v>
      </c>
      <c r="FS35" s="736">
        <f t="shared" si="62"/>
        <v>144870.15900000001</v>
      </c>
      <c r="FT35" s="736">
        <f t="shared" si="63"/>
        <v>144870.15900000001</v>
      </c>
    </row>
    <row r="36" spans="1:176" ht="15" customHeight="1" x14ac:dyDescent="0.25">
      <c r="A36" s="728" t="s">
        <v>881</v>
      </c>
      <c r="B36" s="729" t="s">
        <v>350</v>
      </c>
      <c r="C36" s="687">
        <v>0</v>
      </c>
      <c r="D36" s="687">
        <v>2083110000</v>
      </c>
      <c r="E36" s="687">
        <v>179189350</v>
      </c>
      <c r="F36" s="687">
        <v>1903920650</v>
      </c>
      <c r="G36" s="687">
        <v>179189350</v>
      </c>
      <c r="H36" s="730">
        <f t="shared" si="10"/>
        <v>2170600.62</v>
      </c>
      <c r="I36" s="730">
        <f t="shared" si="11"/>
        <v>186715.3027</v>
      </c>
      <c r="J36" s="730">
        <f t="shared" si="12"/>
        <v>1983885.3173</v>
      </c>
      <c r="K36" s="730">
        <f t="shared" si="13"/>
        <v>186715.3027</v>
      </c>
      <c r="O36" s="729" t="s">
        <v>545</v>
      </c>
      <c r="P36" s="687">
        <v>4907156</v>
      </c>
      <c r="Q36" s="730">
        <f t="shared" si="14"/>
        <v>5113.2565519999998</v>
      </c>
      <c r="S36" s="729" t="s">
        <v>350</v>
      </c>
      <c r="T36" s="687">
        <v>2083110000</v>
      </c>
      <c r="U36" s="687">
        <v>359028160</v>
      </c>
      <c r="V36" s="687">
        <v>359028160</v>
      </c>
      <c r="W36" s="687">
        <v>1724081840</v>
      </c>
      <c r="X36" s="730">
        <f t="shared" si="15"/>
        <v>2170600.62</v>
      </c>
      <c r="Y36" s="730">
        <f t="shared" si="16"/>
        <v>374107.34272000002</v>
      </c>
      <c r="Z36" s="730">
        <f t="shared" si="17"/>
        <v>374107.34272000002</v>
      </c>
      <c r="AA36" s="730">
        <f t="shared" si="18"/>
        <v>1796493.27728</v>
      </c>
      <c r="AC36" s="729" t="s">
        <v>538</v>
      </c>
      <c r="AD36" s="687">
        <v>13107207</v>
      </c>
      <c r="AE36" s="730">
        <f t="shared" si="19"/>
        <v>13657.709694000001</v>
      </c>
      <c r="AG36" s="729" t="s">
        <v>350</v>
      </c>
      <c r="AH36" s="687">
        <v>2083110000</v>
      </c>
      <c r="AI36" s="687">
        <v>539690985</v>
      </c>
      <c r="AJ36" s="687">
        <v>539690985</v>
      </c>
      <c r="AK36" s="687">
        <v>1543419015</v>
      </c>
      <c r="AL36" s="687">
        <f t="shared" si="20"/>
        <v>2170600.62</v>
      </c>
      <c r="AM36" s="687">
        <f t="shared" si="21"/>
        <v>562358.00636999996</v>
      </c>
      <c r="AN36" s="687">
        <f t="shared" si="22"/>
        <v>562358.00636999996</v>
      </c>
      <c r="AO36" s="687">
        <f t="shared" si="23"/>
        <v>1608242.61363</v>
      </c>
      <c r="AR36" s="729" t="s">
        <v>543</v>
      </c>
      <c r="AS36" s="687">
        <v>542833</v>
      </c>
      <c r="AT36" s="687">
        <f t="shared" si="24"/>
        <v>565.63198599999998</v>
      </c>
      <c r="AV36" s="729" t="s">
        <v>350</v>
      </c>
      <c r="AW36" s="687">
        <v>2083110000</v>
      </c>
      <c r="AX36" s="687">
        <v>724214493</v>
      </c>
      <c r="AY36" s="687">
        <v>724214493</v>
      </c>
      <c r="AZ36" s="687">
        <v>1358895507</v>
      </c>
      <c r="BA36" s="730">
        <f t="shared" si="25"/>
        <v>2170600.62</v>
      </c>
      <c r="BB36" s="730">
        <f t="shared" si="26"/>
        <v>754631.50170600007</v>
      </c>
      <c r="BC36" s="730">
        <f t="shared" si="27"/>
        <v>754631.50170600007</v>
      </c>
      <c r="BD36" s="730">
        <f t="shared" si="28"/>
        <v>1415969.1182939999</v>
      </c>
      <c r="BG36" s="754" t="s">
        <v>545</v>
      </c>
      <c r="BH36" s="687">
        <v>3540823</v>
      </c>
      <c r="BI36" s="755">
        <f t="shared" si="29"/>
        <v>3689.537566</v>
      </c>
      <c r="BK36" s="754" t="s">
        <v>350</v>
      </c>
      <c r="BL36" s="687">
        <v>2083110000</v>
      </c>
      <c r="BM36" s="687">
        <v>908231431</v>
      </c>
      <c r="BN36" s="687">
        <v>908231431</v>
      </c>
      <c r="BO36" s="687">
        <v>1174878569</v>
      </c>
      <c r="BP36" s="687">
        <f t="shared" si="30"/>
        <v>2170600.62</v>
      </c>
      <c r="BQ36" s="687">
        <f t="shared" si="31"/>
        <v>946377.15110200003</v>
      </c>
      <c r="BR36" s="687">
        <f t="shared" si="32"/>
        <v>946377.15110200003</v>
      </c>
      <c r="BS36" s="755">
        <f t="shared" si="33"/>
        <v>1224223.468898</v>
      </c>
      <c r="BV36" s="729" t="s">
        <v>537</v>
      </c>
      <c r="BW36" s="687">
        <v>391388188</v>
      </c>
      <c r="BX36" s="730">
        <f t="shared" si="34"/>
        <v>407826.49189600005</v>
      </c>
      <c r="BZ36" s="729" t="s">
        <v>350</v>
      </c>
      <c r="CA36" s="687">
        <v>2083110000</v>
      </c>
      <c r="CB36" s="687">
        <v>1094139818</v>
      </c>
      <c r="CC36" s="687">
        <v>1094139818</v>
      </c>
      <c r="CD36" s="687">
        <v>988970182</v>
      </c>
      <c r="CE36" s="687">
        <f t="shared" si="35"/>
        <v>2170600.62</v>
      </c>
      <c r="CF36" s="687">
        <f t="shared" si="36"/>
        <v>1140093.6903560001</v>
      </c>
      <c r="CG36" s="687">
        <f t="shared" si="37"/>
        <v>1140093.6903560001</v>
      </c>
      <c r="CH36" s="687">
        <f t="shared" si="38"/>
        <v>1030506.929644</v>
      </c>
      <c r="CK36" s="731" t="s">
        <v>537</v>
      </c>
      <c r="CL36" s="730">
        <v>421935</v>
      </c>
      <c r="CM36" s="730">
        <f t="shared" si="39"/>
        <v>439.65627000000001</v>
      </c>
      <c r="CP36" s="731" t="s">
        <v>350</v>
      </c>
      <c r="CQ36" s="730">
        <v>2083110000</v>
      </c>
      <c r="CR36" s="730">
        <v>1280388137</v>
      </c>
      <c r="CS36" s="730">
        <v>1280388137</v>
      </c>
      <c r="CT36" s="730">
        <v>802721863</v>
      </c>
      <c r="CU36" s="730">
        <f t="shared" si="64"/>
        <v>2170600.62</v>
      </c>
      <c r="CV36" s="730">
        <f t="shared" si="65"/>
        <v>1334164.4387540002</v>
      </c>
      <c r="CW36" s="730">
        <f t="shared" si="66"/>
        <v>1334164.4387540002</v>
      </c>
      <c r="CX36" s="730">
        <f t="shared" si="67"/>
        <v>836436.18124599999</v>
      </c>
      <c r="CZ36" s="731" t="s">
        <v>537</v>
      </c>
      <c r="DA36" s="730">
        <v>-6765</v>
      </c>
      <c r="DB36" s="730">
        <f t="shared" si="40"/>
        <v>-7.0491299999999999</v>
      </c>
      <c r="DE36" s="729" t="s">
        <v>350</v>
      </c>
      <c r="DF36" s="687">
        <v>2083110000</v>
      </c>
      <c r="DG36" s="687">
        <v>1466246112</v>
      </c>
      <c r="DH36" s="687">
        <v>1466246112</v>
      </c>
      <c r="DI36" s="687">
        <v>616863888</v>
      </c>
      <c r="DJ36" s="730">
        <f t="shared" si="41"/>
        <v>2170600.62</v>
      </c>
      <c r="DK36" s="730">
        <f t="shared" si="42"/>
        <v>1527828.4487040001</v>
      </c>
      <c r="DL36" s="730">
        <f t="shared" si="43"/>
        <v>1527828.4487040001</v>
      </c>
      <c r="DM36" s="730">
        <f t="shared" si="44"/>
        <v>642772.17129600001</v>
      </c>
      <c r="DP36" s="729" t="s">
        <v>537</v>
      </c>
      <c r="DQ36" s="687">
        <v>395310938</v>
      </c>
      <c r="DR36" s="730">
        <f t="shared" si="45"/>
        <v>395310.93800000002</v>
      </c>
      <c r="DT36" s="729" t="s">
        <v>350</v>
      </c>
      <c r="DU36" s="687">
        <v>2083110000</v>
      </c>
      <c r="DV36" s="687">
        <v>1652869098</v>
      </c>
      <c r="DW36" s="687">
        <v>1652869098</v>
      </c>
      <c r="DX36" s="687">
        <v>430240902</v>
      </c>
      <c r="DY36" s="730">
        <f t="shared" si="46"/>
        <v>2083110</v>
      </c>
      <c r="DZ36" s="730">
        <f t="shared" si="47"/>
        <v>1652869.098</v>
      </c>
      <c r="EA36" s="730">
        <f t="shared" si="48"/>
        <v>1652869.098</v>
      </c>
      <c r="EB36" s="730">
        <f t="shared" si="49"/>
        <v>430240.902</v>
      </c>
      <c r="EE36" s="731" t="s">
        <v>542</v>
      </c>
      <c r="EF36" s="730">
        <v>109225</v>
      </c>
      <c r="EG36" s="734">
        <f t="shared" si="50"/>
        <v>109.22499999999999</v>
      </c>
      <c r="EI36" s="731" t="s">
        <v>532</v>
      </c>
      <c r="EJ36" s="730">
        <v>131240000</v>
      </c>
      <c r="EK36" s="730">
        <v>119944492</v>
      </c>
      <c r="EL36" s="730">
        <v>119944492</v>
      </c>
      <c r="EM36" s="734">
        <f t="shared" si="51"/>
        <v>131240</v>
      </c>
      <c r="EN36" s="734">
        <f t="shared" si="52"/>
        <v>119944.492</v>
      </c>
      <c r="EO36" s="734">
        <f t="shared" si="53"/>
        <v>119944.492</v>
      </c>
      <c r="ER36" s="729" t="s">
        <v>545</v>
      </c>
      <c r="ES36" s="687">
        <v>6580907</v>
      </c>
      <c r="ET36" s="730">
        <f t="shared" si="54"/>
        <v>6580.9070000000002</v>
      </c>
      <c r="EW36" s="729" t="s">
        <v>532</v>
      </c>
      <c r="EX36" s="687">
        <v>0</v>
      </c>
      <c r="EY36" s="687">
        <v>144240000</v>
      </c>
      <c r="EZ36" s="687">
        <v>132189099</v>
      </c>
      <c r="FA36" s="687">
        <v>132189099</v>
      </c>
      <c r="FB36" s="687">
        <v>12050901</v>
      </c>
      <c r="FC36" s="730">
        <f t="shared" si="55"/>
        <v>0</v>
      </c>
      <c r="FD36" s="730">
        <f t="shared" si="56"/>
        <v>144240</v>
      </c>
      <c r="FE36" s="730">
        <f t="shared" si="57"/>
        <v>132189.09899999999</v>
      </c>
      <c r="FF36" s="730">
        <f t="shared" si="58"/>
        <v>132189.09899999999</v>
      </c>
      <c r="FG36" s="730">
        <f t="shared" si="59"/>
        <v>12050.901</v>
      </c>
      <c r="FJ36" s="731" t="s">
        <v>535</v>
      </c>
      <c r="FK36" s="730">
        <v>280618056</v>
      </c>
      <c r="FL36" s="734">
        <f t="shared" si="60"/>
        <v>280618.05599999998</v>
      </c>
      <c r="FN36" s="735" t="s">
        <v>350</v>
      </c>
      <c r="FO36" s="736">
        <v>2214371923</v>
      </c>
      <c r="FP36" s="736">
        <v>2213984475</v>
      </c>
      <c r="FQ36" s="736">
        <v>2213984475</v>
      </c>
      <c r="FR36" s="736">
        <f t="shared" si="61"/>
        <v>2214371.923</v>
      </c>
      <c r="FS36" s="736">
        <f t="shared" si="62"/>
        <v>2213984.4750000001</v>
      </c>
      <c r="FT36" s="736">
        <f t="shared" si="63"/>
        <v>2213984.4750000001</v>
      </c>
    </row>
    <row r="37" spans="1:176" ht="15" customHeight="1" x14ac:dyDescent="0.25">
      <c r="A37" s="728" t="s">
        <v>881</v>
      </c>
      <c r="B37" s="729" t="s">
        <v>351</v>
      </c>
      <c r="C37" s="687">
        <v>0</v>
      </c>
      <c r="D37" s="687">
        <v>277100000</v>
      </c>
      <c r="E37" s="687">
        <v>23731030</v>
      </c>
      <c r="F37" s="687">
        <v>253368970</v>
      </c>
      <c r="G37" s="687">
        <v>23731030</v>
      </c>
      <c r="H37" s="730">
        <f t="shared" si="10"/>
        <v>288738.2</v>
      </c>
      <c r="I37" s="730">
        <f t="shared" si="11"/>
        <v>24727.733260000001</v>
      </c>
      <c r="J37" s="730">
        <f t="shared" si="12"/>
        <v>264010.46674</v>
      </c>
      <c r="K37" s="730">
        <f t="shared" si="13"/>
        <v>24727.733260000001</v>
      </c>
      <c r="O37" s="729" t="s">
        <v>582</v>
      </c>
      <c r="P37" s="687">
        <v>7024453</v>
      </c>
      <c r="Q37" s="730">
        <f t="shared" si="14"/>
        <v>7319.4800260000011</v>
      </c>
      <c r="S37" s="729" t="s">
        <v>351</v>
      </c>
      <c r="T37" s="687">
        <v>277100000</v>
      </c>
      <c r="U37" s="687">
        <v>47462060</v>
      </c>
      <c r="V37" s="687">
        <v>47462060</v>
      </c>
      <c r="W37" s="687">
        <v>229637940</v>
      </c>
      <c r="X37" s="730">
        <f t="shared" si="15"/>
        <v>288738.2</v>
      </c>
      <c r="Y37" s="730">
        <f t="shared" si="16"/>
        <v>49455.466520000002</v>
      </c>
      <c r="Z37" s="730">
        <f t="shared" si="17"/>
        <v>49455.466520000002</v>
      </c>
      <c r="AA37" s="730">
        <f t="shared" si="18"/>
        <v>239282.73348000002</v>
      </c>
      <c r="AC37" s="729" t="s">
        <v>539</v>
      </c>
      <c r="AD37" s="687">
        <v>347866</v>
      </c>
      <c r="AE37" s="730">
        <f t="shared" si="19"/>
        <v>362.47637200000003</v>
      </c>
      <c r="AG37" s="729" t="s">
        <v>351</v>
      </c>
      <c r="AH37" s="687">
        <v>277100000</v>
      </c>
      <c r="AI37" s="687">
        <v>71290267</v>
      </c>
      <c r="AJ37" s="687">
        <v>71290267</v>
      </c>
      <c r="AK37" s="687">
        <v>205809733</v>
      </c>
      <c r="AL37" s="687">
        <f t="shared" si="20"/>
        <v>288738.2</v>
      </c>
      <c r="AM37" s="687">
        <f t="shared" si="21"/>
        <v>74284.458214000013</v>
      </c>
      <c r="AN37" s="687">
        <f t="shared" si="22"/>
        <v>74284.458214000013</v>
      </c>
      <c r="AO37" s="687">
        <f t="shared" si="23"/>
        <v>214453.74178600003</v>
      </c>
      <c r="AR37" s="729" t="s">
        <v>353</v>
      </c>
      <c r="AS37" s="687">
        <v>517473</v>
      </c>
      <c r="AT37" s="687">
        <f t="shared" si="24"/>
        <v>539.20686599999999</v>
      </c>
      <c r="AV37" s="729" t="s">
        <v>351</v>
      </c>
      <c r="AW37" s="687">
        <v>277100000</v>
      </c>
      <c r="AX37" s="687">
        <v>95769820</v>
      </c>
      <c r="AY37" s="687">
        <v>95769820</v>
      </c>
      <c r="AZ37" s="687">
        <v>181330180</v>
      </c>
      <c r="BA37" s="730">
        <f t="shared" si="25"/>
        <v>288738.2</v>
      </c>
      <c r="BB37" s="730">
        <f t="shared" si="26"/>
        <v>99792.152440000005</v>
      </c>
      <c r="BC37" s="730">
        <f t="shared" si="27"/>
        <v>99792.152440000005</v>
      </c>
      <c r="BD37" s="730">
        <f t="shared" si="28"/>
        <v>188946.04756000001</v>
      </c>
      <c r="BG37" s="754" t="s">
        <v>582</v>
      </c>
      <c r="BH37" s="687">
        <v>10792696</v>
      </c>
      <c r="BI37" s="755">
        <f t="shared" si="29"/>
        <v>11245.989232</v>
      </c>
      <c r="BK37" s="754" t="s">
        <v>351</v>
      </c>
      <c r="BL37" s="687">
        <v>277100000</v>
      </c>
      <c r="BM37" s="687">
        <v>119931777</v>
      </c>
      <c r="BN37" s="687">
        <v>119931777</v>
      </c>
      <c r="BO37" s="687">
        <v>157168223</v>
      </c>
      <c r="BP37" s="687">
        <f t="shared" si="30"/>
        <v>288738.2</v>
      </c>
      <c r="BQ37" s="687">
        <f t="shared" si="31"/>
        <v>124968.911634</v>
      </c>
      <c r="BR37" s="687">
        <f t="shared" si="32"/>
        <v>124968.911634</v>
      </c>
      <c r="BS37" s="755">
        <f t="shared" si="33"/>
        <v>163769.28836599999</v>
      </c>
      <c r="BV37" s="729" t="s">
        <v>538</v>
      </c>
      <c r="BW37" s="687">
        <v>13174100</v>
      </c>
      <c r="BX37" s="730">
        <f t="shared" si="34"/>
        <v>13727.412200000001</v>
      </c>
      <c r="BZ37" s="729" t="s">
        <v>351</v>
      </c>
      <c r="CA37" s="687">
        <v>277100000</v>
      </c>
      <c r="CB37" s="687">
        <v>144463120</v>
      </c>
      <c r="CC37" s="687">
        <v>144463120</v>
      </c>
      <c r="CD37" s="687">
        <v>132636880</v>
      </c>
      <c r="CE37" s="687">
        <f t="shared" si="35"/>
        <v>288738.2</v>
      </c>
      <c r="CF37" s="687">
        <f t="shared" si="36"/>
        <v>150530.57104000001</v>
      </c>
      <c r="CG37" s="687">
        <f t="shared" si="37"/>
        <v>150530.57104000001</v>
      </c>
      <c r="CH37" s="687">
        <f t="shared" si="38"/>
        <v>138207.62896</v>
      </c>
      <c r="CK37" s="731" t="s">
        <v>538</v>
      </c>
      <c r="CL37" s="730">
        <v>-1935</v>
      </c>
      <c r="CM37" s="730">
        <f t="shared" si="39"/>
        <v>-2.01627</v>
      </c>
      <c r="CP37" s="731" t="s">
        <v>351</v>
      </c>
      <c r="CQ37" s="730">
        <v>277100000</v>
      </c>
      <c r="CR37" s="730">
        <v>168652640</v>
      </c>
      <c r="CS37" s="730">
        <v>168652640</v>
      </c>
      <c r="CT37" s="730">
        <v>108447360</v>
      </c>
      <c r="CU37" s="730">
        <f t="shared" si="64"/>
        <v>288738.2</v>
      </c>
      <c r="CV37" s="730">
        <f t="shared" si="65"/>
        <v>175736.05088000002</v>
      </c>
      <c r="CW37" s="730">
        <f t="shared" si="66"/>
        <v>175736.05088000002</v>
      </c>
      <c r="CX37" s="730">
        <f t="shared" si="67"/>
        <v>113002.14912</v>
      </c>
      <c r="CZ37" s="731" t="s">
        <v>538</v>
      </c>
      <c r="DA37" s="730">
        <v>-6764</v>
      </c>
      <c r="DB37" s="730">
        <f t="shared" si="40"/>
        <v>-7.0480880000000008</v>
      </c>
      <c r="DE37" s="729" t="s">
        <v>351</v>
      </c>
      <c r="DF37" s="687">
        <v>277100000</v>
      </c>
      <c r="DG37" s="687">
        <v>192837330</v>
      </c>
      <c r="DH37" s="687">
        <v>192837330</v>
      </c>
      <c r="DI37" s="687">
        <v>84262670</v>
      </c>
      <c r="DJ37" s="730">
        <f t="shared" si="41"/>
        <v>288738.2</v>
      </c>
      <c r="DK37" s="730">
        <f t="shared" si="42"/>
        <v>200936.49786</v>
      </c>
      <c r="DL37" s="730">
        <f t="shared" si="43"/>
        <v>200936.49786</v>
      </c>
      <c r="DM37" s="730">
        <f t="shared" si="44"/>
        <v>87801.702140000009</v>
      </c>
      <c r="DP37" s="729" t="s">
        <v>538</v>
      </c>
      <c r="DQ37" s="687">
        <v>13032195</v>
      </c>
      <c r="DR37" s="730">
        <f t="shared" si="45"/>
        <v>13032.195</v>
      </c>
      <c r="DT37" s="729" t="s">
        <v>351</v>
      </c>
      <c r="DU37" s="687">
        <v>277100000</v>
      </c>
      <c r="DV37" s="687">
        <v>217047322</v>
      </c>
      <c r="DW37" s="687">
        <v>217047322</v>
      </c>
      <c r="DX37" s="687">
        <v>60052678</v>
      </c>
      <c r="DY37" s="730">
        <f t="shared" si="46"/>
        <v>277100</v>
      </c>
      <c r="DZ37" s="730">
        <f t="shared" si="47"/>
        <v>217047.32199999999</v>
      </c>
      <c r="EA37" s="730">
        <f t="shared" si="48"/>
        <v>217047.32199999999</v>
      </c>
      <c r="EB37" s="730">
        <f t="shared" si="49"/>
        <v>60052.678</v>
      </c>
      <c r="EE37" s="731" t="s">
        <v>543</v>
      </c>
      <c r="EF37" s="730">
        <v>87687</v>
      </c>
      <c r="EG37" s="734">
        <f t="shared" si="50"/>
        <v>87.686999999999998</v>
      </c>
      <c r="EI37" s="731" t="s">
        <v>350</v>
      </c>
      <c r="EJ37" s="730">
        <v>2083110000</v>
      </c>
      <c r="EK37" s="730">
        <v>1837848486</v>
      </c>
      <c r="EL37" s="730">
        <v>1837848486</v>
      </c>
      <c r="EM37" s="734">
        <f t="shared" si="51"/>
        <v>2083110</v>
      </c>
      <c r="EN37" s="734">
        <f t="shared" si="52"/>
        <v>1837848.486</v>
      </c>
      <c r="EO37" s="734">
        <f t="shared" si="53"/>
        <v>1837848.486</v>
      </c>
      <c r="ER37" s="729" t="s">
        <v>582</v>
      </c>
      <c r="ES37" s="687">
        <v>10035699</v>
      </c>
      <c r="ET37" s="730">
        <f t="shared" si="54"/>
        <v>10035.699000000001</v>
      </c>
      <c r="EW37" s="729" t="s">
        <v>350</v>
      </c>
      <c r="EX37" s="687">
        <v>0</v>
      </c>
      <c r="EY37" s="687">
        <v>2083110000</v>
      </c>
      <c r="EZ37" s="687">
        <v>2023372966</v>
      </c>
      <c r="FA37" s="687">
        <v>2023372966</v>
      </c>
      <c r="FB37" s="687">
        <v>59737034</v>
      </c>
      <c r="FC37" s="730">
        <f t="shared" si="55"/>
        <v>0</v>
      </c>
      <c r="FD37" s="730">
        <f t="shared" si="56"/>
        <v>2083110</v>
      </c>
      <c r="FE37" s="730">
        <f t="shared" si="57"/>
        <v>2023372.966</v>
      </c>
      <c r="FF37" s="730">
        <f t="shared" si="58"/>
        <v>2023372.966</v>
      </c>
      <c r="FG37" s="730">
        <f t="shared" si="59"/>
        <v>59737.034</v>
      </c>
      <c r="FJ37" s="731" t="s">
        <v>536</v>
      </c>
      <c r="FK37" s="730">
        <v>429506302</v>
      </c>
      <c r="FL37" s="734">
        <f t="shared" si="60"/>
        <v>429506.30200000003</v>
      </c>
      <c r="FN37" s="735" t="s">
        <v>351</v>
      </c>
      <c r="FO37" s="736">
        <v>289402638</v>
      </c>
      <c r="FP37" s="736">
        <v>289401100</v>
      </c>
      <c r="FQ37" s="736">
        <v>289401100</v>
      </c>
      <c r="FR37" s="736">
        <f t="shared" si="61"/>
        <v>289402.63799999998</v>
      </c>
      <c r="FS37" s="736">
        <f t="shared" si="62"/>
        <v>289401.09999999998</v>
      </c>
      <c r="FT37" s="736">
        <f t="shared" si="63"/>
        <v>289401.09999999998</v>
      </c>
    </row>
    <row r="38" spans="1:176" ht="15" customHeight="1" x14ac:dyDescent="0.25">
      <c r="A38" s="728" t="s">
        <v>881</v>
      </c>
      <c r="B38" s="729" t="s">
        <v>534</v>
      </c>
      <c r="C38" s="687">
        <v>0</v>
      </c>
      <c r="D38" s="687">
        <v>141610000</v>
      </c>
      <c r="E38" s="687">
        <v>12751709</v>
      </c>
      <c r="F38" s="687">
        <v>128858291</v>
      </c>
      <c r="G38" s="687">
        <v>12751709</v>
      </c>
      <c r="H38" s="730">
        <f t="shared" si="10"/>
        <v>147557.62</v>
      </c>
      <c r="I38" s="730">
        <f t="shared" si="11"/>
        <v>13287.280778000002</v>
      </c>
      <c r="J38" s="730">
        <f t="shared" si="12"/>
        <v>134270.33922200001</v>
      </c>
      <c r="K38" s="730">
        <f t="shared" si="13"/>
        <v>13287.280778000002</v>
      </c>
      <c r="O38" s="729" t="s">
        <v>358</v>
      </c>
      <c r="P38" s="687">
        <v>92859420</v>
      </c>
      <c r="Q38" s="730">
        <f t="shared" si="14"/>
        <v>96759.515639999998</v>
      </c>
      <c r="S38" s="729" t="s">
        <v>534</v>
      </c>
      <c r="T38" s="687">
        <v>141610000</v>
      </c>
      <c r="U38" s="687">
        <v>25799421</v>
      </c>
      <c r="V38" s="687">
        <v>25799421</v>
      </c>
      <c r="W38" s="687">
        <v>115810579</v>
      </c>
      <c r="X38" s="730">
        <f t="shared" si="15"/>
        <v>147557.62</v>
      </c>
      <c r="Y38" s="730">
        <f t="shared" si="16"/>
        <v>26882.996682000001</v>
      </c>
      <c r="Z38" s="730">
        <f t="shared" si="17"/>
        <v>26882.996682000001</v>
      </c>
      <c r="AA38" s="730">
        <f t="shared" si="18"/>
        <v>120674.623318</v>
      </c>
      <c r="AC38" s="729" t="s">
        <v>352</v>
      </c>
      <c r="AD38" s="687">
        <v>55811707</v>
      </c>
      <c r="AE38" s="730">
        <f t="shared" si="19"/>
        <v>58155.798694000005</v>
      </c>
      <c r="AG38" s="729" t="s">
        <v>534</v>
      </c>
      <c r="AH38" s="687">
        <v>141610000</v>
      </c>
      <c r="AI38" s="687">
        <v>37586363</v>
      </c>
      <c r="AJ38" s="687">
        <v>37586363</v>
      </c>
      <c r="AK38" s="687">
        <v>104023637</v>
      </c>
      <c r="AL38" s="687">
        <f t="shared" si="20"/>
        <v>147557.62</v>
      </c>
      <c r="AM38" s="687">
        <f t="shared" si="21"/>
        <v>39164.990246000001</v>
      </c>
      <c r="AN38" s="687">
        <f t="shared" si="22"/>
        <v>39164.990246000001</v>
      </c>
      <c r="AO38" s="687">
        <f t="shared" si="23"/>
        <v>108392.62975400001</v>
      </c>
      <c r="AR38" s="729" t="s">
        <v>354</v>
      </c>
      <c r="AS38" s="687">
        <v>37403534</v>
      </c>
      <c r="AT38" s="687">
        <f t="shared" si="24"/>
        <v>38974.482428000003</v>
      </c>
      <c r="AV38" s="729" t="s">
        <v>534</v>
      </c>
      <c r="AW38" s="687">
        <v>141610000</v>
      </c>
      <c r="AX38" s="687">
        <v>49373305</v>
      </c>
      <c r="AY38" s="687">
        <v>49373305</v>
      </c>
      <c r="AZ38" s="687">
        <v>92236695</v>
      </c>
      <c r="BA38" s="730">
        <f t="shared" si="25"/>
        <v>147557.62</v>
      </c>
      <c r="BB38" s="730">
        <f t="shared" si="26"/>
        <v>51446.983810000005</v>
      </c>
      <c r="BC38" s="730">
        <f t="shared" si="27"/>
        <v>51446.983810000005</v>
      </c>
      <c r="BD38" s="730">
        <f t="shared" si="28"/>
        <v>96110.636190000005</v>
      </c>
      <c r="BG38" s="754" t="s">
        <v>358</v>
      </c>
      <c r="BH38" s="687">
        <v>100558059</v>
      </c>
      <c r="BI38" s="755">
        <f t="shared" si="29"/>
        <v>104781.49747799999</v>
      </c>
      <c r="BK38" s="754" t="s">
        <v>534</v>
      </c>
      <c r="BL38" s="687">
        <v>141610000</v>
      </c>
      <c r="BM38" s="687">
        <v>61160247</v>
      </c>
      <c r="BN38" s="687">
        <v>61160247</v>
      </c>
      <c r="BO38" s="687">
        <v>80449753</v>
      </c>
      <c r="BP38" s="687">
        <f t="shared" si="30"/>
        <v>147557.62</v>
      </c>
      <c r="BQ38" s="687">
        <f t="shared" si="31"/>
        <v>63728.977374000002</v>
      </c>
      <c r="BR38" s="687">
        <f t="shared" si="32"/>
        <v>63728.977374000002</v>
      </c>
      <c r="BS38" s="755">
        <f t="shared" si="33"/>
        <v>83828.642626000001</v>
      </c>
      <c r="BV38" s="729" t="s">
        <v>539</v>
      </c>
      <c r="BW38" s="687">
        <v>349605</v>
      </c>
      <c r="BX38" s="730">
        <f t="shared" si="34"/>
        <v>364.28841000000006</v>
      </c>
      <c r="BZ38" s="729" t="s">
        <v>534</v>
      </c>
      <c r="CA38" s="687">
        <v>141610000</v>
      </c>
      <c r="CB38" s="687">
        <v>73006128</v>
      </c>
      <c r="CC38" s="687">
        <v>73006128</v>
      </c>
      <c r="CD38" s="687">
        <v>68603872</v>
      </c>
      <c r="CE38" s="687">
        <f t="shared" si="35"/>
        <v>147557.62</v>
      </c>
      <c r="CF38" s="687">
        <f t="shared" si="36"/>
        <v>76072.385376000006</v>
      </c>
      <c r="CG38" s="687">
        <f t="shared" si="37"/>
        <v>76072.385376000006</v>
      </c>
      <c r="CH38" s="687">
        <f t="shared" si="38"/>
        <v>71485.234624000004</v>
      </c>
      <c r="CK38" s="731" t="s">
        <v>539</v>
      </c>
      <c r="CL38" s="730">
        <v>347671</v>
      </c>
      <c r="CM38" s="730">
        <f t="shared" si="39"/>
        <v>362.27318200000002</v>
      </c>
      <c r="CP38" s="731" t="s">
        <v>534</v>
      </c>
      <c r="CQ38" s="730">
        <v>141610000</v>
      </c>
      <c r="CR38" s="730">
        <v>84850074</v>
      </c>
      <c r="CS38" s="730">
        <v>84850074</v>
      </c>
      <c r="CT38" s="730">
        <v>56759926</v>
      </c>
      <c r="CU38" s="730">
        <f t="shared" si="64"/>
        <v>147557.62</v>
      </c>
      <c r="CV38" s="730">
        <f t="shared" si="65"/>
        <v>88413.777107999995</v>
      </c>
      <c r="CW38" s="730">
        <f t="shared" si="66"/>
        <v>88413.777107999995</v>
      </c>
      <c r="CX38" s="730">
        <f t="shared" si="67"/>
        <v>59143.842892000001</v>
      </c>
      <c r="CZ38" s="731" t="s">
        <v>539</v>
      </c>
      <c r="DA38" s="730">
        <v>342840</v>
      </c>
      <c r="DB38" s="730">
        <f t="shared" si="40"/>
        <v>357.23928000000001</v>
      </c>
      <c r="DE38" s="729" t="s">
        <v>534</v>
      </c>
      <c r="DF38" s="687">
        <v>141610000</v>
      </c>
      <c r="DG38" s="687">
        <v>96689190</v>
      </c>
      <c r="DH38" s="687">
        <v>96689190</v>
      </c>
      <c r="DI38" s="687">
        <v>44920810</v>
      </c>
      <c r="DJ38" s="730">
        <f t="shared" si="41"/>
        <v>147557.62</v>
      </c>
      <c r="DK38" s="730">
        <f t="shared" si="42"/>
        <v>100750.13598000001</v>
      </c>
      <c r="DL38" s="730">
        <f t="shared" si="43"/>
        <v>100750.13598000001</v>
      </c>
      <c r="DM38" s="730">
        <f t="shared" si="44"/>
        <v>46807.484019999996</v>
      </c>
      <c r="DP38" s="729" t="s">
        <v>539</v>
      </c>
      <c r="DQ38" s="687">
        <v>349605</v>
      </c>
      <c r="DR38" s="730">
        <f t="shared" si="45"/>
        <v>349.60500000000002</v>
      </c>
      <c r="DT38" s="729" t="s">
        <v>534</v>
      </c>
      <c r="DU38" s="687">
        <v>141610000</v>
      </c>
      <c r="DV38" s="687">
        <v>112393561</v>
      </c>
      <c r="DW38" s="687">
        <v>112393561</v>
      </c>
      <c r="DX38" s="687">
        <v>29216439</v>
      </c>
      <c r="DY38" s="730">
        <f t="shared" si="46"/>
        <v>141610</v>
      </c>
      <c r="DZ38" s="730">
        <f t="shared" si="47"/>
        <v>112393.561</v>
      </c>
      <c r="EA38" s="730">
        <f t="shared" si="48"/>
        <v>112393.561</v>
      </c>
      <c r="EB38" s="730">
        <f t="shared" si="49"/>
        <v>29216.438999999998</v>
      </c>
      <c r="EE38" s="731" t="s">
        <v>353</v>
      </c>
      <c r="EF38" s="730">
        <v>21538</v>
      </c>
      <c r="EG38" s="734">
        <f t="shared" si="50"/>
        <v>21.538</v>
      </c>
      <c r="EI38" s="731" t="s">
        <v>351</v>
      </c>
      <c r="EJ38" s="730">
        <v>277100000</v>
      </c>
      <c r="EK38" s="730">
        <v>241758791</v>
      </c>
      <c r="EL38" s="730">
        <v>241758791</v>
      </c>
      <c r="EM38" s="734">
        <f t="shared" si="51"/>
        <v>277100</v>
      </c>
      <c r="EN38" s="734">
        <f t="shared" si="52"/>
        <v>241758.791</v>
      </c>
      <c r="EO38" s="734">
        <f t="shared" si="53"/>
        <v>241758.791</v>
      </c>
      <c r="ER38" s="729" t="s">
        <v>358</v>
      </c>
      <c r="ES38" s="687">
        <v>79852831</v>
      </c>
      <c r="ET38" s="730">
        <f t="shared" si="54"/>
        <v>79852.831000000006</v>
      </c>
      <c r="EW38" s="729" t="s">
        <v>351</v>
      </c>
      <c r="EX38" s="687">
        <v>0</v>
      </c>
      <c r="EY38" s="687">
        <v>277100000</v>
      </c>
      <c r="EZ38" s="687">
        <v>265379399</v>
      </c>
      <c r="FA38" s="687">
        <v>265379399</v>
      </c>
      <c r="FB38" s="687">
        <v>11720601</v>
      </c>
      <c r="FC38" s="730">
        <f t="shared" si="55"/>
        <v>0</v>
      </c>
      <c r="FD38" s="730">
        <f t="shared" si="56"/>
        <v>277100</v>
      </c>
      <c r="FE38" s="730">
        <f t="shared" si="57"/>
        <v>265379.39899999998</v>
      </c>
      <c r="FF38" s="730">
        <f t="shared" si="58"/>
        <v>265379.39899999998</v>
      </c>
      <c r="FG38" s="730">
        <f t="shared" si="59"/>
        <v>11720.601000000001</v>
      </c>
      <c r="FJ38" s="731" t="s">
        <v>537</v>
      </c>
      <c r="FK38" s="730">
        <v>397316135</v>
      </c>
      <c r="FL38" s="734">
        <f t="shared" si="60"/>
        <v>397316.13500000001</v>
      </c>
      <c r="FN38" s="735" t="s">
        <v>534</v>
      </c>
      <c r="FO38" s="736">
        <v>149822501</v>
      </c>
      <c r="FP38" s="736">
        <v>149820963</v>
      </c>
      <c r="FQ38" s="736">
        <v>149820963</v>
      </c>
      <c r="FR38" s="736">
        <f t="shared" si="61"/>
        <v>149822.50099999999</v>
      </c>
      <c r="FS38" s="736">
        <f t="shared" si="62"/>
        <v>149820.96299999999</v>
      </c>
      <c r="FT38" s="736">
        <f t="shared" si="63"/>
        <v>149820.96299999999</v>
      </c>
    </row>
    <row r="39" spans="1:176" ht="15" customHeight="1" x14ac:dyDescent="0.25">
      <c r="A39" s="728" t="s">
        <v>881</v>
      </c>
      <c r="B39" s="729" t="s">
        <v>535</v>
      </c>
      <c r="C39" s="687">
        <v>0</v>
      </c>
      <c r="D39" s="687">
        <v>2325100000</v>
      </c>
      <c r="E39" s="687">
        <v>171187598</v>
      </c>
      <c r="F39" s="687">
        <v>2153912402</v>
      </c>
      <c r="G39" s="687">
        <v>171187598</v>
      </c>
      <c r="H39" s="730">
        <f t="shared" si="10"/>
        <v>2422754.2000000002</v>
      </c>
      <c r="I39" s="730">
        <f t="shared" si="11"/>
        <v>178377.47711599999</v>
      </c>
      <c r="J39" s="730">
        <f t="shared" si="12"/>
        <v>2244376.7228839998</v>
      </c>
      <c r="K39" s="730">
        <f t="shared" si="13"/>
        <v>178377.47711599999</v>
      </c>
      <c r="O39" s="729" t="s">
        <v>546</v>
      </c>
      <c r="P39" s="687">
        <v>83736676</v>
      </c>
      <c r="Q39" s="730">
        <f t="shared" si="14"/>
        <v>87253.616392000011</v>
      </c>
      <c r="S39" s="729" t="s">
        <v>535</v>
      </c>
      <c r="T39" s="687">
        <v>2325100000</v>
      </c>
      <c r="U39" s="687">
        <v>342920066</v>
      </c>
      <c r="V39" s="687">
        <v>342920066</v>
      </c>
      <c r="W39" s="687">
        <v>1982179934</v>
      </c>
      <c r="X39" s="730">
        <f t="shared" si="15"/>
        <v>2422754.2000000002</v>
      </c>
      <c r="Y39" s="730">
        <f t="shared" si="16"/>
        <v>357322.70877199998</v>
      </c>
      <c r="Z39" s="730">
        <f t="shared" si="17"/>
        <v>357322.70877199998</v>
      </c>
      <c r="AA39" s="730">
        <f t="shared" si="18"/>
        <v>2065431.491228</v>
      </c>
      <c r="AC39" s="729" t="s">
        <v>541</v>
      </c>
      <c r="AD39" s="687">
        <v>55811707</v>
      </c>
      <c r="AE39" s="730">
        <f t="shared" si="19"/>
        <v>58155.798694000005</v>
      </c>
      <c r="AG39" s="729" t="s">
        <v>535</v>
      </c>
      <c r="AH39" s="687">
        <v>2325100000</v>
      </c>
      <c r="AI39" s="687">
        <v>605123504</v>
      </c>
      <c r="AJ39" s="687">
        <v>605123504</v>
      </c>
      <c r="AK39" s="687">
        <v>1719976496</v>
      </c>
      <c r="AL39" s="687">
        <f t="shared" si="20"/>
        <v>2422754.2000000002</v>
      </c>
      <c r="AM39" s="687">
        <f t="shared" si="21"/>
        <v>630538.69116799999</v>
      </c>
      <c r="AN39" s="687">
        <f t="shared" si="22"/>
        <v>630538.69116799999</v>
      </c>
      <c r="AO39" s="687">
        <f t="shared" si="23"/>
        <v>1792215.5088320002</v>
      </c>
      <c r="AR39" s="729" t="s">
        <v>544</v>
      </c>
      <c r="AS39" s="687">
        <v>18863642</v>
      </c>
      <c r="AT39" s="687">
        <f t="shared" si="24"/>
        <v>19655.914964</v>
      </c>
      <c r="AV39" s="729" t="s">
        <v>535</v>
      </c>
      <c r="AW39" s="687">
        <v>2325100000</v>
      </c>
      <c r="AX39" s="687">
        <v>780993969</v>
      </c>
      <c r="AY39" s="687">
        <v>780993969</v>
      </c>
      <c r="AZ39" s="687">
        <v>1544106031</v>
      </c>
      <c r="BA39" s="730">
        <f t="shared" si="25"/>
        <v>2422754.2000000002</v>
      </c>
      <c r="BB39" s="730">
        <f t="shared" si="26"/>
        <v>813795.71569800004</v>
      </c>
      <c r="BC39" s="730">
        <f t="shared" si="27"/>
        <v>813795.71569800004</v>
      </c>
      <c r="BD39" s="730">
        <f t="shared" si="28"/>
        <v>1608958.4843019999</v>
      </c>
      <c r="BG39" s="754" t="s">
        <v>546</v>
      </c>
      <c r="BH39" s="687">
        <v>91402776</v>
      </c>
      <c r="BI39" s="755">
        <f t="shared" si="29"/>
        <v>95241.692592000007</v>
      </c>
      <c r="BK39" s="754" t="s">
        <v>535</v>
      </c>
      <c r="BL39" s="687">
        <v>2325100000</v>
      </c>
      <c r="BM39" s="687">
        <v>956265250</v>
      </c>
      <c r="BN39" s="687">
        <v>956265250</v>
      </c>
      <c r="BO39" s="687">
        <v>1368834750</v>
      </c>
      <c r="BP39" s="687">
        <f t="shared" si="30"/>
        <v>2422754.2000000002</v>
      </c>
      <c r="BQ39" s="687">
        <f t="shared" si="31"/>
        <v>996428.39049999998</v>
      </c>
      <c r="BR39" s="687">
        <f t="shared" si="32"/>
        <v>996428.39049999998</v>
      </c>
      <c r="BS39" s="755">
        <f t="shared" si="33"/>
        <v>1426325.8095</v>
      </c>
      <c r="BV39" s="729" t="s">
        <v>352</v>
      </c>
      <c r="BW39" s="687">
        <v>61646348</v>
      </c>
      <c r="BX39" s="730">
        <f t="shared" si="34"/>
        <v>64235.494616000004</v>
      </c>
      <c r="BZ39" s="729" t="s">
        <v>535</v>
      </c>
      <c r="CA39" s="687">
        <v>2325100000</v>
      </c>
      <c r="CB39" s="687">
        <v>1222127911</v>
      </c>
      <c r="CC39" s="687">
        <v>1222127911</v>
      </c>
      <c r="CD39" s="687">
        <v>1102972089</v>
      </c>
      <c r="CE39" s="687">
        <f t="shared" si="35"/>
        <v>2422754.2000000002</v>
      </c>
      <c r="CF39" s="687">
        <f t="shared" si="36"/>
        <v>1273457.2832620002</v>
      </c>
      <c r="CG39" s="687">
        <f t="shared" si="37"/>
        <v>1273457.2832620002</v>
      </c>
      <c r="CH39" s="687">
        <f t="shared" si="38"/>
        <v>1149296.916738</v>
      </c>
      <c r="CK39" s="731" t="s">
        <v>352</v>
      </c>
      <c r="CL39" s="730">
        <v>49530738</v>
      </c>
      <c r="CM39" s="730">
        <f t="shared" si="39"/>
        <v>51611.028996000001</v>
      </c>
      <c r="CP39" s="731" t="s">
        <v>535</v>
      </c>
      <c r="CQ39" s="730">
        <v>2325100000</v>
      </c>
      <c r="CR39" s="730">
        <v>1399622350</v>
      </c>
      <c r="CS39" s="730">
        <v>1399622350</v>
      </c>
      <c r="CT39" s="730">
        <v>925477650</v>
      </c>
      <c r="CU39" s="730">
        <f t="shared" si="64"/>
        <v>2422754.2000000002</v>
      </c>
      <c r="CV39" s="730">
        <f t="shared" si="65"/>
        <v>1458406.4887000001</v>
      </c>
      <c r="CW39" s="730">
        <f t="shared" si="66"/>
        <v>1458406.4887000001</v>
      </c>
      <c r="CX39" s="730">
        <f t="shared" si="67"/>
        <v>964347.71130000008</v>
      </c>
      <c r="CZ39" s="731" t="s">
        <v>352</v>
      </c>
      <c r="DA39" s="730">
        <v>49496770</v>
      </c>
      <c r="DB39" s="730">
        <f t="shared" si="40"/>
        <v>51575.634339999997</v>
      </c>
      <c r="DE39" s="729" t="s">
        <v>535</v>
      </c>
      <c r="DF39" s="687">
        <v>2325100000</v>
      </c>
      <c r="DG39" s="687">
        <v>1576741161</v>
      </c>
      <c r="DH39" s="687">
        <v>1576741161</v>
      </c>
      <c r="DI39" s="687">
        <v>748358839</v>
      </c>
      <c r="DJ39" s="730">
        <f t="shared" si="41"/>
        <v>2422754.2000000002</v>
      </c>
      <c r="DK39" s="730">
        <f t="shared" si="42"/>
        <v>1642964.2897620001</v>
      </c>
      <c r="DL39" s="730">
        <f t="shared" si="43"/>
        <v>1642964.2897620001</v>
      </c>
      <c r="DM39" s="730">
        <f t="shared" si="44"/>
        <v>779789.9102380001</v>
      </c>
      <c r="DP39" s="729" t="s">
        <v>352</v>
      </c>
      <c r="DQ39" s="687">
        <v>69934890</v>
      </c>
      <c r="DR39" s="730">
        <f t="shared" si="45"/>
        <v>69934.89</v>
      </c>
      <c r="DT39" s="729" t="s">
        <v>535</v>
      </c>
      <c r="DU39" s="687">
        <v>2325100000</v>
      </c>
      <c r="DV39" s="687">
        <v>1849324728</v>
      </c>
      <c r="DW39" s="687">
        <v>1849324728</v>
      </c>
      <c r="DX39" s="687">
        <v>475775272</v>
      </c>
      <c r="DY39" s="730">
        <f t="shared" si="46"/>
        <v>2325100</v>
      </c>
      <c r="DZ39" s="730">
        <f t="shared" si="47"/>
        <v>1849324.7279999999</v>
      </c>
      <c r="EA39" s="730">
        <f t="shared" si="48"/>
        <v>1849324.7279999999</v>
      </c>
      <c r="EB39" s="730">
        <f t="shared" si="49"/>
        <v>475775.272</v>
      </c>
      <c r="EE39" s="731" t="s">
        <v>354</v>
      </c>
      <c r="EF39" s="730">
        <v>32069205</v>
      </c>
      <c r="EG39" s="734">
        <f t="shared" si="50"/>
        <v>32069.205000000002</v>
      </c>
      <c r="EI39" s="731" t="s">
        <v>534</v>
      </c>
      <c r="EJ39" s="730">
        <v>141610000</v>
      </c>
      <c r="EK39" s="730">
        <v>124764068</v>
      </c>
      <c r="EL39" s="730">
        <v>124764068</v>
      </c>
      <c r="EM39" s="734">
        <f t="shared" si="51"/>
        <v>141610</v>
      </c>
      <c r="EN39" s="734">
        <f t="shared" si="52"/>
        <v>124764.068</v>
      </c>
      <c r="EO39" s="734">
        <f t="shared" si="53"/>
        <v>124764.068</v>
      </c>
      <c r="ER39" s="729" t="s">
        <v>546</v>
      </c>
      <c r="ES39" s="687">
        <v>76726013</v>
      </c>
      <c r="ET39" s="730">
        <f t="shared" si="54"/>
        <v>76726.013000000006</v>
      </c>
      <c r="EW39" s="729" t="s">
        <v>534</v>
      </c>
      <c r="EX39" s="687">
        <v>0</v>
      </c>
      <c r="EY39" s="687">
        <v>141610000</v>
      </c>
      <c r="EZ39" s="687">
        <v>137080524</v>
      </c>
      <c r="FA39" s="687">
        <v>137080524</v>
      </c>
      <c r="FB39" s="687">
        <v>4529476</v>
      </c>
      <c r="FC39" s="730">
        <f t="shared" si="55"/>
        <v>0</v>
      </c>
      <c r="FD39" s="730">
        <f t="shared" si="56"/>
        <v>141610</v>
      </c>
      <c r="FE39" s="730">
        <f t="shared" si="57"/>
        <v>137080.524</v>
      </c>
      <c r="FF39" s="730">
        <f t="shared" si="58"/>
        <v>137080.524</v>
      </c>
      <c r="FG39" s="730">
        <f t="shared" si="59"/>
        <v>4529.4759999999997</v>
      </c>
      <c r="FJ39" s="731" t="s">
        <v>538</v>
      </c>
      <c r="FK39" s="730">
        <v>12727705</v>
      </c>
      <c r="FL39" s="734">
        <f t="shared" si="60"/>
        <v>12727.705</v>
      </c>
      <c r="FN39" s="735" t="s">
        <v>535</v>
      </c>
      <c r="FO39" s="736">
        <v>2483922126</v>
      </c>
      <c r="FP39" s="736">
        <v>2483422747</v>
      </c>
      <c r="FQ39" s="736">
        <v>2483422747</v>
      </c>
      <c r="FR39" s="736">
        <f t="shared" si="61"/>
        <v>2483922.1260000002</v>
      </c>
      <c r="FS39" s="736">
        <f t="shared" si="62"/>
        <v>2483422.747</v>
      </c>
      <c r="FT39" s="736">
        <f t="shared" si="63"/>
        <v>2483422.747</v>
      </c>
    </row>
    <row r="40" spans="1:176" ht="15" customHeight="1" x14ac:dyDescent="0.25">
      <c r="A40" s="728" t="s">
        <v>881</v>
      </c>
      <c r="B40" s="729" t="s">
        <v>536</v>
      </c>
      <c r="C40" s="687">
        <v>0</v>
      </c>
      <c r="D40" s="687">
        <v>4714310000</v>
      </c>
      <c r="E40" s="687">
        <v>403381274</v>
      </c>
      <c r="F40" s="687">
        <v>4310928726</v>
      </c>
      <c r="G40" s="687">
        <v>403381274</v>
      </c>
      <c r="H40" s="730">
        <f t="shared" si="10"/>
        <v>4912311.0200000005</v>
      </c>
      <c r="I40" s="730">
        <f t="shared" si="11"/>
        <v>420323.28750799998</v>
      </c>
      <c r="J40" s="730">
        <f t="shared" si="12"/>
        <v>4491987.7324919999</v>
      </c>
      <c r="K40" s="730">
        <f t="shared" si="13"/>
        <v>420323.28750799998</v>
      </c>
      <c r="O40" s="729" t="s">
        <v>547</v>
      </c>
      <c r="P40" s="687">
        <v>81249198</v>
      </c>
      <c r="Q40" s="730">
        <f t="shared" si="14"/>
        <v>84661.664316000009</v>
      </c>
      <c r="S40" s="729" t="s">
        <v>536</v>
      </c>
      <c r="T40" s="687">
        <v>4714310000</v>
      </c>
      <c r="U40" s="687">
        <v>807958508</v>
      </c>
      <c r="V40" s="687">
        <v>807958508</v>
      </c>
      <c r="W40" s="687">
        <v>3906351492</v>
      </c>
      <c r="X40" s="730">
        <f t="shared" si="15"/>
        <v>4912311.0200000005</v>
      </c>
      <c r="Y40" s="730">
        <f t="shared" si="16"/>
        <v>841892.76533600001</v>
      </c>
      <c r="Z40" s="730">
        <f t="shared" si="17"/>
        <v>841892.76533600001</v>
      </c>
      <c r="AA40" s="730">
        <f t="shared" si="18"/>
        <v>4070418.2546640001</v>
      </c>
      <c r="AC40" s="729" t="s">
        <v>542</v>
      </c>
      <c r="AD40" s="687">
        <v>383516024</v>
      </c>
      <c r="AE40" s="730">
        <f t="shared" si="19"/>
        <v>399623.69700799999</v>
      </c>
      <c r="AG40" s="729" t="s">
        <v>536</v>
      </c>
      <c r="AH40" s="687">
        <v>4714310000</v>
      </c>
      <c r="AI40" s="687">
        <v>1215741754</v>
      </c>
      <c r="AJ40" s="687">
        <v>1215741754</v>
      </c>
      <c r="AK40" s="687">
        <v>3498568246</v>
      </c>
      <c r="AL40" s="687">
        <f t="shared" si="20"/>
        <v>4912311.0200000005</v>
      </c>
      <c r="AM40" s="687">
        <f t="shared" si="21"/>
        <v>1266802.9076680001</v>
      </c>
      <c r="AN40" s="687">
        <f t="shared" si="22"/>
        <v>1266802.9076680001</v>
      </c>
      <c r="AO40" s="687">
        <f t="shared" si="23"/>
        <v>3645508.1123319999</v>
      </c>
      <c r="AR40" s="729" t="s">
        <v>545</v>
      </c>
      <c r="AS40" s="687">
        <v>3165758</v>
      </c>
      <c r="AT40" s="687">
        <f t="shared" si="24"/>
        <v>3298.7198359999998</v>
      </c>
      <c r="AV40" s="729" t="s">
        <v>536</v>
      </c>
      <c r="AW40" s="687">
        <v>4714310000</v>
      </c>
      <c r="AX40" s="687">
        <v>1630720149</v>
      </c>
      <c r="AY40" s="687">
        <v>1630720149</v>
      </c>
      <c r="AZ40" s="687">
        <v>3083589851</v>
      </c>
      <c r="BA40" s="730">
        <f t="shared" si="25"/>
        <v>4912311.0200000005</v>
      </c>
      <c r="BB40" s="730">
        <f t="shared" si="26"/>
        <v>1699210.3952580001</v>
      </c>
      <c r="BC40" s="730">
        <f t="shared" si="27"/>
        <v>1699210.3952580001</v>
      </c>
      <c r="BD40" s="730">
        <f t="shared" si="28"/>
        <v>3213100.6247419999</v>
      </c>
      <c r="BG40" s="754" t="s">
        <v>547</v>
      </c>
      <c r="BH40" s="687">
        <v>90491227</v>
      </c>
      <c r="BI40" s="755">
        <f t="shared" si="29"/>
        <v>94291.858533999999</v>
      </c>
      <c r="BK40" s="754" t="s">
        <v>536</v>
      </c>
      <c r="BL40" s="687">
        <v>4714310000</v>
      </c>
      <c r="BM40" s="687">
        <v>2045027305</v>
      </c>
      <c r="BN40" s="687">
        <v>2045027305</v>
      </c>
      <c r="BO40" s="687">
        <v>2669282695</v>
      </c>
      <c r="BP40" s="687">
        <f t="shared" si="30"/>
        <v>4912311.0200000005</v>
      </c>
      <c r="BQ40" s="687">
        <f t="shared" si="31"/>
        <v>2130918.45181</v>
      </c>
      <c r="BR40" s="687">
        <f t="shared" si="32"/>
        <v>2130918.45181</v>
      </c>
      <c r="BS40" s="755">
        <f t="shared" si="33"/>
        <v>2781392.56819</v>
      </c>
      <c r="BV40" s="729" t="s">
        <v>540</v>
      </c>
      <c r="BW40" s="687">
        <v>4060280</v>
      </c>
      <c r="BX40" s="730">
        <f t="shared" si="34"/>
        <v>4230.8117600000005</v>
      </c>
      <c r="BZ40" s="729" t="s">
        <v>536</v>
      </c>
      <c r="CA40" s="687">
        <v>4714310000</v>
      </c>
      <c r="CB40" s="687">
        <v>2463947913</v>
      </c>
      <c r="CC40" s="687">
        <v>2463947913</v>
      </c>
      <c r="CD40" s="687">
        <v>2250362087</v>
      </c>
      <c r="CE40" s="687">
        <f t="shared" si="35"/>
        <v>4912311.0200000005</v>
      </c>
      <c r="CF40" s="687">
        <f t="shared" si="36"/>
        <v>2567433.7253460004</v>
      </c>
      <c r="CG40" s="687">
        <f t="shared" si="37"/>
        <v>2567433.7253460004</v>
      </c>
      <c r="CH40" s="687">
        <f t="shared" si="38"/>
        <v>2344877.2946540001</v>
      </c>
      <c r="CK40" s="731" t="s">
        <v>540</v>
      </c>
      <c r="CL40" s="730">
        <v>4132785</v>
      </c>
      <c r="CM40" s="730">
        <f t="shared" si="39"/>
        <v>4306.3619699999999</v>
      </c>
      <c r="CP40" s="731" t="s">
        <v>536</v>
      </c>
      <c r="CQ40" s="730">
        <v>4714310000</v>
      </c>
      <c r="CR40" s="730">
        <v>2883782558</v>
      </c>
      <c r="CS40" s="730">
        <v>2883782558</v>
      </c>
      <c r="CT40" s="730">
        <v>1830527442</v>
      </c>
      <c r="CU40" s="730">
        <f t="shared" si="64"/>
        <v>4912311.0200000005</v>
      </c>
      <c r="CV40" s="730">
        <f t="shared" si="65"/>
        <v>3004901.4254360003</v>
      </c>
      <c r="CW40" s="730">
        <f t="shared" si="66"/>
        <v>3004901.4254360003</v>
      </c>
      <c r="CX40" s="730">
        <f t="shared" si="67"/>
        <v>1907409.5945640001</v>
      </c>
      <c r="CZ40" s="731" t="s">
        <v>540</v>
      </c>
      <c r="DA40" s="730">
        <v>4132785</v>
      </c>
      <c r="DB40" s="730">
        <f t="shared" si="40"/>
        <v>4306.3619699999999</v>
      </c>
      <c r="DE40" s="729" t="s">
        <v>536</v>
      </c>
      <c r="DF40" s="687">
        <v>4714310000</v>
      </c>
      <c r="DG40" s="687">
        <v>3303137736</v>
      </c>
      <c r="DH40" s="687">
        <v>3303137736</v>
      </c>
      <c r="DI40" s="687">
        <v>1411172264</v>
      </c>
      <c r="DJ40" s="730">
        <f t="shared" si="41"/>
        <v>4912311.0200000005</v>
      </c>
      <c r="DK40" s="730">
        <f t="shared" si="42"/>
        <v>3441869.520912</v>
      </c>
      <c r="DL40" s="730">
        <f t="shared" si="43"/>
        <v>3441869.520912</v>
      </c>
      <c r="DM40" s="730">
        <f t="shared" si="44"/>
        <v>1470441.499088</v>
      </c>
      <c r="DP40" s="729" t="s">
        <v>540</v>
      </c>
      <c r="DQ40" s="687">
        <v>4118284</v>
      </c>
      <c r="DR40" s="730">
        <f t="shared" si="45"/>
        <v>4118.2839999999997</v>
      </c>
      <c r="DT40" s="729" t="s">
        <v>536</v>
      </c>
      <c r="DU40" s="687">
        <v>4714310000</v>
      </c>
      <c r="DV40" s="687">
        <v>3720963729</v>
      </c>
      <c r="DW40" s="687">
        <v>3720963729</v>
      </c>
      <c r="DX40" s="687">
        <v>993346271</v>
      </c>
      <c r="DY40" s="730">
        <f t="shared" si="46"/>
        <v>4714310</v>
      </c>
      <c r="DZ40" s="730">
        <f t="shared" si="47"/>
        <v>3720963.7289999998</v>
      </c>
      <c r="EA40" s="730">
        <f t="shared" si="48"/>
        <v>3720963.7289999998</v>
      </c>
      <c r="EB40" s="730">
        <f t="shared" si="49"/>
        <v>993346.27099999995</v>
      </c>
      <c r="EE40" s="731" t="s">
        <v>544</v>
      </c>
      <c r="EF40" s="730">
        <v>20933360</v>
      </c>
      <c r="EG40" s="734">
        <f t="shared" si="50"/>
        <v>20933.36</v>
      </c>
      <c r="EI40" s="731" t="s">
        <v>535</v>
      </c>
      <c r="EJ40" s="730">
        <v>2325100000</v>
      </c>
      <c r="EK40" s="730">
        <v>2025947197</v>
      </c>
      <c r="EL40" s="730">
        <v>2025947197</v>
      </c>
      <c r="EM40" s="734">
        <f t="shared" si="51"/>
        <v>2325100</v>
      </c>
      <c r="EN40" s="734">
        <f t="shared" si="52"/>
        <v>2025947.1969999999</v>
      </c>
      <c r="EO40" s="734">
        <f t="shared" si="53"/>
        <v>2025947.1969999999</v>
      </c>
      <c r="ER40" s="729" t="s">
        <v>547</v>
      </c>
      <c r="ES40" s="687">
        <v>75805513</v>
      </c>
      <c r="ET40" s="730">
        <f t="shared" si="54"/>
        <v>75805.513000000006</v>
      </c>
      <c r="EW40" s="729" t="s">
        <v>535</v>
      </c>
      <c r="EX40" s="687">
        <v>0</v>
      </c>
      <c r="EY40" s="687">
        <v>2325100000</v>
      </c>
      <c r="EZ40" s="687">
        <v>2202804691</v>
      </c>
      <c r="FA40" s="687">
        <v>2202804691</v>
      </c>
      <c r="FB40" s="687">
        <v>122295309</v>
      </c>
      <c r="FC40" s="730">
        <f t="shared" si="55"/>
        <v>0</v>
      </c>
      <c r="FD40" s="730">
        <f t="shared" si="56"/>
        <v>2325100</v>
      </c>
      <c r="FE40" s="730">
        <f t="shared" si="57"/>
        <v>2202804.6910000001</v>
      </c>
      <c r="FF40" s="730">
        <f t="shared" si="58"/>
        <v>2202804.6910000001</v>
      </c>
      <c r="FG40" s="730">
        <f t="shared" si="59"/>
        <v>122295.30899999999</v>
      </c>
      <c r="FJ40" s="731" t="s">
        <v>539</v>
      </c>
      <c r="FK40" s="730">
        <v>358556</v>
      </c>
      <c r="FL40" s="734">
        <f t="shared" si="60"/>
        <v>358.55599999999998</v>
      </c>
      <c r="FN40" s="735" t="s">
        <v>536</v>
      </c>
      <c r="FO40" s="736">
        <v>4986993819</v>
      </c>
      <c r="FP40" s="736">
        <v>4985975215</v>
      </c>
      <c r="FQ40" s="736">
        <v>4985975215</v>
      </c>
      <c r="FR40" s="736">
        <f t="shared" si="61"/>
        <v>4986993.8190000001</v>
      </c>
      <c r="FS40" s="736">
        <f t="shared" si="62"/>
        <v>4985975.2149999999</v>
      </c>
      <c r="FT40" s="736">
        <f t="shared" si="63"/>
        <v>4985975.2149999999</v>
      </c>
    </row>
    <row r="41" spans="1:176" ht="15" customHeight="1" x14ac:dyDescent="0.25">
      <c r="A41" s="728" t="s">
        <v>881</v>
      </c>
      <c r="B41" s="729" t="s">
        <v>537</v>
      </c>
      <c r="C41" s="687">
        <v>0</v>
      </c>
      <c r="D41" s="687">
        <v>1484240000</v>
      </c>
      <c r="E41" s="687">
        <v>0</v>
      </c>
      <c r="F41" s="687">
        <v>1484240000</v>
      </c>
      <c r="G41" s="687">
        <v>0</v>
      </c>
      <c r="H41" s="730">
        <f t="shared" si="10"/>
        <v>1546578.08</v>
      </c>
      <c r="I41" s="730">
        <f t="shared" si="11"/>
        <v>0</v>
      </c>
      <c r="J41" s="730">
        <f t="shared" si="12"/>
        <v>1546578.08</v>
      </c>
      <c r="K41" s="730">
        <f t="shared" si="13"/>
        <v>0</v>
      </c>
      <c r="O41" s="729" t="s">
        <v>548</v>
      </c>
      <c r="P41" s="687">
        <v>2487478</v>
      </c>
      <c r="Q41" s="730">
        <f t="shared" si="14"/>
        <v>2591.952076</v>
      </c>
      <c r="S41" s="729" t="s">
        <v>537</v>
      </c>
      <c r="T41" s="687">
        <v>1484240000</v>
      </c>
      <c r="U41" s="687">
        <v>0</v>
      </c>
      <c r="V41" s="687">
        <v>0</v>
      </c>
      <c r="W41" s="687">
        <v>1484240000</v>
      </c>
      <c r="X41" s="730">
        <f t="shared" si="15"/>
        <v>1546578.08</v>
      </c>
      <c r="Y41" s="730">
        <f t="shared" si="16"/>
        <v>0</v>
      </c>
      <c r="Z41" s="730">
        <f t="shared" si="17"/>
        <v>0</v>
      </c>
      <c r="AA41" s="730">
        <f t="shared" si="18"/>
        <v>1546578.08</v>
      </c>
      <c r="AC41" s="729" t="s">
        <v>543</v>
      </c>
      <c r="AD41" s="687">
        <v>194514333</v>
      </c>
      <c r="AE41" s="730">
        <f t="shared" si="19"/>
        <v>202683.93498600001</v>
      </c>
      <c r="AG41" s="729" t="s">
        <v>537</v>
      </c>
      <c r="AH41" s="687">
        <v>1484240000</v>
      </c>
      <c r="AI41" s="687">
        <v>383909927</v>
      </c>
      <c r="AJ41" s="687">
        <v>383909927</v>
      </c>
      <c r="AK41" s="687">
        <v>1100330073</v>
      </c>
      <c r="AL41" s="687">
        <f t="shared" si="20"/>
        <v>1546578.08</v>
      </c>
      <c r="AM41" s="687">
        <f t="shared" si="21"/>
        <v>400034.14393400005</v>
      </c>
      <c r="AN41" s="687">
        <f t="shared" si="22"/>
        <v>400034.14393400005</v>
      </c>
      <c r="AO41" s="687">
        <f t="shared" si="23"/>
        <v>1146543.936066</v>
      </c>
      <c r="AR41" s="729" t="s">
        <v>582</v>
      </c>
      <c r="AS41" s="687">
        <v>15374134</v>
      </c>
      <c r="AT41" s="687">
        <f t="shared" si="24"/>
        <v>16019.847628000001</v>
      </c>
      <c r="AV41" s="729" t="s">
        <v>537</v>
      </c>
      <c r="AW41" s="687">
        <v>1484240000</v>
      </c>
      <c r="AX41" s="687">
        <v>384981287</v>
      </c>
      <c r="AY41" s="687">
        <v>384981287</v>
      </c>
      <c r="AZ41" s="687">
        <v>1099258713</v>
      </c>
      <c r="BA41" s="730">
        <f t="shared" si="25"/>
        <v>1546578.08</v>
      </c>
      <c r="BB41" s="730">
        <f t="shared" si="26"/>
        <v>401150.50105400005</v>
      </c>
      <c r="BC41" s="730">
        <f t="shared" si="27"/>
        <v>401150.50105400005</v>
      </c>
      <c r="BD41" s="730">
        <f t="shared" si="28"/>
        <v>1145427.578946</v>
      </c>
      <c r="BG41" s="754" t="s">
        <v>548</v>
      </c>
      <c r="BH41" s="687">
        <v>911549</v>
      </c>
      <c r="BI41" s="755">
        <f t="shared" si="29"/>
        <v>949.83405800000003</v>
      </c>
      <c r="BK41" s="754" t="s">
        <v>537</v>
      </c>
      <c r="BL41" s="687">
        <v>1484240000</v>
      </c>
      <c r="BM41" s="687">
        <v>384981287</v>
      </c>
      <c r="BN41" s="687">
        <v>384981287</v>
      </c>
      <c r="BO41" s="687">
        <v>1099258713</v>
      </c>
      <c r="BP41" s="687">
        <f t="shared" si="30"/>
        <v>1546578.08</v>
      </c>
      <c r="BQ41" s="687">
        <f t="shared" si="31"/>
        <v>401150.50105400005</v>
      </c>
      <c r="BR41" s="687">
        <f t="shared" si="32"/>
        <v>401150.50105400005</v>
      </c>
      <c r="BS41" s="755">
        <f t="shared" si="33"/>
        <v>1145427.578946</v>
      </c>
      <c r="BV41" s="729" t="s">
        <v>541</v>
      </c>
      <c r="BW41" s="687">
        <v>57586068</v>
      </c>
      <c r="BX41" s="730">
        <f t="shared" si="34"/>
        <v>60004.682855999999</v>
      </c>
      <c r="BZ41" s="729" t="s">
        <v>537</v>
      </c>
      <c r="CA41" s="687">
        <v>1484240000</v>
      </c>
      <c r="CB41" s="687">
        <v>776369475</v>
      </c>
      <c r="CC41" s="687">
        <v>776369475</v>
      </c>
      <c r="CD41" s="687">
        <v>707870525</v>
      </c>
      <c r="CE41" s="687">
        <f t="shared" si="35"/>
        <v>1546578.08</v>
      </c>
      <c r="CF41" s="687">
        <f t="shared" si="36"/>
        <v>808976.99294999999</v>
      </c>
      <c r="CG41" s="687">
        <f t="shared" si="37"/>
        <v>808976.99294999999</v>
      </c>
      <c r="CH41" s="687">
        <f t="shared" si="38"/>
        <v>737601.08705000009</v>
      </c>
      <c r="CK41" s="731" t="s">
        <v>541</v>
      </c>
      <c r="CL41" s="730">
        <v>45397953</v>
      </c>
      <c r="CM41" s="730">
        <f t="shared" si="39"/>
        <v>47304.667026000003</v>
      </c>
      <c r="CP41" s="731" t="s">
        <v>537</v>
      </c>
      <c r="CQ41" s="730">
        <v>1484240000</v>
      </c>
      <c r="CR41" s="730">
        <v>776791410</v>
      </c>
      <c r="CS41" s="730">
        <v>776791410</v>
      </c>
      <c r="CT41" s="730">
        <v>707448590</v>
      </c>
      <c r="CU41" s="730">
        <f t="shared" si="64"/>
        <v>1546578.08</v>
      </c>
      <c r="CV41" s="730">
        <f t="shared" si="65"/>
        <v>809416.64922000002</v>
      </c>
      <c r="CW41" s="730">
        <f t="shared" si="66"/>
        <v>809416.64922000002</v>
      </c>
      <c r="CX41" s="730">
        <f t="shared" si="67"/>
        <v>737161.43077999994</v>
      </c>
      <c r="CZ41" s="731" t="s">
        <v>541</v>
      </c>
      <c r="DA41" s="730">
        <v>45363985</v>
      </c>
      <c r="DB41" s="730">
        <f t="shared" si="40"/>
        <v>47269.272369999999</v>
      </c>
      <c r="DE41" s="729" t="s">
        <v>537</v>
      </c>
      <c r="DF41" s="687">
        <v>1484240000</v>
      </c>
      <c r="DG41" s="687">
        <v>776784645</v>
      </c>
      <c r="DH41" s="687">
        <v>776784645</v>
      </c>
      <c r="DI41" s="687">
        <v>707455355</v>
      </c>
      <c r="DJ41" s="730">
        <f t="shared" si="41"/>
        <v>1546578.08</v>
      </c>
      <c r="DK41" s="730">
        <f t="shared" si="42"/>
        <v>809409.60009000008</v>
      </c>
      <c r="DL41" s="730">
        <f t="shared" si="43"/>
        <v>809409.60009000008</v>
      </c>
      <c r="DM41" s="730">
        <f t="shared" si="44"/>
        <v>737168.47990999999</v>
      </c>
      <c r="DP41" s="729" t="s">
        <v>541</v>
      </c>
      <c r="DQ41" s="687">
        <v>65816606</v>
      </c>
      <c r="DR41" s="730">
        <f t="shared" si="45"/>
        <v>65816.606</v>
      </c>
      <c r="DT41" s="729" t="s">
        <v>537</v>
      </c>
      <c r="DU41" s="687">
        <v>1484240000</v>
      </c>
      <c r="DV41" s="687">
        <v>1172095583</v>
      </c>
      <c r="DW41" s="687">
        <v>1172095583</v>
      </c>
      <c r="DX41" s="687">
        <v>312144417</v>
      </c>
      <c r="DY41" s="730">
        <f t="shared" si="46"/>
        <v>1484240</v>
      </c>
      <c r="DZ41" s="730">
        <f t="shared" si="47"/>
        <v>1172095.5830000001</v>
      </c>
      <c r="EA41" s="730">
        <f t="shared" si="48"/>
        <v>1172095.5830000001</v>
      </c>
      <c r="EB41" s="730">
        <f t="shared" si="49"/>
        <v>312144.41700000002</v>
      </c>
      <c r="EE41" s="731" t="s">
        <v>545</v>
      </c>
      <c r="EF41" s="730">
        <v>3476177</v>
      </c>
      <c r="EG41" s="734">
        <f t="shared" si="50"/>
        <v>3476.1770000000001</v>
      </c>
      <c r="EI41" s="731" t="s">
        <v>536</v>
      </c>
      <c r="EJ41" s="730">
        <v>4714310000</v>
      </c>
      <c r="EK41" s="730">
        <v>4138300578</v>
      </c>
      <c r="EL41" s="730">
        <v>4138300578</v>
      </c>
      <c r="EM41" s="734">
        <f t="shared" si="51"/>
        <v>4714310</v>
      </c>
      <c r="EN41" s="734">
        <f t="shared" si="52"/>
        <v>4138300.5780000002</v>
      </c>
      <c r="EO41" s="734">
        <f t="shared" si="53"/>
        <v>4138300.5780000002</v>
      </c>
      <c r="ER41" s="729" t="s">
        <v>548</v>
      </c>
      <c r="ES41" s="687">
        <v>920500</v>
      </c>
      <c r="ET41" s="730">
        <f t="shared" si="54"/>
        <v>920.5</v>
      </c>
      <c r="EW41" s="729" t="s">
        <v>536</v>
      </c>
      <c r="EX41" s="687">
        <v>0</v>
      </c>
      <c r="EY41" s="687">
        <v>4714310000</v>
      </c>
      <c r="EZ41" s="687">
        <v>4556468913</v>
      </c>
      <c r="FA41" s="687">
        <v>4556468913</v>
      </c>
      <c r="FB41" s="687">
        <v>157841087</v>
      </c>
      <c r="FC41" s="730">
        <f t="shared" si="55"/>
        <v>0</v>
      </c>
      <c r="FD41" s="730">
        <f t="shared" si="56"/>
        <v>4714310</v>
      </c>
      <c r="FE41" s="730">
        <f t="shared" si="57"/>
        <v>4556468.9129999997</v>
      </c>
      <c r="FF41" s="730">
        <f t="shared" si="58"/>
        <v>4556468.9129999997</v>
      </c>
      <c r="FG41" s="730">
        <f t="shared" si="59"/>
        <v>157841.087</v>
      </c>
      <c r="FJ41" s="731" t="s">
        <v>352</v>
      </c>
      <c r="FK41" s="730">
        <v>63655189</v>
      </c>
      <c r="FL41" s="734">
        <f t="shared" si="60"/>
        <v>63655.188999999998</v>
      </c>
      <c r="FN41" s="735" t="s">
        <v>537</v>
      </c>
      <c r="FO41" s="736">
        <v>1570241260</v>
      </c>
      <c r="FP41" s="736">
        <v>1569584786</v>
      </c>
      <c r="FQ41" s="736">
        <v>1569584786</v>
      </c>
      <c r="FR41" s="736">
        <f t="shared" si="61"/>
        <v>1570241.26</v>
      </c>
      <c r="FS41" s="736">
        <f t="shared" si="62"/>
        <v>1569584.7860000001</v>
      </c>
      <c r="FT41" s="736">
        <f t="shared" si="63"/>
        <v>1569584.7860000001</v>
      </c>
    </row>
    <row r="42" spans="1:176" ht="15" customHeight="1" x14ac:dyDescent="0.25">
      <c r="A42" s="728" t="s">
        <v>881</v>
      </c>
      <c r="B42" s="729" t="s">
        <v>539</v>
      </c>
      <c r="C42" s="687">
        <v>0</v>
      </c>
      <c r="D42" s="687">
        <v>347866</v>
      </c>
      <c r="E42" s="687">
        <v>347866</v>
      </c>
      <c r="F42" s="687">
        <v>0</v>
      </c>
      <c r="G42" s="687">
        <v>347866</v>
      </c>
      <c r="H42" s="730">
        <f t="shared" si="10"/>
        <v>362.47637200000003</v>
      </c>
      <c r="I42" s="730">
        <f t="shared" si="11"/>
        <v>362.47637200000003</v>
      </c>
      <c r="J42" s="730">
        <f t="shared" si="12"/>
        <v>0</v>
      </c>
      <c r="K42" s="730">
        <f t="shared" si="13"/>
        <v>362.47637200000003</v>
      </c>
      <c r="O42" s="729" t="s">
        <v>359</v>
      </c>
      <c r="P42" s="687">
        <v>9122744</v>
      </c>
      <c r="Q42" s="730">
        <f t="shared" si="14"/>
        <v>9505.8992480000015</v>
      </c>
      <c r="S42" s="729" t="s">
        <v>539</v>
      </c>
      <c r="T42" s="687">
        <v>695732</v>
      </c>
      <c r="U42" s="687">
        <v>695732</v>
      </c>
      <c r="V42" s="687">
        <v>695732</v>
      </c>
      <c r="W42" s="687">
        <v>0</v>
      </c>
      <c r="X42" s="730">
        <f t="shared" si="15"/>
        <v>724.95274400000005</v>
      </c>
      <c r="Y42" s="730">
        <f t="shared" si="16"/>
        <v>724.95274400000005</v>
      </c>
      <c r="Z42" s="730">
        <f t="shared" si="17"/>
        <v>724.95274400000005</v>
      </c>
      <c r="AA42" s="730">
        <f t="shared" si="18"/>
        <v>0</v>
      </c>
      <c r="AC42" s="729" t="s">
        <v>353</v>
      </c>
      <c r="AD42" s="687">
        <v>189001691</v>
      </c>
      <c r="AE42" s="730">
        <f t="shared" si="19"/>
        <v>196939.76202200001</v>
      </c>
      <c r="AG42" s="729" t="s">
        <v>538</v>
      </c>
      <c r="AH42" s="687">
        <v>13108000</v>
      </c>
      <c r="AI42" s="687">
        <v>13107207</v>
      </c>
      <c r="AJ42" s="687">
        <v>13107207</v>
      </c>
      <c r="AK42" s="687">
        <v>793</v>
      </c>
      <c r="AL42" s="687">
        <f t="shared" si="20"/>
        <v>13658.536</v>
      </c>
      <c r="AM42" s="687">
        <f t="shared" si="21"/>
        <v>13657.709694000001</v>
      </c>
      <c r="AN42" s="687">
        <f t="shared" si="22"/>
        <v>13657.709694000001</v>
      </c>
      <c r="AO42" s="687">
        <f t="shared" si="23"/>
        <v>0.8263060000000001</v>
      </c>
      <c r="AR42" s="729" t="s">
        <v>358</v>
      </c>
      <c r="AS42" s="687">
        <v>100300672</v>
      </c>
      <c r="AT42" s="687">
        <f t="shared" si="24"/>
        <v>104513.30022400001</v>
      </c>
      <c r="AV42" s="729" t="s">
        <v>538</v>
      </c>
      <c r="AW42" s="687">
        <v>13108000</v>
      </c>
      <c r="AX42" s="687">
        <v>13107207</v>
      </c>
      <c r="AY42" s="687">
        <v>13107207</v>
      </c>
      <c r="AZ42" s="687">
        <v>793</v>
      </c>
      <c r="BA42" s="730">
        <f t="shared" si="25"/>
        <v>13658.536</v>
      </c>
      <c r="BB42" s="730">
        <f t="shared" si="26"/>
        <v>13657.709694000001</v>
      </c>
      <c r="BC42" s="730">
        <f t="shared" si="27"/>
        <v>13657.709694000001</v>
      </c>
      <c r="BD42" s="730">
        <f t="shared" si="28"/>
        <v>0.8263060000000001</v>
      </c>
      <c r="BG42" s="754" t="s">
        <v>359</v>
      </c>
      <c r="BH42" s="687">
        <v>9155283</v>
      </c>
      <c r="BI42" s="755">
        <f t="shared" si="29"/>
        <v>9539.8048859999999</v>
      </c>
      <c r="BK42" s="754" t="s">
        <v>538</v>
      </c>
      <c r="BL42" s="687">
        <v>13108000</v>
      </c>
      <c r="BM42" s="687">
        <v>13107207</v>
      </c>
      <c r="BN42" s="687">
        <v>13107207</v>
      </c>
      <c r="BO42" s="687">
        <v>793</v>
      </c>
      <c r="BP42" s="687">
        <f t="shared" si="30"/>
        <v>13658.536</v>
      </c>
      <c r="BQ42" s="687">
        <f t="shared" si="31"/>
        <v>13657.709694000001</v>
      </c>
      <c r="BR42" s="687">
        <f t="shared" si="32"/>
        <v>13657.709694000001</v>
      </c>
      <c r="BS42" s="755">
        <f t="shared" si="33"/>
        <v>0.8263060000000001</v>
      </c>
      <c r="BV42" s="729" t="s">
        <v>542</v>
      </c>
      <c r="BW42" s="687">
        <v>385775022</v>
      </c>
      <c r="BX42" s="730">
        <f t="shared" si="34"/>
        <v>401977.57292400004</v>
      </c>
      <c r="BZ42" s="729" t="s">
        <v>538</v>
      </c>
      <c r="CA42" s="687">
        <v>26282100</v>
      </c>
      <c r="CB42" s="687">
        <v>26281307</v>
      </c>
      <c r="CC42" s="687">
        <v>26281307</v>
      </c>
      <c r="CD42" s="687">
        <v>793</v>
      </c>
      <c r="CE42" s="687">
        <f t="shared" si="35"/>
        <v>27385.948199999999</v>
      </c>
      <c r="CF42" s="687">
        <f t="shared" si="36"/>
        <v>27385.121894000004</v>
      </c>
      <c r="CG42" s="687">
        <f t="shared" si="37"/>
        <v>27385.121894000004</v>
      </c>
      <c r="CH42" s="687">
        <f t="shared" si="38"/>
        <v>0.8263060000000001</v>
      </c>
      <c r="CK42" s="731" t="s">
        <v>542</v>
      </c>
      <c r="CL42" s="730">
        <v>436955</v>
      </c>
      <c r="CM42" s="730">
        <f t="shared" si="39"/>
        <v>455.30711000000002</v>
      </c>
      <c r="CP42" s="731" t="s">
        <v>538</v>
      </c>
      <c r="CQ42" s="730">
        <v>26282100</v>
      </c>
      <c r="CR42" s="730">
        <v>26279372</v>
      </c>
      <c r="CS42" s="730">
        <v>26279372</v>
      </c>
      <c r="CT42" s="730">
        <v>2728</v>
      </c>
      <c r="CU42" s="730">
        <f t="shared" si="64"/>
        <v>27385.948199999999</v>
      </c>
      <c r="CV42" s="730">
        <f t="shared" si="65"/>
        <v>27383.105624</v>
      </c>
      <c r="CW42" s="730">
        <f t="shared" si="66"/>
        <v>27383.105624</v>
      </c>
      <c r="CX42" s="730">
        <f t="shared" si="67"/>
        <v>2.8425760000000002</v>
      </c>
      <c r="CZ42" s="731" t="s">
        <v>542</v>
      </c>
      <c r="DA42" s="730">
        <v>-13530</v>
      </c>
      <c r="DB42" s="730">
        <f t="shared" si="40"/>
        <v>-14.09826</v>
      </c>
      <c r="DE42" s="729" t="s">
        <v>538</v>
      </c>
      <c r="DF42" s="687">
        <v>26282100</v>
      </c>
      <c r="DG42" s="687">
        <v>26272608</v>
      </c>
      <c r="DH42" s="687">
        <v>26272608</v>
      </c>
      <c r="DI42" s="687">
        <v>9492</v>
      </c>
      <c r="DJ42" s="730">
        <f t="shared" si="41"/>
        <v>27385.948199999999</v>
      </c>
      <c r="DK42" s="730">
        <f t="shared" si="42"/>
        <v>27376.057536</v>
      </c>
      <c r="DL42" s="730">
        <f t="shared" si="43"/>
        <v>27376.057536</v>
      </c>
      <c r="DM42" s="730">
        <f t="shared" si="44"/>
        <v>9.890664000000001</v>
      </c>
      <c r="DP42" s="729" t="s">
        <v>542</v>
      </c>
      <c r="DQ42" s="687">
        <v>386347439</v>
      </c>
      <c r="DR42" s="730">
        <f t="shared" si="45"/>
        <v>386347.43900000001</v>
      </c>
      <c r="DT42" s="729" t="s">
        <v>538</v>
      </c>
      <c r="DU42" s="687">
        <v>40282100</v>
      </c>
      <c r="DV42" s="687">
        <v>39304803</v>
      </c>
      <c r="DW42" s="687">
        <v>39304803</v>
      </c>
      <c r="DX42" s="687">
        <v>977297</v>
      </c>
      <c r="DY42" s="730">
        <f t="shared" si="46"/>
        <v>40282.1</v>
      </c>
      <c r="DZ42" s="730">
        <f t="shared" si="47"/>
        <v>39304.803</v>
      </c>
      <c r="EA42" s="730">
        <f t="shared" si="48"/>
        <v>39304.803</v>
      </c>
      <c r="EB42" s="730">
        <f t="shared" si="49"/>
        <v>977.29700000000003</v>
      </c>
      <c r="EE42" s="731" t="s">
        <v>582</v>
      </c>
      <c r="EF42" s="730">
        <v>7659668</v>
      </c>
      <c r="EG42" s="734">
        <f t="shared" si="50"/>
        <v>7659.6679999999997</v>
      </c>
      <c r="EI42" s="731" t="s">
        <v>537</v>
      </c>
      <c r="EJ42" s="730">
        <v>1484240000</v>
      </c>
      <c r="EK42" s="730">
        <v>1172268651</v>
      </c>
      <c r="EL42" s="730">
        <v>1172268651</v>
      </c>
      <c r="EM42" s="734">
        <f t="shared" si="51"/>
        <v>1484240</v>
      </c>
      <c r="EN42" s="734">
        <f t="shared" si="52"/>
        <v>1172268.6510000001</v>
      </c>
      <c r="EO42" s="734">
        <f t="shared" si="53"/>
        <v>1172268.6510000001</v>
      </c>
      <c r="ER42" s="729" t="s">
        <v>359</v>
      </c>
      <c r="ES42" s="687">
        <v>3126818</v>
      </c>
      <c r="ET42" s="730">
        <f t="shared" si="54"/>
        <v>3126.8180000000002</v>
      </c>
      <c r="EW42" s="729" t="s">
        <v>537</v>
      </c>
      <c r="EX42" s="687">
        <v>0</v>
      </c>
      <c r="EY42" s="687">
        <v>1484240000</v>
      </c>
      <c r="EZ42" s="687">
        <v>1172268651</v>
      </c>
      <c r="FA42" s="687">
        <v>1172268651</v>
      </c>
      <c r="FB42" s="687">
        <v>311971349</v>
      </c>
      <c r="FC42" s="730">
        <f t="shared" si="55"/>
        <v>0</v>
      </c>
      <c r="FD42" s="730">
        <f t="shared" si="56"/>
        <v>1484240</v>
      </c>
      <c r="FE42" s="730">
        <f t="shared" si="57"/>
        <v>1172268.6510000001</v>
      </c>
      <c r="FF42" s="730">
        <f t="shared" si="58"/>
        <v>1172268.6510000001</v>
      </c>
      <c r="FG42" s="730">
        <f t="shared" si="59"/>
        <v>311971.34899999999</v>
      </c>
      <c r="FJ42" s="731" t="s">
        <v>540</v>
      </c>
      <c r="FK42" s="730">
        <v>4219791</v>
      </c>
      <c r="FL42" s="734">
        <f t="shared" si="60"/>
        <v>4219.7910000000002</v>
      </c>
      <c r="FN42" s="735" t="s">
        <v>538</v>
      </c>
      <c r="FO42" s="736">
        <v>52034045</v>
      </c>
      <c r="FP42" s="736">
        <v>52032508</v>
      </c>
      <c r="FQ42" s="736">
        <v>52032508</v>
      </c>
      <c r="FR42" s="736">
        <f t="shared" si="61"/>
        <v>52034.044999999998</v>
      </c>
      <c r="FS42" s="736">
        <f t="shared" si="62"/>
        <v>52032.508000000002</v>
      </c>
      <c r="FT42" s="736">
        <f t="shared" si="63"/>
        <v>52032.508000000002</v>
      </c>
    </row>
    <row r="43" spans="1:176" ht="15" customHeight="1" x14ac:dyDescent="0.25">
      <c r="A43" s="728" t="s">
        <v>881</v>
      </c>
      <c r="B43" s="729" t="s">
        <v>819</v>
      </c>
      <c r="C43" s="687">
        <v>0</v>
      </c>
      <c r="D43" s="687">
        <v>110070000</v>
      </c>
      <c r="E43" s="687">
        <v>0</v>
      </c>
      <c r="F43" s="687">
        <v>110070000</v>
      </c>
      <c r="G43" s="687">
        <v>0</v>
      </c>
      <c r="H43" s="730">
        <f t="shared" si="10"/>
        <v>114692.94</v>
      </c>
      <c r="I43" s="730">
        <f t="shared" si="11"/>
        <v>0</v>
      </c>
      <c r="J43" s="730">
        <f t="shared" si="12"/>
        <v>114692.94</v>
      </c>
      <c r="K43" s="730">
        <f t="shared" si="13"/>
        <v>0</v>
      </c>
      <c r="O43" s="729" t="s">
        <v>361</v>
      </c>
      <c r="P43" s="687">
        <v>135483642</v>
      </c>
      <c r="Q43" s="730">
        <f t="shared" si="14"/>
        <v>141173.954964</v>
      </c>
      <c r="S43" s="729" t="s">
        <v>819</v>
      </c>
      <c r="T43" s="687">
        <v>110070000</v>
      </c>
      <c r="U43" s="687">
        <v>0</v>
      </c>
      <c r="V43" s="687">
        <v>0</v>
      </c>
      <c r="W43" s="687">
        <v>110070000</v>
      </c>
      <c r="X43" s="730">
        <f t="shared" si="15"/>
        <v>114692.94</v>
      </c>
      <c r="Y43" s="730">
        <f t="shared" si="16"/>
        <v>0</v>
      </c>
      <c r="Z43" s="730">
        <f t="shared" si="17"/>
        <v>0</v>
      </c>
      <c r="AA43" s="730">
        <f t="shared" si="18"/>
        <v>114692.94</v>
      </c>
      <c r="AC43" s="729" t="s">
        <v>354</v>
      </c>
      <c r="AD43" s="687">
        <v>31954843</v>
      </c>
      <c r="AE43" s="730">
        <f t="shared" si="19"/>
        <v>33296.946406000003</v>
      </c>
      <c r="AG43" s="729" t="s">
        <v>539</v>
      </c>
      <c r="AH43" s="687">
        <v>1587732</v>
      </c>
      <c r="AI43" s="687">
        <v>1043598</v>
      </c>
      <c r="AJ43" s="687">
        <v>1043598</v>
      </c>
      <c r="AK43" s="687">
        <v>544134</v>
      </c>
      <c r="AL43" s="687">
        <f t="shared" si="20"/>
        <v>1654.4167440000001</v>
      </c>
      <c r="AM43" s="687">
        <f t="shared" si="21"/>
        <v>1087.429116</v>
      </c>
      <c r="AN43" s="687">
        <f t="shared" si="22"/>
        <v>1087.429116</v>
      </c>
      <c r="AO43" s="687">
        <f t="shared" si="23"/>
        <v>566.98762800000009</v>
      </c>
      <c r="AR43" s="729" t="s">
        <v>546</v>
      </c>
      <c r="AS43" s="687">
        <v>89302824</v>
      </c>
      <c r="AT43" s="687">
        <f t="shared" si="24"/>
        <v>93053.542608000003</v>
      </c>
      <c r="AV43" s="729" t="s">
        <v>539</v>
      </c>
      <c r="AW43" s="687">
        <v>1587732</v>
      </c>
      <c r="AX43" s="687">
        <v>1391464</v>
      </c>
      <c r="AY43" s="687">
        <v>1391464</v>
      </c>
      <c r="AZ43" s="687">
        <v>196268</v>
      </c>
      <c r="BA43" s="730">
        <f t="shared" si="25"/>
        <v>1654.4167440000001</v>
      </c>
      <c r="BB43" s="730">
        <f t="shared" si="26"/>
        <v>1449.9054880000001</v>
      </c>
      <c r="BC43" s="730">
        <f t="shared" si="27"/>
        <v>1449.9054880000001</v>
      </c>
      <c r="BD43" s="730">
        <f t="shared" si="28"/>
        <v>204.511256</v>
      </c>
      <c r="BG43" s="754" t="s">
        <v>361</v>
      </c>
      <c r="BH43" s="687">
        <v>291375775</v>
      </c>
      <c r="BI43" s="755">
        <f t="shared" si="29"/>
        <v>303613.55755000003</v>
      </c>
      <c r="BK43" s="754" t="s">
        <v>539</v>
      </c>
      <c r="BL43" s="687">
        <v>3674928</v>
      </c>
      <c r="BM43" s="687">
        <v>1739330</v>
      </c>
      <c r="BN43" s="687">
        <v>1739330</v>
      </c>
      <c r="BO43" s="687">
        <v>1935598</v>
      </c>
      <c r="BP43" s="687">
        <f t="shared" si="30"/>
        <v>3829.2749760000002</v>
      </c>
      <c r="BQ43" s="687">
        <f t="shared" si="31"/>
        <v>1812.38186</v>
      </c>
      <c r="BR43" s="687">
        <f t="shared" si="32"/>
        <v>1812.38186</v>
      </c>
      <c r="BS43" s="755">
        <f t="shared" si="33"/>
        <v>2016.893116</v>
      </c>
      <c r="BV43" s="729" t="s">
        <v>543</v>
      </c>
      <c r="BW43" s="687">
        <v>198303348</v>
      </c>
      <c r="BX43" s="730">
        <f t="shared" si="34"/>
        <v>206632.08861599999</v>
      </c>
      <c r="BZ43" s="729" t="s">
        <v>539</v>
      </c>
      <c r="CA43" s="687">
        <v>3674928</v>
      </c>
      <c r="CB43" s="687">
        <v>2088935</v>
      </c>
      <c r="CC43" s="687">
        <v>2088935</v>
      </c>
      <c r="CD43" s="687">
        <v>1585993</v>
      </c>
      <c r="CE43" s="687">
        <f t="shared" si="35"/>
        <v>3829.2749760000002</v>
      </c>
      <c r="CF43" s="687">
        <f t="shared" si="36"/>
        <v>2176.6702700000001</v>
      </c>
      <c r="CG43" s="687">
        <f t="shared" si="37"/>
        <v>2176.6702700000001</v>
      </c>
      <c r="CH43" s="687">
        <f t="shared" si="38"/>
        <v>1652.6047060000001</v>
      </c>
      <c r="CK43" s="731" t="s">
        <v>543</v>
      </c>
      <c r="CL43" s="730">
        <v>212826</v>
      </c>
      <c r="CM43" s="730">
        <f t="shared" si="39"/>
        <v>221.764692</v>
      </c>
      <c r="CP43" s="731" t="s">
        <v>539</v>
      </c>
      <c r="CQ43" s="730">
        <v>3674928</v>
      </c>
      <c r="CR43" s="730">
        <v>2436606</v>
      </c>
      <c r="CS43" s="730">
        <v>2436606</v>
      </c>
      <c r="CT43" s="730">
        <v>1238322</v>
      </c>
      <c r="CU43" s="730">
        <f t="shared" si="64"/>
        <v>3829.2749760000002</v>
      </c>
      <c r="CV43" s="730">
        <f t="shared" si="65"/>
        <v>2538.9434520000004</v>
      </c>
      <c r="CW43" s="730">
        <f t="shared" si="66"/>
        <v>2538.9434520000004</v>
      </c>
      <c r="CX43" s="730">
        <f t="shared" si="67"/>
        <v>1290.3315239999999</v>
      </c>
      <c r="CZ43" s="731" t="s">
        <v>543</v>
      </c>
      <c r="DA43" s="730">
        <v>-6765</v>
      </c>
      <c r="DB43" s="730">
        <f t="shared" si="40"/>
        <v>-7.0491299999999999</v>
      </c>
      <c r="DE43" s="729" t="s">
        <v>539</v>
      </c>
      <c r="DF43" s="687">
        <v>3674928</v>
      </c>
      <c r="DG43" s="687">
        <v>2779446</v>
      </c>
      <c r="DH43" s="687">
        <v>2779446</v>
      </c>
      <c r="DI43" s="687">
        <v>895482</v>
      </c>
      <c r="DJ43" s="730">
        <f t="shared" si="41"/>
        <v>3829.2749760000002</v>
      </c>
      <c r="DK43" s="730">
        <f t="shared" si="42"/>
        <v>2896.1827320000002</v>
      </c>
      <c r="DL43" s="730">
        <f t="shared" si="43"/>
        <v>2896.1827320000002</v>
      </c>
      <c r="DM43" s="730">
        <f t="shared" si="44"/>
        <v>933.09224400000005</v>
      </c>
      <c r="DP43" s="729" t="s">
        <v>543</v>
      </c>
      <c r="DQ43" s="687">
        <v>200290876</v>
      </c>
      <c r="DR43" s="730">
        <f t="shared" si="45"/>
        <v>200290.87599999999</v>
      </c>
      <c r="DT43" s="729" t="s">
        <v>539</v>
      </c>
      <c r="DU43" s="687">
        <v>3674928</v>
      </c>
      <c r="DV43" s="687">
        <v>3129051</v>
      </c>
      <c r="DW43" s="687">
        <v>3129051</v>
      </c>
      <c r="DX43" s="687">
        <v>545877</v>
      </c>
      <c r="DY43" s="730">
        <f t="shared" si="46"/>
        <v>3674.9279999999999</v>
      </c>
      <c r="DZ43" s="730">
        <f t="shared" si="47"/>
        <v>3129.0509999999999</v>
      </c>
      <c r="EA43" s="730">
        <f t="shared" si="48"/>
        <v>3129.0509999999999</v>
      </c>
      <c r="EB43" s="730">
        <f t="shared" si="49"/>
        <v>545.87699999999995</v>
      </c>
      <c r="EE43" s="731" t="s">
        <v>358</v>
      </c>
      <c r="EF43" s="730">
        <v>79453723</v>
      </c>
      <c r="EG43" s="734">
        <f t="shared" si="50"/>
        <v>79453.722999999998</v>
      </c>
      <c r="EI43" s="731" t="s">
        <v>538</v>
      </c>
      <c r="EJ43" s="730">
        <v>40119065</v>
      </c>
      <c r="EK43" s="730">
        <v>39304803</v>
      </c>
      <c r="EL43" s="730">
        <v>39304803</v>
      </c>
      <c r="EM43" s="734">
        <f t="shared" si="51"/>
        <v>40119.065000000002</v>
      </c>
      <c r="EN43" s="734">
        <f t="shared" si="52"/>
        <v>39304.803</v>
      </c>
      <c r="EO43" s="734">
        <f t="shared" si="53"/>
        <v>39304.803</v>
      </c>
      <c r="ER43" s="729" t="s">
        <v>361</v>
      </c>
      <c r="ES43" s="687">
        <v>550158632</v>
      </c>
      <c r="ET43" s="730">
        <f t="shared" si="54"/>
        <v>550158.63199999998</v>
      </c>
      <c r="EW43" s="729" t="s">
        <v>538</v>
      </c>
      <c r="EX43" s="687">
        <v>0</v>
      </c>
      <c r="EY43" s="687">
        <v>40119065</v>
      </c>
      <c r="EZ43" s="687">
        <v>39304803</v>
      </c>
      <c r="FA43" s="687">
        <v>39304803</v>
      </c>
      <c r="FB43" s="687">
        <v>814262</v>
      </c>
      <c r="FC43" s="730">
        <f t="shared" si="55"/>
        <v>0</v>
      </c>
      <c r="FD43" s="730">
        <f t="shared" si="56"/>
        <v>40119.065000000002</v>
      </c>
      <c r="FE43" s="730">
        <f t="shared" si="57"/>
        <v>39304.803</v>
      </c>
      <c r="FF43" s="730">
        <f t="shared" si="58"/>
        <v>39304.803</v>
      </c>
      <c r="FG43" s="730">
        <f t="shared" si="59"/>
        <v>814.26199999999994</v>
      </c>
      <c r="FJ43" s="731" t="s">
        <v>541</v>
      </c>
      <c r="FK43" s="730">
        <v>59435398</v>
      </c>
      <c r="FL43" s="734">
        <f t="shared" si="60"/>
        <v>59435.398000000001</v>
      </c>
      <c r="FN43" s="735" t="s">
        <v>539</v>
      </c>
      <c r="FO43" s="736">
        <v>4188010</v>
      </c>
      <c r="FP43" s="736">
        <v>4186473</v>
      </c>
      <c r="FQ43" s="736">
        <v>4186473</v>
      </c>
      <c r="FR43" s="736">
        <f t="shared" si="61"/>
        <v>4188.01</v>
      </c>
      <c r="FS43" s="736">
        <f t="shared" si="62"/>
        <v>4186.473</v>
      </c>
      <c r="FT43" s="736">
        <f t="shared" si="63"/>
        <v>4186.473</v>
      </c>
    </row>
    <row r="44" spans="1:176" ht="15" customHeight="1" x14ac:dyDescent="0.25">
      <c r="A44" s="728" t="s">
        <v>880</v>
      </c>
      <c r="B44" s="729" t="s">
        <v>352</v>
      </c>
      <c r="C44" s="687">
        <v>0</v>
      </c>
      <c r="D44" s="687">
        <v>578580000</v>
      </c>
      <c r="E44" s="687">
        <v>38501917</v>
      </c>
      <c r="F44" s="687">
        <v>540078083</v>
      </c>
      <c r="G44" s="687">
        <v>38501917</v>
      </c>
      <c r="H44" s="730">
        <f t="shared" si="10"/>
        <v>602880.36</v>
      </c>
      <c r="I44" s="730">
        <f t="shared" si="11"/>
        <v>40118.997514000002</v>
      </c>
      <c r="J44" s="730">
        <f t="shared" si="12"/>
        <v>562761.36248600006</v>
      </c>
      <c r="K44" s="730">
        <f t="shared" si="13"/>
        <v>40118.997514000002</v>
      </c>
      <c r="O44" s="729" t="s">
        <v>362</v>
      </c>
      <c r="P44" s="687">
        <v>6186334</v>
      </c>
      <c r="Q44" s="730">
        <f t="shared" si="14"/>
        <v>6446.1600280000002</v>
      </c>
      <c r="S44" s="729" t="s">
        <v>352</v>
      </c>
      <c r="T44" s="687">
        <v>578580000</v>
      </c>
      <c r="U44" s="687">
        <v>85328805</v>
      </c>
      <c r="V44" s="687">
        <v>85328805</v>
      </c>
      <c r="W44" s="687">
        <v>493251195</v>
      </c>
      <c r="X44" s="730">
        <f t="shared" si="15"/>
        <v>602880.36</v>
      </c>
      <c r="Y44" s="730">
        <f t="shared" si="16"/>
        <v>88912.614809999999</v>
      </c>
      <c r="Z44" s="730">
        <f t="shared" si="17"/>
        <v>88912.614809999999</v>
      </c>
      <c r="AA44" s="730">
        <f t="shared" si="18"/>
        <v>513967.74519000005</v>
      </c>
      <c r="AC44" s="729" t="s">
        <v>544</v>
      </c>
      <c r="AD44" s="687">
        <v>19939399</v>
      </c>
      <c r="AE44" s="730">
        <f t="shared" si="19"/>
        <v>20776.853758000001</v>
      </c>
      <c r="AG44" s="729" t="s">
        <v>819</v>
      </c>
      <c r="AH44" s="687">
        <v>110070000</v>
      </c>
      <c r="AI44" s="687">
        <v>0</v>
      </c>
      <c r="AJ44" s="687">
        <v>0</v>
      </c>
      <c r="AK44" s="687">
        <v>110070000</v>
      </c>
      <c r="AL44" s="687">
        <f t="shared" si="20"/>
        <v>114692.94</v>
      </c>
      <c r="AM44" s="687">
        <f t="shared" si="21"/>
        <v>0</v>
      </c>
      <c r="AN44" s="687">
        <f t="shared" si="22"/>
        <v>0</v>
      </c>
      <c r="AO44" s="687">
        <f t="shared" si="23"/>
        <v>114692.94</v>
      </c>
      <c r="AR44" s="729" t="s">
        <v>547</v>
      </c>
      <c r="AS44" s="687">
        <v>85856529</v>
      </c>
      <c r="AT44" s="687">
        <f t="shared" si="24"/>
        <v>89462.503217999998</v>
      </c>
      <c r="AV44" s="729" t="s">
        <v>819</v>
      </c>
      <c r="AW44" s="687">
        <v>110070000</v>
      </c>
      <c r="AX44" s="687">
        <v>0</v>
      </c>
      <c r="AY44" s="687">
        <v>0</v>
      </c>
      <c r="AZ44" s="687">
        <v>110070000</v>
      </c>
      <c r="BA44" s="730">
        <f t="shared" si="25"/>
        <v>114692.94</v>
      </c>
      <c r="BB44" s="730">
        <f t="shared" si="26"/>
        <v>0</v>
      </c>
      <c r="BC44" s="730">
        <f t="shared" si="27"/>
        <v>0</v>
      </c>
      <c r="BD44" s="730">
        <f t="shared" si="28"/>
        <v>114692.94</v>
      </c>
      <c r="BG44" s="754" t="s">
        <v>364</v>
      </c>
      <c r="BH44" s="687">
        <v>2859421</v>
      </c>
      <c r="BI44" s="755">
        <f t="shared" si="29"/>
        <v>2979.5166819999999</v>
      </c>
      <c r="BK44" s="754" t="s">
        <v>819</v>
      </c>
      <c r="BL44" s="687">
        <v>110070000</v>
      </c>
      <c r="BM44" s="687">
        <v>0</v>
      </c>
      <c r="BN44" s="687">
        <v>0</v>
      </c>
      <c r="BO44" s="687">
        <v>110070000</v>
      </c>
      <c r="BP44" s="687">
        <f t="shared" si="30"/>
        <v>114692.94</v>
      </c>
      <c r="BQ44" s="687">
        <f t="shared" si="31"/>
        <v>0</v>
      </c>
      <c r="BR44" s="687">
        <f t="shared" si="32"/>
        <v>0</v>
      </c>
      <c r="BS44" s="755">
        <f t="shared" si="33"/>
        <v>114692.94</v>
      </c>
      <c r="BV44" s="729" t="s">
        <v>353</v>
      </c>
      <c r="BW44" s="687">
        <v>187471674</v>
      </c>
      <c r="BX44" s="730">
        <f t="shared" si="34"/>
        <v>195345.48430800001</v>
      </c>
      <c r="BZ44" s="729" t="s">
        <v>819</v>
      </c>
      <c r="CA44" s="687">
        <v>110070000</v>
      </c>
      <c r="CB44" s="687">
        <v>0</v>
      </c>
      <c r="CC44" s="687">
        <v>0</v>
      </c>
      <c r="CD44" s="687">
        <v>110070000</v>
      </c>
      <c r="CE44" s="687">
        <f t="shared" si="35"/>
        <v>114692.94</v>
      </c>
      <c r="CF44" s="687">
        <f t="shared" si="36"/>
        <v>0</v>
      </c>
      <c r="CG44" s="687">
        <f t="shared" si="37"/>
        <v>0</v>
      </c>
      <c r="CH44" s="687">
        <f t="shared" si="38"/>
        <v>114692.94</v>
      </c>
      <c r="CK44" s="731" t="s">
        <v>353</v>
      </c>
      <c r="CL44" s="730">
        <v>224129</v>
      </c>
      <c r="CM44" s="730">
        <f t="shared" si="39"/>
        <v>233.542418</v>
      </c>
      <c r="CP44" s="731" t="s">
        <v>819</v>
      </c>
      <c r="CQ44" s="730">
        <v>110070000</v>
      </c>
      <c r="CR44" s="730">
        <v>0</v>
      </c>
      <c r="CS44" s="730">
        <v>0</v>
      </c>
      <c r="CT44" s="730">
        <v>110070000</v>
      </c>
      <c r="CU44" s="730">
        <f t="shared" si="64"/>
        <v>114692.94</v>
      </c>
      <c r="CV44" s="730">
        <f t="shared" si="65"/>
        <v>0</v>
      </c>
      <c r="CW44" s="730">
        <f t="shared" si="66"/>
        <v>0</v>
      </c>
      <c r="CX44" s="730">
        <f t="shared" si="67"/>
        <v>114692.94</v>
      </c>
      <c r="CZ44" s="731" t="s">
        <v>353</v>
      </c>
      <c r="DA44" s="730">
        <v>-6765</v>
      </c>
      <c r="DB44" s="730">
        <f t="shared" si="40"/>
        <v>-7.0491299999999999</v>
      </c>
      <c r="DE44" s="729" t="s">
        <v>819</v>
      </c>
      <c r="DF44" s="687">
        <v>110070000</v>
      </c>
      <c r="DG44" s="687">
        <v>0</v>
      </c>
      <c r="DH44" s="687">
        <v>0</v>
      </c>
      <c r="DI44" s="687">
        <v>110070000</v>
      </c>
      <c r="DJ44" s="730">
        <f t="shared" si="41"/>
        <v>114692.94</v>
      </c>
      <c r="DK44" s="730">
        <f t="shared" si="42"/>
        <v>0</v>
      </c>
      <c r="DL44" s="730">
        <f t="shared" si="43"/>
        <v>0</v>
      </c>
      <c r="DM44" s="730">
        <f t="shared" si="44"/>
        <v>114692.94</v>
      </c>
      <c r="DP44" s="729" t="s">
        <v>353</v>
      </c>
      <c r="DQ44" s="687">
        <v>186056563</v>
      </c>
      <c r="DR44" s="730">
        <f t="shared" si="45"/>
        <v>186056.56299999999</v>
      </c>
      <c r="DT44" s="729" t="s">
        <v>819</v>
      </c>
      <c r="DU44" s="687">
        <v>110070000</v>
      </c>
      <c r="DV44" s="687">
        <v>0</v>
      </c>
      <c r="DW44" s="687">
        <v>0</v>
      </c>
      <c r="DX44" s="687">
        <v>110070000</v>
      </c>
      <c r="DY44" s="730">
        <f t="shared" si="46"/>
        <v>110070</v>
      </c>
      <c r="DZ44" s="730">
        <f t="shared" si="47"/>
        <v>0</v>
      </c>
      <c r="EA44" s="730">
        <f t="shared" si="48"/>
        <v>0</v>
      </c>
      <c r="EB44" s="730">
        <f t="shared" si="49"/>
        <v>110070</v>
      </c>
      <c r="EE44" s="731" t="s">
        <v>546</v>
      </c>
      <c r="EF44" s="730">
        <v>76103907</v>
      </c>
      <c r="EG44" s="734">
        <f t="shared" si="50"/>
        <v>76103.907000000007</v>
      </c>
      <c r="EI44" s="731" t="s">
        <v>539</v>
      </c>
      <c r="EJ44" s="730">
        <v>3674928</v>
      </c>
      <c r="EK44" s="730">
        <v>3478312</v>
      </c>
      <c r="EL44" s="730">
        <v>3478312</v>
      </c>
      <c r="EM44" s="734">
        <f t="shared" si="51"/>
        <v>3674.9279999999999</v>
      </c>
      <c r="EN44" s="734">
        <f t="shared" si="52"/>
        <v>3478.3119999999999</v>
      </c>
      <c r="EO44" s="734">
        <f t="shared" si="53"/>
        <v>3478.3119999999999</v>
      </c>
      <c r="ER44" s="729" t="s">
        <v>362</v>
      </c>
      <c r="ES44" s="687">
        <v>1050509</v>
      </c>
      <c r="ET44" s="730">
        <f t="shared" si="54"/>
        <v>1050.509</v>
      </c>
      <c r="EW44" s="729" t="s">
        <v>539</v>
      </c>
      <c r="EX44" s="687">
        <v>0</v>
      </c>
      <c r="EY44" s="687">
        <v>4074928</v>
      </c>
      <c r="EZ44" s="687">
        <v>3827917</v>
      </c>
      <c r="FA44" s="687">
        <v>3827917</v>
      </c>
      <c r="FB44" s="687">
        <v>247011</v>
      </c>
      <c r="FC44" s="730">
        <f t="shared" si="55"/>
        <v>0</v>
      </c>
      <c r="FD44" s="730">
        <f t="shared" si="56"/>
        <v>4074.9279999999999</v>
      </c>
      <c r="FE44" s="730">
        <f t="shared" si="57"/>
        <v>3827.9169999999999</v>
      </c>
      <c r="FF44" s="730">
        <f t="shared" si="58"/>
        <v>3827.9169999999999</v>
      </c>
      <c r="FG44" s="730">
        <f t="shared" si="59"/>
        <v>247.011</v>
      </c>
      <c r="FJ44" s="731" t="s">
        <v>542</v>
      </c>
      <c r="FK44" s="730">
        <v>387130965</v>
      </c>
      <c r="FL44" s="734">
        <f t="shared" si="60"/>
        <v>387130.96500000003</v>
      </c>
      <c r="FN44" s="735" t="s">
        <v>352</v>
      </c>
      <c r="FO44" s="736">
        <v>611430839</v>
      </c>
      <c r="FP44" s="736">
        <v>611340542</v>
      </c>
      <c r="FQ44" s="736">
        <v>611340542</v>
      </c>
      <c r="FR44" s="736">
        <f t="shared" si="61"/>
        <v>611430.83900000004</v>
      </c>
      <c r="FS44" s="736">
        <f t="shared" si="62"/>
        <v>611340.54200000002</v>
      </c>
      <c r="FT44" s="736">
        <f t="shared" si="63"/>
        <v>611340.54200000002</v>
      </c>
    </row>
    <row r="45" spans="1:176" ht="15" customHeight="1" x14ac:dyDescent="0.25">
      <c r="A45" s="728" t="s">
        <v>881</v>
      </c>
      <c r="B45" s="729" t="s">
        <v>540</v>
      </c>
      <c r="C45" s="687">
        <v>0</v>
      </c>
      <c r="D45" s="687">
        <v>42160000</v>
      </c>
      <c r="E45" s="687">
        <v>0</v>
      </c>
      <c r="F45" s="687">
        <v>42160000</v>
      </c>
      <c r="G45" s="687">
        <v>0</v>
      </c>
      <c r="H45" s="730">
        <f t="shared" si="10"/>
        <v>43930.720000000001</v>
      </c>
      <c r="I45" s="730">
        <f t="shared" si="11"/>
        <v>0</v>
      </c>
      <c r="J45" s="730">
        <f t="shared" si="12"/>
        <v>43930.720000000001</v>
      </c>
      <c r="K45" s="730">
        <f t="shared" si="13"/>
        <v>0</v>
      </c>
      <c r="O45" s="729" t="s">
        <v>549</v>
      </c>
      <c r="P45" s="687">
        <v>618205</v>
      </c>
      <c r="Q45" s="730">
        <f t="shared" si="14"/>
        <v>644.16961000000003</v>
      </c>
      <c r="S45" s="729" t="s">
        <v>540</v>
      </c>
      <c r="T45" s="687">
        <v>42160000</v>
      </c>
      <c r="U45" s="687">
        <v>8019053</v>
      </c>
      <c r="V45" s="687">
        <v>8019053</v>
      </c>
      <c r="W45" s="687">
        <v>34140947</v>
      </c>
      <c r="X45" s="730">
        <f t="shared" si="15"/>
        <v>43930.720000000001</v>
      </c>
      <c r="Y45" s="730">
        <f t="shared" si="16"/>
        <v>8355.8532260000011</v>
      </c>
      <c r="Z45" s="730">
        <f t="shared" si="17"/>
        <v>8355.8532260000011</v>
      </c>
      <c r="AA45" s="730">
        <f t="shared" si="18"/>
        <v>35574.866774000002</v>
      </c>
      <c r="AC45" s="729" t="s">
        <v>545</v>
      </c>
      <c r="AD45" s="687">
        <v>3430789</v>
      </c>
      <c r="AE45" s="730">
        <f t="shared" si="19"/>
        <v>3574.8821380000004</v>
      </c>
      <c r="AG45" s="729" t="s">
        <v>352</v>
      </c>
      <c r="AH45" s="687">
        <v>578580000</v>
      </c>
      <c r="AI45" s="687">
        <v>141140512</v>
      </c>
      <c r="AJ45" s="687">
        <v>141140512</v>
      </c>
      <c r="AK45" s="687">
        <v>437439488</v>
      </c>
      <c r="AL45" s="687">
        <f t="shared" si="20"/>
        <v>602880.36</v>
      </c>
      <c r="AM45" s="687">
        <f t="shared" si="21"/>
        <v>147068.413504</v>
      </c>
      <c r="AN45" s="687">
        <f t="shared" si="22"/>
        <v>147068.413504</v>
      </c>
      <c r="AO45" s="687">
        <f t="shared" si="23"/>
        <v>455811.94649600005</v>
      </c>
      <c r="AR45" s="729" t="s">
        <v>548</v>
      </c>
      <c r="AS45" s="687">
        <v>3446295</v>
      </c>
      <c r="AT45" s="687">
        <f t="shared" si="24"/>
        <v>3591.0393900000004</v>
      </c>
      <c r="AV45" s="729" t="s">
        <v>352</v>
      </c>
      <c r="AW45" s="687">
        <v>578580000</v>
      </c>
      <c r="AX45" s="687">
        <v>184793720</v>
      </c>
      <c r="AY45" s="687">
        <v>184793720</v>
      </c>
      <c r="AZ45" s="687">
        <v>393786280</v>
      </c>
      <c r="BA45" s="730">
        <f t="shared" si="25"/>
        <v>602880.36</v>
      </c>
      <c r="BB45" s="730">
        <f t="shared" si="26"/>
        <v>192555.05624000001</v>
      </c>
      <c r="BC45" s="730">
        <f t="shared" si="27"/>
        <v>192555.05624000001</v>
      </c>
      <c r="BD45" s="730">
        <f t="shared" si="28"/>
        <v>410325.30376000004</v>
      </c>
      <c r="BG45" s="754" t="s">
        <v>365</v>
      </c>
      <c r="BH45" s="687">
        <v>46118</v>
      </c>
      <c r="BI45" s="755">
        <f t="shared" si="29"/>
        <v>48.054956000000004</v>
      </c>
      <c r="BK45" s="754" t="s">
        <v>352</v>
      </c>
      <c r="BL45" s="687">
        <v>578580000</v>
      </c>
      <c r="BM45" s="687">
        <v>228413289</v>
      </c>
      <c r="BN45" s="687">
        <v>228413289</v>
      </c>
      <c r="BO45" s="687">
        <v>350166711</v>
      </c>
      <c r="BP45" s="687">
        <f t="shared" si="30"/>
        <v>602880.36</v>
      </c>
      <c r="BQ45" s="687">
        <f t="shared" si="31"/>
        <v>238006.647138</v>
      </c>
      <c r="BR45" s="687">
        <f t="shared" si="32"/>
        <v>238006.647138</v>
      </c>
      <c r="BS45" s="755">
        <f t="shared" si="33"/>
        <v>364873.71286200004</v>
      </c>
      <c r="BV45" s="729" t="s">
        <v>354</v>
      </c>
      <c r="BW45" s="687">
        <v>38428054</v>
      </c>
      <c r="BX45" s="730">
        <f t="shared" si="34"/>
        <v>40042.032267999995</v>
      </c>
      <c r="BZ45" s="729" t="s">
        <v>352</v>
      </c>
      <c r="CA45" s="687">
        <v>578580000</v>
      </c>
      <c r="CB45" s="687">
        <v>290059637</v>
      </c>
      <c r="CC45" s="687">
        <v>290059637</v>
      </c>
      <c r="CD45" s="687">
        <v>288520363</v>
      </c>
      <c r="CE45" s="687">
        <f t="shared" si="35"/>
        <v>602880.36</v>
      </c>
      <c r="CF45" s="687">
        <f t="shared" si="36"/>
        <v>302242.14175399998</v>
      </c>
      <c r="CG45" s="687">
        <f t="shared" si="37"/>
        <v>302242.14175399998</v>
      </c>
      <c r="CH45" s="687">
        <f t="shared" si="38"/>
        <v>300638.218246</v>
      </c>
      <c r="CK45" s="731" t="s">
        <v>354</v>
      </c>
      <c r="CL45" s="730">
        <v>34395156</v>
      </c>
      <c r="CM45" s="730">
        <f t="shared" si="39"/>
        <v>35839.752552000005</v>
      </c>
      <c r="CP45" s="731" t="s">
        <v>352</v>
      </c>
      <c r="CQ45" s="730">
        <v>578580000</v>
      </c>
      <c r="CR45" s="730">
        <v>339590375</v>
      </c>
      <c r="CS45" s="730">
        <v>339590375</v>
      </c>
      <c r="CT45" s="730">
        <v>238989625</v>
      </c>
      <c r="CU45" s="730">
        <f t="shared" si="64"/>
        <v>602880.36</v>
      </c>
      <c r="CV45" s="730">
        <f t="shared" si="65"/>
        <v>353853.17074999999</v>
      </c>
      <c r="CW45" s="730">
        <f t="shared" si="66"/>
        <v>353853.17074999999</v>
      </c>
      <c r="CX45" s="730">
        <f t="shared" si="67"/>
        <v>249027.18925</v>
      </c>
      <c r="CZ45" s="731" t="s">
        <v>354</v>
      </c>
      <c r="DA45" s="730">
        <v>38573372</v>
      </c>
      <c r="DB45" s="730">
        <f t="shared" si="40"/>
        <v>40193.453624000002</v>
      </c>
      <c r="DE45" s="729" t="s">
        <v>352</v>
      </c>
      <c r="DF45" s="687">
        <v>578580000</v>
      </c>
      <c r="DG45" s="687">
        <v>389087145</v>
      </c>
      <c r="DH45" s="687">
        <v>389087145</v>
      </c>
      <c r="DI45" s="687">
        <v>189492855</v>
      </c>
      <c r="DJ45" s="730">
        <f t="shared" si="41"/>
        <v>602880.36</v>
      </c>
      <c r="DK45" s="730">
        <f t="shared" si="42"/>
        <v>405428.80509000004</v>
      </c>
      <c r="DL45" s="730">
        <f t="shared" si="43"/>
        <v>405428.80509000004</v>
      </c>
      <c r="DM45" s="730">
        <f t="shared" si="44"/>
        <v>197451.55491000001</v>
      </c>
      <c r="DP45" s="729" t="s">
        <v>354</v>
      </c>
      <c r="DQ45" s="687">
        <v>31388015</v>
      </c>
      <c r="DR45" s="730">
        <f t="shared" si="45"/>
        <v>31388.014999999999</v>
      </c>
      <c r="DT45" s="729" t="s">
        <v>352</v>
      </c>
      <c r="DU45" s="687">
        <v>578580000</v>
      </c>
      <c r="DV45" s="687">
        <v>459022035</v>
      </c>
      <c r="DW45" s="687">
        <v>459022035</v>
      </c>
      <c r="DX45" s="687">
        <v>119557965</v>
      </c>
      <c r="DY45" s="730">
        <f t="shared" si="46"/>
        <v>578580</v>
      </c>
      <c r="DZ45" s="730">
        <f t="shared" si="47"/>
        <v>459022.03499999997</v>
      </c>
      <c r="EA45" s="730">
        <f t="shared" si="48"/>
        <v>459022.03499999997</v>
      </c>
      <c r="EB45" s="730">
        <f t="shared" si="49"/>
        <v>119557.965</v>
      </c>
      <c r="EE45" s="731" t="s">
        <v>547</v>
      </c>
      <c r="EF45" s="730">
        <v>75269109</v>
      </c>
      <c r="EG45" s="734">
        <f t="shared" si="50"/>
        <v>75269.108999999997</v>
      </c>
      <c r="EI45" s="731" t="s">
        <v>819</v>
      </c>
      <c r="EJ45" s="730">
        <v>110070000</v>
      </c>
      <c r="EK45" s="730">
        <v>0</v>
      </c>
      <c r="EL45" s="730">
        <v>0</v>
      </c>
      <c r="EM45" s="734">
        <f t="shared" si="51"/>
        <v>110070</v>
      </c>
      <c r="EN45" s="734">
        <f t="shared" si="52"/>
        <v>0</v>
      </c>
      <c r="EO45" s="734">
        <f t="shared" si="53"/>
        <v>0</v>
      </c>
      <c r="ER45" s="729" t="s">
        <v>549</v>
      </c>
      <c r="ES45" s="687">
        <v>1050509</v>
      </c>
      <c r="ET45" s="730">
        <f t="shared" si="54"/>
        <v>1050.509</v>
      </c>
      <c r="EW45" s="729" t="s">
        <v>819</v>
      </c>
      <c r="EX45" s="687">
        <v>0</v>
      </c>
      <c r="EY45" s="687">
        <v>110070000</v>
      </c>
      <c r="EZ45" s="687">
        <v>0</v>
      </c>
      <c r="FA45" s="687">
        <v>0</v>
      </c>
      <c r="FB45" s="687">
        <v>110070000</v>
      </c>
      <c r="FC45" s="730">
        <f t="shared" si="55"/>
        <v>0</v>
      </c>
      <c r="FD45" s="730">
        <f t="shared" si="56"/>
        <v>110070</v>
      </c>
      <c r="FE45" s="730">
        <f t="shared" si="57"/>
        <v>0</v>
      </c>
      <c r="FF45" s="730">
        <f t="shared" si="58"/>
        <v>0</v>
      </c>
      <c r="FG45" s="730">
        <f t="shared" si="59"/>
        <v>110070</v>
      </c>
      <c r="FJ45" s="731" t="s">
        <v>543</v>
      </c>
      <c r="FK45" s="730">
        <v>201318120</v>
      </c>
      <c r="FL45" s="734">
        <f t="shared" si="60"/>
        <v>201318.12</v>
      </c>
      <c r="FN45" s="735" t="s">
        <v>540</v>
      </c>
      <c r="FO45" s="736">
        <v>45228619</v>
      </c>
      <c r="FP45" s="736">
        <v>45228619</v>
      </c>
      <c r="FQ45" s="736">
        <v>45228619</v>
      </c>
      <c r="FR45" s="736">
        <f t="shared" si="61"/>
        <v>45228.618999999999</v>
      </c>
      <c r="FS45" s="736">
        <f t="shared" si="62"/>
        <v>45228.618999999999</v>
      </c>
      <c r="FT45" s="736">
        <f t="shared" si="63"/>
        <v>45228.618999999999</v>
      </c>
    </row>
    <row r="46" spans="1:176" ht="15" customHeight="1" x14ac:dyDescent="0.25">
      <c r="A46" s="728" t="s">
        <v>881</v>
      </c>
      <c r="B46" s="729" t="s">
        <v>541</v>
      </c>
      <c r="C46" s="687">
        <v>0</v>
      </c>
      <c r="D46" s="687">
        <v>536420000</v>
      </c>
      <c r="E46" s="687">
        <v>38501917</v>
      </c>
      <c r="F46" s="687">
        <v>497918083</v>
      </c>
      <c r="G46" s="687">
        <v>38501917</v>
      </c>
      <c r="H46" s="730">
        <f t="shared" si="10"/>
        <v>558949.64</v>
      </c>
      <c r="I46" s="730">
        <f t="shared" si="11"/>
        <v>40118.997514000002</v>
      </c>
      <c r="J46" s="730">
        <f t="shared" si="12"/>
        <v>518830.64248600003</v>
      </c>
      <c r="K46" s="730">
        <f t="shared" si="13"/>
        <v>40118.997514000002</v>
      </c>
      <c r="O46" s="729" t="s">
        <v>363</v>
      </c>
      <c r="P46" s="687">
        <v>5568129</v>
      </c>
      <c r="Q46" s="730">
        <f t="shared" si="14"/>
        <v>5801.9904180000003</v>
      </c>
      <c r="S46" s="729" t="s">
        <v>541</v>
      </c>
      <c r="T46" s="687">
        <v>536420000</v>
      </c>
      <c r="U46" s="687">
        <v>77309752</v>
      </c>
      <c r="V46" s="687">
        <v>77309752</v>
      </c>
      <c r="W46" s="687">
        <v>459110248</v>
      </c>
      <c r="X46" s="730">
        <f t="shared" si="15"/>
        <v>558949.64</v>
      </c>
      <c r="Y46" s="730">
        <f t="shared" si="16"/>
        <v>80556.761583999993</v>
      </c>
      <c r="Z46" s="730">
        <f t="shared" si="17"/>
        <v>80556.761583999993</v>
      </c>
      <c r="AA46" s="730">
        <f t="shared" si="18"/>
        <v>478392.87841600005</v>
      </c>
      <c r="AC46" s="729" t="s">
        <v>582</v>
      </c>
      <c r="AD46" s="687">
        <v>8584655</v>
      </c>
      <c r="AE46" s="730">
        <f t="shared" si="19"/>
        <v>8945.2105100000008</v>
      </c>
      <c r="AG46" s="729" t="s">
        <v>540</v>
      </c>
      <c r="AH46" s="687">
        <v>42160000</v>
      </c>
      <c r="AI46" s="687">
        <v>8019053</v>
      </c>
      <c r="AJ46" s="687">
        <v>8019053</v>
      </c>
      <c r="AK46" s="687">
        <v>34140947</v>
      </c>
      <c r="AL46" s="687">
        <f t="shared" si="20"/>
        <v>43930.720000000001</v>
      </c>
      <c r="AM46" s="687">
        <f t="shared" si="21"/>
        <v>8355.8532260000011</v>
      </c>
      <c r="AN46" s="687">
        <f t="shared" si="22"/>
        <v>8355.8532260000011</v>
      </c>
      <c r="AO46" s="687">
        <f t="shared" si="23"/>
        <v>35574.866774000002</v>
      </c>
      <c r="AR46" s="729" t="s">
        <v>359</v>
      </c>
      <c r="AS46" s="687">
        <v>10997848</v>
      </c>
      <c r="AT46" s="687">
        <f t="shared" si="24"/>
        <v>11459.757616000001</v>
      </c>
      <c r="AV46" s="729" t="s">
        <v>540</v>
      </c>
      <c r="AW46" s="687">
        <v>42160000</v>
      </c>
      <c r="AX46" s="687">
        <v>12108335</v>
      </c>
      <c r="AY46" s="687">
        <v>12108335</v>
      </c>
      <c r="AZ46" s="687">
        <v>30051665</v>
      </c>
      <c r="BA46" s="730">
        <f t="shared" si="25"/>
        <v>43930.720000000001</v>
      </c>
      <c r="BB46" s="730">
        <f t="shared" si="26"/>
        <v>12616.88507</v>
      </c>
      <c r="BC46" s="730">
        <f t="shared" si="27"/>
        <v>12616.88507</v>
      </c>
      <c r="BD46" s="730">
        <f t="shared" si="28"/>
        <v>31313.834930000001</v>
      </c>
      <c r="BG46" s="754" t="s">
        <v>366</v>
      </c>
      <c r="BH46" s="687">
        <v>159040</v>
      </c>
      <c r="BI46" s="755">
        <f t="shared" si="29"/>
        <v>165.71968000000001</v>
      </c>
      <c r="BK46" s="754" t="s">
        <v>540</v>
      </c>
      <c r="BL46" s="687">
        <v>42160000</v>
      </c>
      <c r="BM46" s="687">
        <v>16197617</v>
      </c>
      <c r="BN46" s="687">
        <v>16197617</v>
      </c>
      <c r="BO46" s="687">
        <v>25962383</v>
      </c>
      <c r="BP46" s="687">
        <f t="shared" si="30"/>
        <v>43930.720000000001</v>
      </c>
      <c r="BQ46" s="687">
        <f t="shared" si="31"/>
        <v>16877.916914000001</v>
      </c>
      <c r="BR46" s="687">
        <f t="shared" si="32"/>
        <v>16877.916914000001</v>
      </c>
      <c r="BS46" s="755">
        <f t="shared" si="33"/>
        <v>27052.803086000004</v>
      </c>
      <c r="BV46" s="729" t="s">
        <v>544</v>
      </c>
      <c r="BW46" s="687">
        <v>22000018</v>
      </c>
      <c r="BX46" s="730">
        <f t="shared" si="34"/>
        <v>22924.018756000001</v>
      </c>
      <c r="BZ46" s="729" t="s">
        <v>540</v>
      </c>
      <c r="CA46" s="687">
        <v>42160000</v>
      </c>
      <c r="CB46" s="687">
        <v>20257897</v>
      </c>
      <c r="CC46" s="687">
        <v>20257897</v>
      </c>
      <c r="CD46" s="687">
        <v>21902103</v>
      </c>
      <c r="CE46" s="687">
        <f t="shared" si="35"/>
        <v>43930.720000000001</v>
      </c>
      <c r="CF46" s="687">
        <f t="shared" si="36"/>
        <v>21108.728674000002</v>
      </c>
      <c r="CG46" s="687">
        <f t="shared" si="37"/>
        <v>21108.728674000002</v>
      </c>
      <c r="CH46" s="687">
        <f t="shared" si="38"/>
        <v>22821.991325999999</v>
      </c>
      <c r="CK46" s="731" t="s">
        <v>544</v>
      </c>
      <c r="CL46" s="730">
        <v>21162489</v>
      </c>
      <c r="CM46" s="730">
        <f t="shared" si="39"/>
        <v>22051.313538000002</v>
      </c>
      <c r="CP46" s="731" t="s">
        <v>540</v>
      </c>
      <c r="CQ46" s="730">
        <v>42160000</v>
      </c>
      <c r="CR46" s="730">
        <v>24390682</v>
      </c>
      <c r="CS46" s="730">
        <v>24390682</v>
      </c>
      <c r="CT46" s="730">
        <v>17769318</v>
      </c>
      <c r="CU46" s="730">
        <f t="shared" si="64"/>
        <v>43930.720000000001</v>
      </c>
      <c r="CV46" s="730">
        <f t="shared" si="65"/>
        <v>25415.090644</v>
      </c>
      <c r="CW46" s="730">
        <f t="shared" si="66"/>
        <v>25415.090644</v>
      </c>
      <c r="CX46" s="730">
        <f t="shared" si="67"/>
        <v>18515.629356000001</v>
      </c>
      <c r="CZ46" s="731" t="s">
        <v>544</v>
      </c>
      <c r="DA46" s="730">
        <v>20950065</v>
      </c>
      <c r="DB46" s="730">
        <f t="shared" si="40"/>
        <v>21829.96773</v>
      </c>
      <c r="DE46" s="729" t="s">
        <v>540</v>
      </c>
      <c r="DF46" s="687">
        <v>42160000</v>
      </c>
      <c r="DG46" s="687">
        <v>28523467</v>
      </c>
      <c r="DH46" s="687">
        <v>28523467</v>
      </c>
      <c r="DI46" s="687">
        <v>13636533</v>
      </c>
      <c r="DJ46" s="730">
        <f t="shared" si="41"/>
        <v>43930.720000000001</v>
      </c>
      <c r="DK46" s="730">
        <f t="shared" si="42"/>
        <v>29721.452614000002</v>
      </c>
      <c r="DL46" s="730">
        <f t="shared" si="43"/>
        <v>29721.452614000002</v>
      </c>
      <c r="DM46" s="730">
        <f t="shared" si="44"/>
        <v>14209.267386</v>
      </c>
      <c r="DP46" s="729" t="s">
        <v>544</v>
      </c>
      <c r="DQ46" s="687">
        <v>20756830</v>
      </c>
      <c r="DR46" s="730">
        <f t="shared" si="45"/>
        <v>20756.830000000002</v>
      </c>
      <c r="DT46" s="729" t="s">
        <v>540</v>
      </c>
      <c r="DU46" s="687">
        <v>42160000</v>
      </c>
      <c r="DV46" s="687">
        <v>32641751</v>
      </c>
      <c r="DW46" s="687">
        <v>32641751</v>
      </c>
      <c r="DX46" s="687">
        <v>9518249</v>
      </c>
      <c r="DY46" s="730">
        <f t="shared" si="46"/>
        <v>42160</v>
      </c>
      <c r="DZ46" s="730">
        <f t="shared" si="47"/>
        <v>32641.751</v>
      </c>
      <c r="EA46" s="730">
        <f t="shared" si="48"/>
        <v>32641.751</v>
      </c>
      <c r="EB46" s="730">
        <f t="shared" si="49"/>
        <v>9518.2489999999998</v>
      </c>
      <c r="EE46" s="731" t="s">
        <v>548</v>
      </c>
      <c r="EF46" s="730">
        <v>834798</v>
      </c>
      <c r="EG46" s="734">
        <f t="shared" si="50"/>
        <v>834.798</v>
      </c>
      <c r="EI46" s="731" t="s">
        <v>352</v>
      </c>
      <c r="EJ46" s="730">
        <v>578580000</v>
      </c>
      <c r="EK46" s="730">
        <v>503295980</v>
      </c>
      <c r="EL46" s="730">
        <v>503295980</v>
      </c>
      <c r="EM46" s="734">
        <f t="shared" si="51"/>
        <v>578580</v>
      </c>
      <c r="EN46" s="734">
        <f t="shared" si="52"/>
        <v>503295.98</v>
      </c>
      <c r="EO46" s="734">
        <f t="shared" si="53"/>
        <v>503295.98</v>
      </c>
      <c r="ER46" s="729" t="s">
        <v>476</v>
      </c>
      <c r="ES46" s="687">
        <v>30000000</v>
      </c>
      <c r="ET46" s="730">
        <f t="shared" si="54"/>
        <v>30000</v>
      </c>
      <c r="EW46" s="729" t="s">
        <v>352</v>
      </c>
      <c r="EX46" s="687">
        <v>0</v>
      </c>
      <c r="EY46" s="687">
        <v>578580000</v>
      </c>
      <c r="EZ46" s="687">
        <v>547685353</v>
      </c>
      <c r="FA46" s="687">
        <v>547685353</v>
      </c>
      <c r="FB46" s="687">
        <v>30894647</v>
      </c>
      <c r="FC46" s="730">
        <f t="shared" si="55"/>
        <v>0</v>
      </c>
      <c r="FD46" s="730">
        <f t="shared" si="56"/>
        <v>578580</v>
      </c>
      <c r="FE46" s="730">
        <f t="shared" si="57"/>
        <v>547685.353</v>
      </c>
      <c r="FF46" s="730">
        <f t="shared" si="58"/>
        <v>547685.353</v>
      </c>
      <c r="FG46" s="730">
        <f t="shared" si="59"/>
        <v>30894.647000000001</v>
      </c>
      <c r="FJ46" s="731" t="s">
        <v>353</v>
      </c>
      <c r="FK46" s="730">
        <v>185811111</v>
      </c>
      <c r="FL46" s="734">
        <f t="shared" si="60"/>
        <v>185811.111</v>
      </c>
      <c r="FN46" s="735" t="s">
        <v>541</v>
      </c>
      <c r="FO46" s="736">
        <v>566202220</v>
      </c>
      <c r="FP46" s="736">
        <v>566111923</v>
      </c>
      <c r="FQ46" s="736">
        <v>566111923</v>
      </c>
      <c r="FR46" s="736">
        <f t="shared" si="61"/>
        <v>566202.22</v>
      </c>
      <c r="FS46" s="736">
        <f t="shared" si="62"/>
        <v>566111.92299999995</v>
      </c>
      <c r="FT46" s="736">
        <f t="shared" si="63"/>
        <v>566111.92299999995</v>
      </c>
    </row>
    <row r="47" spans="1:176" ht="15" customHeight="1" x14ac:dyDescent="0.25">
      <c r="A47" s="728" t="s">
        <v>880</v>
      </c>
      <c r="B47" s="729" t="s">
        <v>542</v>
      </c>
      <c r="C47" s="687">
        <v>0</v>
      </c>
      <c r="D47" s="687">
        <v>1425280000</v>
      </c>
      <c r="E47" s="687">
        <v>0</v>
      </c>
      <c r="F47" s="687">
        <v>1425280000</v>
      </c>
      <c r="G47" s="687">
        <v>0</v>
      </c>
      <c r="H47" s="730">
        <f t="shared" si="10"/>
        <v>1485141.76</v>
      </c>
      <c r="I47" s="730">
        <f t="shared" si="11"/>
        <v>0</v>
      </c>
      <c r="J47" s="730">
        <f t="shared" si="12"/>
        <v>1485141.76</v>
      </c>
      <c r="K47" s="730">
        <f t="shared" si="13"/>
        <v>0</v>
      </c>
      <c r="O47" s="729" t="s">
        <v>364</v>
      </c>
      <c r="P47" s="687">
        <v>4226611</v>
      </c>
      <c r="Q47" s="730">
        <f t="shared" si="14"/>
        <v>4404.1286620000001</v>
      </c>
      <c r="S47" s="729" t="s">
        <v>542</v>
      </c>
      <c r="T47" s="687">
        <v>1425280000</v>
      </c>
      <c r="U47" s="687">
        <v>0</v>
      </c>
      <c r="V47" s="687">
        <v>0</v>
      </c>
      <c r="W47" s="687">
        <v>1425280000</v>
      </c>
      <c r="X47" s="730">
        <f t="shared" si="15"/>
        <v>1485141.76</v>
      </c>
      <c r="Y47" s="730">
        <f t="shared" si="16"/>
        <v>0</v>
      </c>
      <c r="Z47" s="730">
        <f t="shared" si="17"/>
        <v>0</v>
      </c>
      <c r="AA47" s="730">
        <f t="shared" si="18"/>
        <v>1485141.76</v>
      </c>
      <c r="AC47" s="729" t="s">
        <v>355</v>
      </c>
      <c r="AD47" s="687">
        <v>8854892</v>
      </c>
      <c r="AE47" s="730">
        <f t="shared" si="19"/>
        <v>9226.7974639999993</v>
      </c>
      <c r="AG47" s="729" t="s">
        <v>541</v>
      </c>
      <c r="AH47" s="687">
        <v>536420000</v>
      </c>
      <c r="AI47" s="687">
        <v>133121459</v>
      </c>
      <c r="AJ47" s="687">
        <v>133121459</v>
      </c>
      <c r="AK47" s="687">
        <v>403298541</v>
      </c>
      <c r="AL47" s="687">
        <f t="shared" si="20"/>
        <v>558949.64</v>
      </c>
      <c r="AM47" s="687">
        <f t="shared" si="21"/>
        <v>138712.56027800002</v>
      </c>
      <c r="AN47" s="687">
        <f t="shared" si="22"/>
        <v>138712.56027800002</v>
      </c>
      <c r="AO47" s="687">
        <f t="shared" si="23"/>
        <v>420237.07972200005</v>
      </c>
      <c r="AR47" s="729" t="s">
        <v>361</v>
      </c>
      <c r="AS47" s="687">
        <v>272454297</v>
      </c>
      <c r="AT47" s="687">
        <f t="shared" si="24"/>
        <v>283897.37747400004</v>
      </c>
      <c r="AV47" s="729" t="s">
        <v>541</v>
      </c>
      <c r="AW47" s="687">
        <v>536420000</v>
      </c>
      <c r="AX47" s="687">
        <v>172685385</v>
      </c>
      <c r="AY47" s="687">
        <v>172685385</v>
      </c>
      <c r="AZ47" s="687">
        <v>363734615</v>
      </c>
      <c r="BA47" s="730">
        <f t="shared" si="25"/>
        <v>558949.64</v>
      </c>
      <c r="BB47" s="730">
        <f t="shared" si="26"/>
        <v>179938.17117000002</v>
      </c>
      <c r="BC47" s="730">
        <f t="shared" si="27"/>
        <v>179938.17117000002</v>
      </c>
      <c r="BD47" s="730">
        <f t="shared" si="28"/>
        <v>379011.46883000003</v>
      </c>
      <c r="BG47" s="754" t="s">
        <v>552</v>
      </c>
      <c r="BH47" s="687">
        <v>1361360</v>
      </c>
      <c r="BI47" s="755">
        <f t="shared" si="29"/>
        <v>1418.53712</v>
      </c>
      <c r="BK47" s="754" t="s">
        <v>541</v>
      </c>
      <c r="BL47" s="687">
        <v>536420000</v>
      </c>
      <c r="BM47" s="687">
        <v>212215672</v>
      </c>
      <c r="BN47" s="687">
        <v>212215672</v>
      </c>
      <c r="BO47" s="687">
        <v>324204328</v>
      </c>
      <c r="BP47" s="687">
        <f t="shared" si="30"/>
        <v>558949.64</v>
      </c>
      <c r="BQ47" s="687">
        <f t="shared" si="31"/>
        <v>221128.730224</v>
      </c>
      <c r="BR47" s="687">
        <f t="shared" si="32"/>
        <v>221128.730224</v>
      </c>
      <c r="BS47" s="755">
        <f t="shared" si="33"/>
        <v>337820.90977600001</v>
      </c>
      <c r="BV47" s="729" t="s">
        <v>545</v>
      </c>
      <c r="BW47" s="687">
        <v>3300773</v>
      </c>
      <c r="BX47" s="730">
        <f t="shared" si="34"/>
        <v>3439.4054660000002</v>
      </c>
      <c r="BZ47" s="729" t="s">
        <v>541</v>
      </c>
      <c r="CA47" s="687">
        <v>536420000</v>
      </c>
      <c r="CB47" s="687">
        <v>269801740</v>
      </c>
      <c r="CC47" s="687">
        <v>269801740</v>
      </c>
      <c r="CD47" s="687">
        <v>266618260</v>
      </c>
      <c r="CE47" s="687">
        <f t="shared" si="35"/>
        <v>558949.64</v>
      </c>
      <c r="CF47" s="687">
        <f t="shared" si="36"/>
        <v>281133.41308000003</v>
      </c>
      <c r="CG47" s="687">
        <f t="shared" si="37"/>
        <v>281133.41308000003</v>
      </c>
      <c r="CH47" s="687">
        <f t="shared" si="38"/>
        <v>277816.22692000004</v>
      </c>
      <c r="CK47" s="731" t="s">
        <v>545</v>
      </c>
      <c r="CL47" s="730">
        <v>2863845</v>
      </c>
      <c r="CM47" s="730">
        <f t="shared" si="39"/>
        <v>2984.1264900000001</v>
      </c>
      <c r="CP47" s="731" t="s">
        <v>541</v>
      </c>
      <c r="CQ47" s="730">
        <v>536420000</v>
      </c>
      <c r="CR47" s="730">
        <v>315199693</v>
      </c>
      <c r="CS47" s="730">
        <v>315199693</v>
      </c>
      <c r="CT47" s="730">
        <v>221220307</v>
      </c>
      <c r="CU47" s="730">
        <f t="shared" si="64"/>
        <v>558949.64</v>
      </c>
      <c r="CV47" s="730">
        <f t="shared" si="65"/>
        <v>328438.08010600007</v>
      </c>
      <c r="CW47" s="730">
        <f t="shared" si="66"/>
        <v>328438.08010600007</v>
      </c>
      <c r="CX47" s="730">
        <f t="shared" si="67"/>
        <v>230511.55989400001</v>
      </c>
      <c r="CZ47" s="731" t="s">
        <v>545</v>
      </c>
      <c r="DA47" s="730">
        <v>3695975</v>
      </c>
      <c r="DB47" s="730">
        <f t="shared" si="40"/>
        <v>3851.20595</v>
      </c>
      <c r="DE47" s="729" t="s">
        <v>541</v>
      </c>
      <c r="DF47" s="687">
        <v>536420000</v>
      </c>
      <c r="DG47" s="687">
        <v>360563678</v>
      </c>
      <c r="DH47" s="687">
        <v>360563678</v>
      </c>
      <c r="DI47" s="687">
        <v>175856322</v>
      </c>
      <c r="DJ47" s="730">
        <f t="shared" si="41"/>
        <v>558949.64</v>
      </c>
      <c r="DK47" s="730">
        <f t="shared" si="42"/>
        <v>375707.35247600003</v>
      </c>
      <c r="DL47" s="730">
        <f t="shared" si="43"/>
        <v>375707.35247600003</v>
      </c>
      <c r="DM47" s="730">
        <f t="shared" si="44"/>
        <v>183242.28752399998</v>
      </c>
      <c r="DP47" s="729" t="s">
        <v>545</v>
      </c>
      <c r="DQ47" s="687">
        <v>3843747</v>
      </c>
      <c r="DR47" s="730">
        <f t="shared" si="45"/>
        <v>3843.7469999999998</v>
      </c>
      <c r="DT47" s="729" t="s">
        <v>541</v>
      </c>
      <c r="DU47" s="687">
        <v>536420000</v>
      </c>
      <c r="DV47" s="687">
        <v>426380284</v>
      </c>
      <c r="DW47" s="687">
        <v>426380284</v>
      </c>
      <c r="DX47" s="687">
        <v>110039716</v>
      </c>
      <c r="DY47" s="730">
        <f t="shared" si="46"/>
        <v>536420</v>
      </c>
      <c r="DZ47" s="730">
        <f t="shared" si="47"/>
        <v>426380.28399999999</v>
      </c>
      <c r="EA47" s="730">
        <f t="shared" si="48"/>
        <v>426380.28399999999</v>
      </c>
      <c r="EB47" s="730">
        <f t="shared" si="49"/>
        <v>110039.716</v>
      </c>
      <c r="EE47" s="731" t="s">
        <v>359</v>
      </c>
      <c r="EF47" s="730">
        <v>3349816</v>
      </c>
      <c r="EG47" s="734">
        <f t="shared" si="50"/>
        <v>3349.8159999999998</v>
      </c>
      <c r="EI47" s="731" t="s">
        <v>540</v>
      </c>
      <c r="EJ47" s="730">
        <v>42160000</v>
      </c>
      <c r="EK47" s="730">
        <v>36818039</v>
      </c>
      <c r="EL47" s="730">
        <v>36818039</v>
      </c>
      <c r="EM47" s="734">
        <f t="shared" si="51"/>
        <v>42160</v>
      </c>
      <c r="EN47" s="734">
        <f t="shared" si="52"/>
        <v>36818.038999999997</v>
      </c>
      <c r="EO47" s="734">
        <f t="shared" si="53"/>
        <v>36818.038999999997</v>
      </c>
      <c r="ER47" s="729" t="s">
        <v>477</v>
      </c>
      <c r="ES47" s="687">
        <v>30000000</v>
      </c>
      <c r="ET47" s="730">
        <f t="shared" si="54"/>
        <v>30000</v>
      </c>
      <c r="EW47" s="729" t="s">
        <v>540</v>
      </c>
      <c r="EX47" s="687">
        <v>0</v>
      </c>
      <c r="EY47" s="687">
        <v>42160000</v>
      </c>
      <c r="EZ47" s="687">
        <v>41008828</v>
      </c>
      <c r="FA47" s="687">
        <v>41008828</v>
      </c>
      <c r="FB47" s="687">
        <v>1151172</v>
      </c>
      <c r="FC47" s="730">
        <f t="shared" si="55"/>
        <v>0</v>
      </c>
      <c r="FD47" s="730">
        <f t="shared" si="56"/>
        <v>42160</v>
      </c>
      <c r="FE47" s="730">
        <f t="shared" si="57"/>
        <v>41008.828000000001</v>
      </c>
      <c r="FF47" s="730">
        <f t="shared" si="58"/>
        <v>41008.828000000001</v>
      </c>
      <c r="FG47" s="730">
        <f t="shared" si="59"/>
        <v>1151.172</v>
      </c>
      <c r="FJ47" s="731" t="s">
        <v>940</v>
      </c>
      <c r="FK47" s="730">
        <v>1734</v>
      </c>
      <c r="FL47" s="734">
        <f t="shared" si="60"/>
        <v>1.734</v>
      </c>
      <c r="FN47" s="735" t="s">
        <v>542</v>
      </c>
      <c r="FO47" s="736">
        <v>1544745589</v>
      </c>
      <c r="FP47" s="736">
        <v>1544362406</v>
      </c>
      <c r="FQ47" s="736">
        <v>1544362406</v>
      </c>
      <c r="FR47" s="736">
        <f t="shared" si="61"/>
        <v>1544745.5889999999</v>
      </c>
      <c r="FS47" s="736">
        <f t="shared" si="62"/>
        <v>1544362.406</v>
      </c>
      <c r="FT47" s="736">
        <f t="shared" si="63"/>
        <v>1544362.406</v>
      </c>
    </row>
    <row r="48" spans="1:176" ht="15" customHeight="1" x14ac:dyDescent="0.25">
      <c r="A48" s="728" t="s">
        <v>881</v>
      </c>
      <c r="B48" s="729" t="s">
        <v>543</v>
      </c>
      <c r="C48" s="687">
        <v>0</v>
      </c>
      <c r="D48" s="687">
        <v>752020000</v>
      </c>
      <c r="E48" s="687">
        <v>0</v>
      </c>
      <c r="F48" s="687">
        <v>752020000</v>
      </c>
      <c r="G48" s="687">
        <v>0</v>
      </c>
      <c r="H48" s="730">
        <f t="shared" si="10"/>
        <v>783604.84000000008</v>
      </c>
      <c r="I48" s="730">
        <f t="shared" si="11"/>
        <v>0</v>
      </c>
      <c r="J48" s="730">
        <f t="shared" si="12"/>
        <v>783604.84000000008</v>
      </c>
      <c r="K48" s="730">
        <f t="shared" si="13"/>
        <v>0</v>
      </c>
      <c r="O48" s="729" t="s">
        <v>365</v>
      </c>
      <c r="P48" s="687">
        <v>416786</v>
      </c>
      <c r="Q48" s="730">
        <f t="shared" si="14"/>
        <v>434.29101200000002</v>
      </c>
      <c r="S48" s="729" t="s">
        <v>543</v>
      </c>
      <c r="T48" s="687">
        <v>752020000</v>
      </c>
      <c r="U48" s="687">
        <v>0</v>
      </c>
      <c r="V48" s="687">
        <v>0</v>
      </c>
      <c r="W48" s="687">
        <v>752020000</v>
      </c>
      <c r="X48" s="730">
        <f t="shared" si="15"/>
        <v>783604.84000000008</v>
      </c>
      <c r="Y48" s="730">
        <f t="shared" si="16"/>
        <v>0</v>
      </c>
      <c r="Z48" s="730">
        <f t="shared" si="17"/>
        <v>0</v>
      </c>
      <c r="AA48" s="730">
        <f t="shared" si="18"/>
        <v>783604.84000000008</v>
      </c>
      <c r="AC48" s="729" t="s">
        <v>458</v>
      </c>
      <c r="AD48" s="687">
        <v>8854892</v>
      </c>
      <c r="AE48" s="730">
        <f t="shared" si="19"/>
        <v>9226.7974639999993</v>
      </c>
      <c r="AG48" s="729" t="s">
        <v>542</v>
      </c>
      <c r="AH48" s="687">
        <v>1425280000</v>
      </c>
      <c r="AI48" s="687">
        <v>383516024</v>
      </c>
      <c r="AJ48" s="687">
        <v>383516024</v>
      </c>
      <c r="AK48" s="687">
        <v>1041763976</v>
      </c>
      <c r="AL48" s="687">
        <f t="shared" si="20"/>
        <v>1485141.76</v>
      </c>
      <c r="AM48" s="687">
        <f t="shared" si="21"/>
        <v>399623.69700799999</v>
      </c>
      <c r="AN48" s="687">
        <f t="shared" si="22"/>
        <v>399623.69700799999</v>
      </c>
      <c r="AO48" s="687">
        <f t="shared" si="23"/>
        <v>1085518.062992</v>
      </c>
      <c r="AR48" s="729" t="s">
        <v>362</v>
      </c>
      <c r="AS48" s="687">
        <v>130878</v>
      </c>
      <c r="AT48" s="687">
        <f t="shared" si="24"/>
        <v>136.374876</v>
      </c>
      <c r="AV48" s="729" t="s">
        <v>542</v>
      </c>
      <c r="AW48" s="687">
        <v>1425280000</v>
      </c>
      <c r="AX48" s="687">
        <v>384576330</v>
      </c>
      <c r="AY48" s="687">
        <v>384576330</v>
      </c>
      <c r="AZ48" s="687">
        <v>1040703670</v>
      </c>
      <c r="BA48" s="730">
        <f t="shared" si="25"/>
        <v>1485141.76</v>
      </c>
      <c r="BB48" s="730">
        <f t="shared" si="26"/>
        <v>400728.53586</v>
      </c>
      <c r="BC48" s="730">
        <f t="shared" si="27"/>
        <v>400728.53586</v>
      </c>
      <c r="BD48" s="730">
        <f t="shared" si="28"/>
        <v>1084413.2241400001</v>
      </c>
      <c r="BG48" s="754" t="s">
        <v>554</v>
      </c>
      <c r="BH48" s="687">
        <v>1024320</v>
      </c>
      <c r="BI48" s="755">
        <f t="shared" si="29"/>
        <v>1067.3414399999999</v>
      </c>
      <c r="BK48" s="754" t="s">
        <v>542</v>
      </c>
      <c r="BL48" s="687">
        <v>1425280000</v>
      </c>
      <c r="BM48" s="687">
        <v>384576330</v>
      </c>
      <c r="BN48" s="687">
        <v>384576330</v>
      </c>
      <c r="BO48" s="687">
        <v>1040703670</v>
      </c>
      <c r="BP48" s="687">
        <f t="shared" si="30"/>
        <v>1485141.76</v>
      </c>
      <c r="BQ48" s="687">
        <f t="shared" si="31"/>
        <v>400728.53586</v>
      </c>
      <c r="BR48" s="687">
        <f t="shared" si="32"/>
        <v>400728.53586</v>
      </c>
      <c r="BS48" s="755">
        <f t="shared" si="33"/>
        <v>1084413.2241400001</v>
      </c>
      <c r="BV48" s="729" t="s">
        <v>582</v>
      </c>
      <c r="BW48" s="687">
        <v>13127263</v>
      </c>
      <c r="BX48" s="730">
        <f t="shared" si="34"/>
        <v>13678.608046000001</v>
      </c>
      <c r="BZ48" s="729" t="s">
        <v>542</v>
      </c>
      <c r="CA48" s="687">
        <v>1425280000</v>
      </c>
      <c r="CB48" s="687">
        <v>770351352</v>
      </c>
      <c r="CC48" s="687">
        <v>770351352</v>
      </c>
      <c r="CD48" s="687">
        <v>654928648</v>
      </c>
      <c r="CE48" s="687">
        <f t="shared" si="35"/>
        <v>1485141.76</v>
      </c>
      <c r="CF48" s="687">
        <f t="shared" si="36"/>
        <v>802706.10878400004</v>
      </c>
      <c r="CG48" s="687">
        <f t="shared" si="37"/>
        <v>802706.10878400004</v>
      </c>
      <c r="CH48" s="687">
        <f t="shared" si="38"/>
        <v>682435.65121600009</v>
      </c>
      <c r="CK48" s="731" t="s">
        <v>582</v>
      </c>
      <c r="CL48" s="730">
        <v>10368822</v>
      </c>
      <c r="CM48" s="730">
        <f t="shared" si="39"/>
        <v>10804.312524000001</v>
      </c>
      <c r="CP48" s="731" t="s">
        <v>542</v>
      </c>
      <c r="CQ48" s="730">
        <v>1425280000</v>
      </c>
      <c r="CR48" s="730">
        <v>770788307</v>
      </c>
      <c r="CS48" s="730">
        <v>770788307</v>
      </c>
      <c r="CT48" s="730">
        <v>654491693</v>
      </c>
      <c r="CU48" s="730">
        <f t="shared" si="64"/>
        <v>1485141.76</v>
      </c>
      <c r="CV48" s="730">
        <f t="shared" si="65"/>
        <v>803161.41589400009</v>
      </c>
      <c r="CW48" s="730">
        <f t="shared" si="66"/>
        <v>803161.41589400009</v>
      </c>
      <c r="CX48" s="730">
        <f t="shared" si="67"/>
        <v>681980.34410600003</v>
      </c>
      <c r="CZ48" s="731" t="s">
        <v>582</v>
      </c>
      <c r="DA48" s="730">
        <v>13927332</v>
      </c>
      <c r="DB48" s="730">
        <f t="shared" si="40"/>
        <v>14512.279944000002</v>
      </c>
      <c r="DE48" s="729" t="s">
        <v>542</v>
      </c>
      <c r="DF48" s="687">
        <v>1425280000</v>
      </c>
      <c r="DG48" s="687">
        <v>770774777</v>
      </c>
      <c r="DH48" s="687">
        <v>770774777</v>
      </c>
      <c r="DI48" s="687">
        <v>654505223</v>
      </c>
      <c r="DJ48" s="730">
        <f t="shared" si="41"/>
        <v>1485141.76</v>
      </c>
      <c r="DK48" s="730">
        <f t="shared" si="42"/>
        <v>803147.31763399998</v>
      </c>
      <c r="DL48" s="730">
        <f t="shared" si="43"/>
        <v>803147.31763399998</v>
      </c>
      <c r="DM48" s="730">
        <f t="shared" si="44"/>
        <v>681994.44236600003</v>
      </c>
      <c r="DP48" s="729" t="s">
        <v>582</v>
      </c>
      <c r="DQ48" s="687">
        <v>6787438</v>
      </c>
      <c r="DR48" s="730">
        <f t="shared" si="45"/>
        <v>6787.4380000000001</v>
      </c>
      <c r="DT48" s="729" t="s">
        <v>542</v>
      </c>
      <c r="DU48" s="687">
        <v>1425280000</v>
      </c>
      <c r="DV48" s="687">
        <v>1157122216</v>
      </c>
      <c r="DW48" s="687">
        <v>1157122216</v>
      </c>
      <c r="DX48" s="687">
        <v>268157784</v>
      </c>
      <c r="DY48" s="730">
        <f t="shared" si="46"/>
        <v>1425280</v>
      </c>
      <c r="DZ48" s="730">
        <f t="shared" si="47"/>
        <v>1157122.216</v>
      </c>
      <c r="EA48" s="730">
        <f t="shared" si="48"/>
        <v>1157122.216</v>
      </c>
      <c r="EB48" s="730">
        <f t="shared" si="49"/>
        <v>268157.78399999999</v>
      </c>
      <c r="EE48" s="731" t="s">
        <v>361</v>
      </c>
      <c r="EF48" s="730">
        <v>321459987</v>
      </c>
      <c r="EG48" s="734">
        <f t="shared" si="50"/>
        <v>321459.98700000002</v>
      </c>
      <c r="EI48" s="731" t="s">
        <v>541</v>
      </c>
      <c r="EJ48" s="730">
        <v>536420000</v>
      </c>
      <c r="EK48" s="730">
        <v>466477941</v>
      </c>
      <c r="EL48" s="730">
        <v>466477941</v>
      </c>
      <c r="EM48" s="734">
        <f t="shared" si="51"/>
        <v>536420</v>
      </c>
      <c r="EN48" s="734">
        <f t="shared" si="52"/>
        <v>466477.94099999999</v>
      </c>
      <c r="EO48" s="734">
        <f t="shared" si="53"/>
        <v>466477.94099999999</v>
      </c>
      <c r="ER48" s="729" t="s">
        <v>364</v>
      </c>
      <c r="ES48" s="687">
        <v>14626727</v>
      </c>
      <c r="ET48" s="730">
        <f t="shared" si="54"/>
        <v>14626.727000000001</v>
      </c>
      <c r="EW48" s="729" t="s">
        <v>541</v>
      </c>
      <c r="EX48" s="687">
        <v>0</v>
      </c>
      <c r="EY48" s="687">
        <v>536420000</v>
      </c>
      <c r="EZ48" s="687">
        <v>506676525</v>
      </c>
      <c r="FA48" s="687">
        <v>506676525</v>
      </c>
      <c r="FB48" s="687">
        <v>29743475</v>
      </c>
      <c r="FC48" s="730">
        <f t="shared" si="55"/>
        <v>0</v>
      </c>
      <c r="FD48" s="730">
        <f t="shared" si="56"/>
        <v>536420</v>
      </c>
      <c r="FE48" s="730">
        <f t="shared" si="57"/>
        <v>506676.52500000002</v>
      </c>
      <c r="FF48" s="730">
        <f t="shared" si="58"/>
        <v>506676.52500000002</v>
      </c>
      <c r="FG48" s="730">
        <f t="shared" si="59"/>
        <v>29743.474999999999</v>
      </c>
      <c r="FJ48" s="731" t="s">
        <v>354</v>
      </c>
      <c r="FK48" s="730">
        <v>45691453</v>
      </c>
      <c r="FL48" s="734">
        <f t="shared" si="60"/>
        <v>45691.453000000001</v>
      </c>
      <c r="FN48" s="735" t="s">
        <v>543</v>
      </c>
      <c r="FO48" s="736">
        <v>795588663</v>
      </c>
      <c r="FP48" s="736">
        <v>795263258</v>
      </c>
      <c r="FQ48" s="736">
        <v>795263258</v>
      </c>
      <c r="FR48" s="736">
        <f t="shared" si="61"/>
        <v>795588.66299999994</v>
      </c>
      <c r="FS48" s="736">
        <f t="shared" si="62"/>
        <v>795263.25800000003</v>
      </c>
      <c r="FT48" s="736">
        <f t="shared" si="63"/>
        <v>795263.25800000003</v>
      </c>
    </row>
    <row r="49" spans="1:176" ht="15" customHeight="1" x14ac:dyDescent="0.25">
      <c r="A49" s="728" t="s">
        <v>881</v>
      </c>
      <c r="B49" s="729" t="s">
        <v>353</v>
      </c>
      <c r="C49" s="687">
        <v>0</v>
      </c>
      <c r="D49" s="687">
        <v>673260000</v>
      </c>
      <c r="E49" s="687">
        <v>0</v>
      </c>
      <c r="F49" s="687">
        <v>673260000</v>
      </c>
      <c r="G49" s="687">
        <v>0</v>
      </c>
      <c r="H49" s="730">
        <f t="shared" si="10"/>
        <v>701536.92</v>
      </c>
      <c r="I49" s="730">
        <f t="shared" si="11"/>
        <v>0</v>
      </c>
      <c r="J49" s="730">
        <f t="shared" si="12"/>
        <v>701536.92</v>
      </c>
      <c r="K49" s="730">
        <f t="shared" si="13"/>
        <v>0</v>
      </c>
      <c r="O49" s="729" t="s">
        <v>746</v>
      </c>
      <c r="P49" s="687">
        <v>314160</v>
      </c>
      <c r="Q49" s="730">
        <f t="shared" si="14"/>
        <v>327.35472000000004</v>
      </c>
      <c r="S49" s="729" t="s">
        <v>353</v>
      </c>
      <c r="T49" s="687">
        <v>673260000</v>
      </c>
      <c r="U49" s="687">
        <v>0</v>
      </c>
      <c r="V49" s="687">
        <v>0</v>
      </c>
      <c r="W49" s="687">
        <v>673260000</v>
      </c>
      <c r="X49" s="730">
        <f t="shared" si="15"/>
        <v>701536.92</v>
      </c>
      <c r="Y49" s="730">
        <f t="shared" si="16"/>
        <v>0</v>
      </c>
      <c r="Z49" s="730">
        <f t="shared" si="17"/>
        <v>0</v>
      </c>
      <c r="AA49" s="730">
        <f t="shared" si="18"/>
        <v>701536.92</v>
      </c>
      <c r="AC49" s="729" t="s">
        <v>358</v>
      </c>
      <c r="AD49" s="687">
        <v>98346594</v>
      </c>
      <c r="AE49" s="730">
        <f t="shared" si="19"/>
        <v>102477.15094799999</v>
      </c>
      <c r="AG49" s="729" t="s">
        <v>543</v>
      </c>
      <c r="AH49" s="687">
        <v>752020000</v>
      </c>
      <c r="AI49" s="687">
        <v>194514333</v>
      </c>
      <c r="AJ49" s="687">
        <v>194514333</v>
      </c>
      <c r="AK49" s="687">
        <v>557505667</v>
      </c>
      <c r="AL49" s="687">
        <f t="shared" si="20"/>
        <v>783604.84000000008</v>
      </c>
      <c r="AM49" s="687">
        <f t="shared" si="21"/>
        <v>202683.93498600001</v>
      </c>
      <c r="AN49" s="687">
        <f t="shared" si="22"/>
        <v>202683.93498600001</v>
      </c>
      <c r="AO49" s="687">
        <f t="shared" si="23"/>
        <v>580920.90501400002</v>
      </c>
      <c r="AR49" s="729" t="s">
        <v>549</v>
      </c>
      <c r="AS49" s="687">
        <v>130878</v>
      </c>
      <c r="AT49" s="687">
        <f t="shared" si="24"/>
        <v>136.374876</v>
      </c>
      <c r="AV49" s="729" t="s">
        <v>543</v>
      </c>
      <c r="AW49" s="687">
        <v>752020000</v>
      </c>
      <c r="AX49" s="687">
        <v>195057166</v>
      </c>
      <c r="AY49" s="687">
        <v>195057166</v>
      </c>
      <c r="AZ49" s="687">
        <v>556962834</v>
      </c>
      <c r="BA49" s="730">
        <f t="shared" si="25"/>
        <v>783604.84000000008</v>
      </c>
      <c r="BB49" s="730">
        <f t="shared" si="26"/>
        <v>203249.566972</v>
      </c>
      <c r="BC49" s="730">
        <f t="shared" si="27"/>
        <v>203249.566972</v>
      </c>
      <c r="BD49" s="730">
        <f t="shared" si="28"/>
        <v>580355.27302800003</v>
      </c>
      <c r="BG49" s="754" t="s">
        <v>555</v>
      </c>
      <c r="BH49" s="687">
        <v>268583</v>
      </c>
      <c r="BI49" s="755">
        <f t="shared" si="29"/>
        <v>279.86348600000002</v>
      </c>
      <c r="BK49" s="754" t="s">
        <v>543</v>
      </c>
      <c r="BL49" s="687">
        <v>752020000</v>
      </c>
      <c r="BM49" s="687">
        <v>195057166</v>
      </c>
      <c r="BN49" s="687">
        <v>195057166</v>
      </c>
      <c r="BO49" s="687">
        <v>556962834</v>
      </c>
      <c r="BP49" s="687">
        <f t="shared" si="30"/>
        <v>783604.84000000008</v>
      </c>
      <c r="BQ49" s="687">
        <f t="shared" si="31"/>
        <v>203249.566972</v>
      </c>
      <c r="BR49" s="687">
        <f t="shared" si="32"/>
        <v>203249.566972</v>
      </c>
      <c r="BS49" s="755">
        <f t="shared" si="33"/>
        <v>580355.27302800003</v>
      </c>
      <c r="BV49" s="729" t="s">
        <v>355</v>
      </c>
      <c r="BW49" s="687">
        <v>9599696</v>
      </c>
      <c r="BX49" s="730">
        <f t="shared" si="34"/>
        <v>10002.883232</v>
      </c>
      <c r="BZ49" s="729" t="s">
        <v>543</v>
      </c>
      <c r="CA49" s="687">
        <v>752020000</v>
      </c>
      <c r="CB49" s="687">
        <v>393360514</v>
      </c>
      <c r="CC49" s="687">
        <v>393360514</v>
      </c>
      <c r="CD49" s="687">
        <v>358659486</v>
      </c>
      <c r="CE49" s="687">
        <f t="shared" si="35"/>
        <v>783604.84000000008</v>
      </c>
      <c r="CF49" s="687">
        <f t="shared" si="36"/>
        <v>409881.65558800002</v>
      </c>
      <c r="CG49" s="687">
        <f t="shared" si="37"/>
        <v>409881.65558800002</v>
      </c>
      <c r="CH49" s="687">
        <f t="shared" si="38"/>
        <v>373723.184412</v>
      </c>
      <c r="CK49" s="731" t="s">
        <v>355</v>
      </c>
      <c r="CL49" s="730">
        <v>-1935</v>
      </c>
      <c r="CM49" s="730">
        <f t="shared" si="39"/>
        <v>-2.01627</v>
      </c>
      <c r="CP49" s="731" t="s">
        <v>543</v>
      </c>
      <c r="CQ49" s="730">
        <v>752020000</v>
      </c>
      <c r="CR49" s="730">
        <v>393573340</v>
      </c>
      <c r="CS49" s="730">
        <v>393573340</v>
      </c>
      <c r="CT49" s="730">
        <v>358446660</v>
      </c>
      <c r="CU49" s="730">
        <f t="shared" si="64"/>
        <v>783604.84000000008</v>
      </c>
      <c r="CV49" s="730">
        <f t="shared" si="65"/>
        <v>410103.42028000002</v>
      </c>
      <c r="CW49" s="730">
        <f t="shared" si="66"/>
        <v>410103.42028000002</v>
      </c>
      <c r="CX49" s="730">
        <f t="shared" si="67"/>
        <v>373501.41972000001</v>
      </c>
      <c r="CZ49" s="731" t="s">
        <v>355</v>
      </c>
      <c r="DA49" s="730">
        <v>-6765</v>
      </c>
      <c r="DB49" s="730">
        <f t="shared" si="40"/>
        <v>-7.0491299999999999</v>
      </c>
      <c r="DE49" s="729" t="s">
        <v>543</v>
      </c>
      <c r="DF49" s="687">
        <v>752020000</v>
      </c>
      <c r="DG49" s="687">
        <v>393566575</v>
      </c>
      <c r="DH49" s="687">
        <v>393566575</v>
      </c>
      <c r="DI49" s="687">
        <v>358453425</v>
      </c>
      <c r="DJ49" s="730">
        <f t="shared" si="41"/>
        <v>783604.84000000008</v>
      </c>
      <c r="DK49" s="730">
        <f t="shared" si="42"/>
        <v>410096.37115000002</v>
      </c>
      <c r="DL49" s="730">
        <f t="shared" si="43"/>
        <v>410096.37115000002</v>
      </c>
      <c r="DM49" s="730">
        <f t="shared" si="44"/>
        <v>373508.46885</v>
      </c>
      <c r="DP49" s="729" t="s">
        <v>355</v>
      </c>
      <c r="DQ49" s="687">
        <v>22760013</v>
      </c>
      <c r="DR49" s="730">
        <f t="shared" si="45"/>
        <v>22760.012999999999</v>
      </c>
      <c r="DT49" s="729" t="s">
        <v>543</v>
      </c>
      <c r="DU49" s="687">
        <v>752020000</v>
      </c>
      <c r="DV49" s="687">
        <v>593857451</v>
      </c>
      <c r="DW49" s="687">
        <v>593857451</v>
      </c>
      <c r="DX49" s="687">
        <v>158162549</v>
      </c>
      <c r="DY49" s="730">
        <f t="shared" si="46"/>
        <v>752020</v>
      </c>
      <c r="DZ49" s="730">
        <f t="shared" si="47"/>
        <v>593857.451</v>
      </c>
      <c r="EA49" s="730">
        <f t="shared" si="48"/>
        <v>593857.451</v>
      </c>
      <c r="EB49" s="730">
        <f t="shared" si="49"/>
        <v>158162.549</v>
      </c>
      <c r="EE49" s="731" t="s">
        <v>362</v>
      </c>
      <c r="EF49" s="730">
        <v>7548341</v>
      </c>
      <c r="EG49" s="734">
        <f t="shared" si="50"/>
        <v>7548.3410000000003</v>
      </c>
      <c r="EI49" s="731" t="s">
        <v>542</v>
      </c>
      <c r="EJ49" s="730">
        <v>1425280000</v>
      </c>
      <c r="EK49" s="730">
        <v>1157231441</v>
      </c>
      <c r="EL49" s="730">
        <v>1157231441</v>
      </c>
      <c r="EM49" s="734">
        <f t="shared" si="51"/>
        <v>1425280</v>
      </c>
      <c r="EN49" s="734">
        <f t="shared" si="52"/>
        <v>1157231.4410000001</v>
      </c>
      <c r="EO49" s="734">
        <f t="shared" si="53"/>
        <v>1157231.4410000001</v>
      </c>
      <c r="ER49" s="729" t="s">
        <v>365</v>
      </c>
      <c r="ES49" s="687">
        <v>7874474</v>
      </c>
      <c r="ET49" s="730">
        <f t="shared" si="54"/>
        <v>7874.4740000000002</v>
      </c>
      <c r="EW49" s="729" t="s">
        <v>542</v>
      </c>
      <c r="EX49" s="687">
        <v>0</v>
      </c>
      <c r="EY49" s="687">
        <v>1425280000</v>
      </c>
      <c r="EZ49" s="687">
        <v>1157231441</v>
      </c>
      <c r="FA49" s="687">
        <v>1157231441</v>
      </c>
      <c r="FB49" s="687">
        <v>268048559</v>
      </c>
      <c r="FC49" s="730">
        <f t="shared" si="55"/>
        <v>0</v>
      </c>
      <c r="FD49" s="730">
        <f t="shared" si="56"/>
        <v>1425280</v>
      </c>
      <c r="FE49" s="730">
        <f t="shared" si="57"/>
        <v>1157231.4410000001</v>
      </c>
      <c r="FF49" s="730">
        <f t="shared" si="58"/>
        <v>1157231.4410000001</v>
      </c>
      <c r="FG49" s="730">
        <f t="shared" si="59"/>
        <v>268048.55900000001</v>
      </c>
      <c r="FJ49" s="731" t="s">
        <v>544</v>
      </c>
      <c r="FK49" s="730">
        <v>20243231</v>
      </c>
      <c r="FL49" s="734">
        <f t="shared" si="60"/>
        <v>20243.231</v>
      </c>
      <c r="FN49" s="735" t="s">
        <v>353</v>
      </c>
      <c r="FO49" s="736">
        <v>749155192</v>
      </c>
      <c r="FP49" s="736">
        <v>749097414</v>
      </c>
      <c r="FQ49" s="736">
        <v>749097414</v>
      </c>
      <c r="FR49" s="736">
        <f t="shared" si="61"/>
        <v>749155.19200000004</v>
      </c>
      <c r="FS49" s="736">
        <f t="shared" si="62"/>
        <v>749097.41399999999</v>
      </c>
      <c r="FT49" s="736">
        <f t="shared" si="63"/>
        <v>749097.41399999999</v>
      </c>
    </row>
    <row r="50" spans="1:176" ht="15" customHeight="1" x14ac:dyDescent="0.25">
      <c r="A50" s="728" t="s">
        <v>880</v>
      </c>
      <c r="B50" s="729" t="s">
        <v>354</v>
      </c>
      <c r="C50" s="687">
        <v>0</v>
      </c>
      <c r="D50" s="687">
        <v>333870506</v>
      </c>
      <c r="E50" s="687">
        <v>27407098</v>
      </c>
      <c r="F50" s="687">
        <v>306463408</v>
      </c>
      <c r="G50" s="687">
        <v>27407098</v>
      </c>
      <c r="H50" s="730">
        <f t="shared" si="10"/>
        <v>347893.06725199998</v>
      </c>
      <c r="I50" s="730">
        <f t="shared" si="11"/>
        <v>28558.196116000003</v>
      </c>
      <c r="J50" s="730">
        <f t="shared" si="12"/>
        <v>319334.87113600003</v>
      </c>
      <c r="K50" s="730">
        <f t="shared" si="13"/>
        <v>28558.196116000003</v>
      </c>
      <c r="O50" s="729" t="s">
        <v>552</v>
      </c>
      <c r="P50" s="687">
        <v>78717</v>
      </c>
      <c r="Q50" s="730">
        <f t="shared" si="14"/>
        <v>82.023114000000007</v>
      </c>
      <c r="S50" s="729" t="s">
        <v>354</v>
      </c>
      <c r="T50" s="687">
        <v>330370500</v>
      </c>
      <c r="U50" s="687">
        <v>57787908</v>
      </c>
      <c r="V50" s="687">
        <v>57787908</v>
      </c>
      <c r="W50" s="687">
        <v>272582592</v>
      </c>
      <c r="X50" s="730">
        <f t="shared" si="15"/>
        <v>344246.06099999999</v>
      </c>
      <c r="Y50" s="730">
        <f t="shared" si="16"/>
        <v>60215.000136000002</v>
      </c>
      <c r="Z50" s="730">
        <f t="shared" si="17"/>
        <v>60215.000136000002</v>
      </c>
      <c r="AA50" s="730">
        <f t="shared" si="18"/>
        <v>284031.060864</v>
      </c>
      <c r="AC50" s="729" t="s">
        <v>546</v>
      </c>
      <c r="AD50" s="687">
        <v>82890031</v>
      </c>
      <c r="AE50" s="730">
        <f t="shared" si="19"/>
        <v>86371.412302000012</v>
      </c>
      <c r="AG50" s="729" t="s">
        <v>353</v>
      </c>
      <c r="AH50" s="687">
        <v>673260000</v>
      </c>
      <c r="AI50" s="687">
        <v>189001691</v>
      </c>
      <c r="AJ50" s="687">
        <v>189001691</v>
      </c>
      <c r="AK50" s="687">
        <v>484258309</v>
      </c>
      <c r="AL50" s="687">
        <f t="shared" si="20"/>
        <v>701536.92</v>
      </c>
      <c r="AM50" s="687">
        <f t="shared" si="21"/>
        <v>196939.76202200001</v>
      </c>
      <c r="AN50" s="687">
        <f t="shared" si="22"/>
        <v>196939.76202200001</v>
      </c>
      <c r="AO50" s="687">
        <f t="shared" si="23"/>
        <v>504597.157978</v>
      </c>
      <c r="AR50" s="729" t="s">
        <v>364</v>
      </c>
      <c r="AS50" s="687">
        <v>2777341</v>
      </c>
      <c r="AT50" s="687">
        <f t="shared" si="24"/>
        <v>2893.9893219999999</v>
      </c>
      <c r="AV50" s="729" t="s">
        <v>353</v>
      </c>
      <c r="AW50" s="687">
        <v>673260000</v>
      </c>
      <c r="AX50" s="687">
        <v>189519164</v>
      </c>
      <c r="AY50" s="687">
        <v>189519164</v>
      </c>
      <c r="AZ50" s="687">
        <v>483740836</v>
      </c>
      <c r="BA50" s="730">
        <f t="shared" si="25"/>
        <v>701536.92</v>
      </c>
      <c r="BB50" s="730">
        <f t="shared" si="26"/>
        <v>197478.968888</v>
      </c>
      <c r="BC50" s="730">
        <f t="shared" si="27"/>
        <v>197478.968888</v>
      </c>
      <c r="BD50" s="730">
        <f t="shared" si="28"/>
        <v>504057.95111200004</v>
      </c>
      <c r="BG50" s="754" t="s">
        <v>370</v>
      </c>
      <c r="BH50" s="687">
        <v>6674313</v>
      </c>
      <c r="BI50" s="755">
        <f t="shared" si="29"/>
        <v>6954.6341460000003</v>
      </c>
      <c r="BK50" s="754" t="s">
        <v>353</v>
      </c>
      <c r="BL50" s="687">
        <v>673260000</v>
      </c>
      <c r="BM50" s="687">
        <v>189519164</v>
      </c>
      <c r="BN50" s="687">
        <v>189519164</v>
      </c>
      <c r="BO50" s="687">
        <v>483740836</v>
      </c>
      <c r="BP50" s="687">
        <f t="shared" si="30"/>
        <v>701536.92</v>
      </c>
      <c r="BQ50" s="687">
        <f t="shared" si="31"/>
        <v>197478.968888</v>
      </c>
      <c r="BR50" s="687">
        <f t="shared" si="32"/>
        <v>197478.968888</v>
      </c>
      <c r="BS50" s="755">
        <f t="shared" si="33"/>
        <v>504057.95111200004</v>
      </c>
      <c r="BV50" s="729" t="s">
        <v>458</v>
      </c>
      <c r="BW50" s="687">
        <v>9599696</v>
      </c>
      <c r="BX50" s="730">
        <f t="shared" si="34"/>
        <v>10002.883232</v>
      </c>
      <c r="BZ50" s="729" t="s">
        <v>353</v>
      </c>
      <c r="CA50" s="687">
        <v>673260000</v>
      </c>
      <c r="CB50" s="687">
        <v>376990838</v>
      </c>
      <c r="CC50" s="687">
        <v>376990838</v>
      </c>
      <c r="CD50" s="687">
        <v>296269162</v>
      </c>
      <c r="CE50" s="687">
        <f t="shared" si="35"/>
        <v>701536.92</v>
      </c>
      <c r="CF50" s="687">
        <f t="shared" si="36"/>
        <v>392824.45319600002</v>
      </c>
      <c r="CG50" s="687">
        <f t="shared" si="37"/>
        <v>392824.45319600002</v>
      </c>
      <c r="CH50" s="687">
        <f t="shared" si="38"/>
        <v>308712.46680400003</v>
      </c>
      <c r="CK50" s="731" t="s">
        <v>458</v>
      </c>
      <c r="CL50" s="730">
        <v>-1935</v>
      </c>
      <c r="CM50" s="730">
        <f t="shared" si="39"/>
        <v>-2.01627</v>
      </c>
      <c r="CP50" s="731" t="s">
        <v>353</v>
      </c>
      <c r="CQ50" s="730">
        <v>673260000</v>
      </c>
      <c r="CR50" s="730">
        <v>377214967</v>
      </c>
      <c r="CS50" s="730">
        <v>377214967</v>
      </c>
      <c r="CT50" s="730">
        <v>296045033</v>
      </c>
      <c r="CU50" s="730">
        <f t="shared" si="64"/>
        <v>701536.92</v>
      </c>
      <c r="CV50" s="730">
        <f t="shared" si="65"/>
        <v>393057.99561400001</v>
      </c>
      <c r="CW50" s="730">
        <f t="shared" si="66"/>
        <v>393057.99561400001</v>
      </c>
      <c r="CX50" s="730">
        <f t="shared" si="67"/>
        <v>308478.92438600003</v>
      </c>
      <c r="CZ50" s="731" t="s">
        <v>458</v>
      </c>
      <c r="DA50" s="730">
        <v>-6765</v>
      </c>
      <c r="DB50" s="730">
        <f t="shared" si="40"/>
        <v>-7.0491299999999999</v>
      </c>
      <c r="DE50" s="729" t="s">
        <v>353</v>
      </c>
      <c r="DF50" s="687">
        <v>673260000</v>
      </c>
      <c r="DG50" s="687">
        <v>377208202</v>
      </c>
      <c r="DH50" s="687">
        <v>377208202</v>
      </c>
      <c r="DI50" s="687">
        <v>296051798</v>
      </c>
      <c r="DJ50" s="730">
        <f t="shared" si="41"/>
        <v>701536.92</v>
      </c>
      <c r="DK50" s="730">
        <f t="shared" si="42"/>
        <v>393050.94648400001</v>
      </c>
      <c r="DL50" s="730">
        <f t="shared" si="43"/>
        <v>393050.94648400001</v>
      </c>
      <c r="DM50" s="730">
        <f t="shared" si="44"/>
        <v>308485.97351600003</v>
      </c>
      <c r="DP50" s="729" t="s">
        <v>356</v>
      </c>
      <c r="DQ50" s="687">
        <v>22760013</v>
      </c>
      <c r="DR50" s="730">
        <f t="shared" si="45"/>
        <v>22760.012999999999</v>
      </c>
      <c r="DT50" s="729" t="s">
        <v>353</v>
      </c>
      <c r="DU50" s="687">
        <v>673260000</v>
      </c>
      <c r="DV50" s="687">
        <v>563264765</v>
      </c>
      <c r="DW50" s="687">
        <v>563264765</v>
      </c>
      <c r="DX50" s="687">
        <v>109995235</v>
      </c>
      <c r="DY50" s="730">
        <f t="shared" si="46"/>
        <v>673260</v>
      </c>
      <c r="DZ50" s="730">
        <f t="shared" si="47"/>
        <v>563264.76500000001</v>
      </c>
      <c r="EA50" s="730">
        <f t="shared" si="48"/>
        <v>563264.76500000001</v>
      </c>
      <c r="EB50" s="730">
        <f t="shared" si="49"/>
        <v>109995.235</v>
      </c>
      <c r="EE50" s="731" t="s">
        <v>549</v>
      </c>
      <c r="EF50" s="730">
        <v>7548341</v>
      </c>
      <c r="EG50" s="734">
        <f t="shared" si="50"/>
        <v>7548.3410000000003</v>
      </c>
      <c r="EI50" s="731" t="s">
        <v>543</v>
      </c>
      <c r="EJ50" s="730">
        <v>752020000</v>
      </c>
      <c r="EK50" s="730">
        <v>593945138</v>
      </c>
      <c r="EL50" s="730">
        <v>593945138</v>
      </c>
      <c r="EM50" s="734">
        <f t="shared" si="51"/>
        <v>752020</v>
      </c>
      <c r="EN50" s="734">
        <f t="shared" si="52"/>
        <v>593945.13800000004</v>
      </c>
      <c r="EO50" s="734">
        <f t="shared" si="53"/>
        <v>593945.13800000004</v>
      </c>
      <c r="ER50" s="729" t="s">
        <v>551</v>
      </c>
      <c r="ES50" s="687">
        <v>384982</v>
      </c>
      <c r="ET50" s="730">
        <f t="shared" si="54"/>
        <v>384.98200000000003</v>
      </c>
      <c r="EW50" s="729" t="s">
        <v>543</v>
      </c>
      <c r="EX50" s="687">
        <v>0</v>
      </c>
      <c r="EY50" s="687">
        <v>752020000</v>
      </c>
      <c r="EZ50" s="687">
        <v>593945138</v>
      </c>
      <c r="FA50" s="687">
        <v>593945138</v>
      </c>
      <c r="FB50" s="687">
        <v>158074862</v>
      </c>
      <c r="FC50" s="730">
        <f t="shared" si="55"/>
        <v>0</v>
      </c>
      <c r="FD50" s="730">
        <f t="shared" si="56"/>
        <v>752020</v>
      </c>
      <c r="FE50" s="730">
        <f t="shared" si="57"/>
        <v>593945.13800000004</v>
      </c>
      <c r="FF50" s="730">
        <f t="shared" si="58"/>
        <v>593945.13800000004</v>
      </c>
      <c r="FG50" s="730">
        <f t="shared" si="59"/>
        <v>158074.86199999999</v>
      </c>
      <c r="FJ50" s="731" t="s">
        <v>545</v>
      </c>
      <c r="FK50" s="730">
        <v>15666178</v>
      </c>
      <c r="FL50" s="734">
        <f t="shared" si="60"/>
        <v>15666.178</v>
      </c>
      <c r="FN50" s="735" t="s">
        <v>940</v>
      </c>
      <c r="FO50" s="736">
        <v>1734</v>
      </c>
      <c r="FP50" s="736">
        <v>1734</v>
      </c>
      <c r="FQ50" s="736">
        <v>1734</v>
      </c>
      <c r="FR50" s="736">
        <f t="shared" si="61"/>
        <v>1.734</v>
      </c>
      <c r="FS50" s="736">
        <f t="shared" si="62"/>
        <v>1.734</v>
      </c>
      <c r="FT50" s="736">
        <f t="shared" si="63"/>
        <v>1.734</v>
      </c>
    </row>
    <row r="51" spans="1:176" ht="15" customHeight="1" x14ac:dyDescent="0.25">
      <c r="A51" s="728" t="s">
        <v>881</v>
      </c>
      <c r="B51" s="729" t="s">
        <v>544</v>
      </c>
      <c r="C51" s="687">
        <v>0</v>
      </c>
      <c r="D51" s="687">
        <v>203143500</v>
      </c>
      <c r="E51" s="687">
        <v>18449201</v>
      </c>
      <c r="F51" s="687">
        <v>184694299</v>
      </c>
      <c r="G51" s="687">
        <v>18449201</v>
      </c>
      <c r="H51" s="730">
        <f t="shared" si="10"/>
        <v>211675.527</v>
      </c>
      <c r="I51" s="730">
        <f t="shared" si="11"/>
        <v>19224.067442000003</v>
      </c>
      <c r="J51" s="730">
        <f t="shared" si="12"/>
        <v>192451.459558</v>
      </c>
      <c r="K51" s="730">
        <f t="shared" si="13"/>
        <v>19224.067442000003</v>
      </c>
      <c r="O51" s="729" t="s">
        <v>368</v>
      </c>
      <c r="P51" s="687">
        <v>3416948</v>
      </c>
      <c r="Q51" s="730">
        <f t="shared" si="14"/>
        <v>3560.459816</v>
      </c>
      <c r="S51" s="729" t="s">
        <v>544</v>
      </c>
      <c r="T51" s="687">
        <v>203143500</v>
      </c>
      <c r="U51" s="687">
        <v>36898402</v>
      </c>
      <c r="V51" s="687">
        <v>36898402</v>
      </c>
      <c r="W51" s="687">
        <v>166245098</v>
      </c>
      <c r="X51" s="730">
        <f t="shared" si="15"/>
        <v>211675.527</v>
      </c>
      <c r="Y51" s="730">
        <f t="shared" si="16"/>
        <v>38448.134884000006</v>
      </c>
      <c r="Z51" s="730">
        <f t="shared" si="17"/>
        <v>38448.134884000006</v>
      </c>
      <c r="AA51" s="730">
        <f t="shared" si="18"/>
        <v>173227.392116</v>
      </c>
      <c r="AC51" s="729" t="s">
        <v>547</v>
      </c>
      <c r="AD51" s="687">
        <v>81557429</v>
      </c>
      <c r="AE51" s="730">
        <f t="shared" si="19"/>
        <v>84982.841018000006</v>
      </c>
      <c r="AG51" s="729" t="s">
        <v>354</v>
      </c>
      <c r="AH51" s="687">
        <v>330370500</v>
      </c>
      <c r="AI51" s="687">
        <v>89742751</v>
      </c>
      <c r="AJ51" s="687">
        <v>89742751</v>
      </c>
      <c r="AK51" s="687">
        <v>240627749</v>
      </c>
      <c r="AL51" s="687">
        <f t="shared" si="20"/>
        <v>344246.06099999999</v>
      </c>
      <c r="AM51" s="687">
        <f t="shared" si="21"/>
        <v>93511.946542000005</v>
      </c>
      <c r="AN51" s="687">
        <f t="shared" si="22"/>
        <v>93511.946542000005</v>
      </c>
      <c r="AO51" s="687">
        <f t="shared" si="23"/>
        <v>250734.11445800003</v>
      </c>
      <c r="AR51" s="729" t="s">
        <v>552</v>
      </c>
      <c r="AS51" s="687">
        <v>133280</v>
      </c>
      <c r="AT51" s="687">
        <f t="shared" si="24"/>
        <v>138.87775999999999</v>
      </c>
      <c r="AV51" s="729" t="s">
        <v>354</v>
      </c>
      <c r="AW51" s="687">
        <v>330670500</v>
      </c>
      <c r="AX51" s="687">
        <v>127146285</v>
      </c>
      <c r="AY51" s="687">
        <v>127146285</v>
      </c>
      <c r="AZ51" s="687">
        <v>203524215</v>
      </c>
      <c r="BA51" s="730">
        <f t="shared" si="25"/>
        <v>344558.66100000002</v>
      </c>
      <c r="BB51" s="730">
        <f t="shared" si="26"/>
        <v>132486.42897000001</v>
      </c>
      <c r="BC51" s="730">
        <f t="shared" si="27"/>
        <v>132486.42897000001</v>
      </c>
      <c r="BD51" s="730">
        <f t="shared" si="28"/>
        <v>212072.23203000001</v>
      </c>
      <c r="BG51" s="754" t="s">
        <v>371</v>
      </c>
      <c r="BH51" s="687">
        <v>911000</v>
      </c>
      <c r="BI51" s="755">
        <f t="shared" si="29"/>
        <v>949.26200000000006</v>
      </c>
      <c r="BK51" s="754" t="s">
        <v>354</v>
      </c>
      <c r="BL51" s="687">
        <v>331370500</v>
      </c>
      <c r="BM51" s="687">
        <v>160343446</v>
      </c>
      <c r="BN51" s="687">
        <v>160343446</v>
      </c>
      <c r="BO51" s="687">
        <v>171027054</v>
      </c>
      <c r="BP51" s="687">
        <f t="shared" si="30"/>
        <v>345288.06099999999</v>
      </c>
      <c r="BQ51" s="687">
        <f t="shared" si="31"/>
        <v>167077.87073200001</v>
      </c>
      <c r="BR51" s="687">
        <f t="shared" si="32"/>
        <v>167077.87073200001</v>
      </c>
      <c r="BS51" s="755">
        <f t="shared" si="33"/>
        <v>178210.19026800001</v>
      </c>
      <c r="BV51" s="729" t="s">
        <v>358</v>
      </c>
      <c r="BW51" s="687">
        <v>96343995</v>
      </c>
      <c r="BX51" s="730">
        <f t="shared" si="34"/>
        <v>100390.44279</v>
      </c>
      <c r="BZ51" s="729" t="s">
        <v>354</v>
      </c>
      <c r="CA51" s="687">
        <v>331652234</v>
      </c>
      <c r="CB51" s="687">
        <v>198771500</v>
      </c>
      <c r="CC51" s="687">
        <v>198771500</v>
      </c>
      <c r="CD51" s="687">
        <v>132880734</v>
      </c>
      <c r="CE51" s="687">
        <f t="shared" si="35"/>
        <v>345581.627828</v>
      </c>
      <c r="CF51" s="687">
        <f t="shared" si="36"/>
        <v>207119.90300000002</v>
      </c>
      <c r="CG51" s="687">
        <f t="shared" si="37"/>
        <v>207119.90300000002</v>
      </c>
      <c r="CH51" s="687">
        <f t="shared" si="38"/>
        <v>138461.72482800001</v>
      </c>
      <c r="CK51" s="731" t="s">
        <v>358</v>
      </c>
      <c r="CL51" s="730">
        <v>87484604</v>
      </c>
      <c r="CM51" s="730">
        <f t="shared" si="39"/>
        <v>91158.957368000003</v>
      </c>
      <c r="CP51" s="731" t="s">
        <v>354</v>
      </c>
      <c r="CQ51" s="730">
        <v>374384500</v>
      </c>
      <c r="CR51" s="730">
        <v>233166656</v>
      </c>
      <c r="CS51" s="730">
        <v>233166656</v>
      </c>
      <c r="CT51" s="730">
        <v>141217844</v>
      </c>
      <c r="CU51" s="730">
        <f t="shared" si="64"/>
        <v>390108.64900000003</v>
      </c>
      <c r="CV51" s="730">
        <f t="shared" si="65"/>
        <v>242959.65555199998</v>
      </c>
      <c r="CW51" s="730">
        <f t="shared" si="66"/>
        <v>242959.65555199998</v>
      </c>
      <c r="CX51" s="730">
        <f t="shared" si="67"/>
        <v>147148.99344800002</v>
      </c>
      <c r="CZ51" s="731" t="s">
        <v>358</v>
      </c>
      <c r="DA51" s="730">
        <v>82145582</v>
      </c>
      <c r="DB51" s="730">
        <f t="shared" si="40"/>
        <v>85595.696444000001</v>
      </c>
      <c r="DE51" s="729" t="s">
        <v>354</v>
      </c>
      <c r="DF51" s="687">
        <v>373268500</v>
      </c>
      <c r="DG51" s="687">
        <v>271740028</v>
      </c>
      <c r="DH51" s="687">
        <v>271740028</v>
      </c>
      <c r="DI51" s="687">
        <v>101528472</v>
      </c>
      <c r="DJ51" s="730">
        <f t="shared" si="41"/>
        <v>388945.777</v>
      </c>
      <c r="DK51" s="730">
        <f t="shared" si="42"/>
        <v>283153.109176</v>
      </c>
      <c r="DL51" s="730">
        <f t="shared" si="43"/>
        <v>283153.109176</v>
      </c>
      <c r="DM51" s="730">
        <f t="shared" si="44"/>
        <v>105792.667824</v>
      </c>
      <c r="DP51" s="729" t="s">
        <v>358</v>
      </c>
      <c r="DQ51" s="687">
        <v>81564013</v>
      </c>
      <c r="DR51" s="730">
        <f t="shared" si="45"/>
        <v>81564.013000000006</v>
      </c>
      <c r="DT51" s="729" t="s">
        <v>354</v>
      </c>
      <c r="DU51" s="687">
        <v>372949500</v>
      </c>
      <c r="DV51" s="687">
        <v>303128043</v>
      </c>
      <c r="DW51" s="687">
        <v>303128043</v>
      </c>
      <c r="DX51" s="687">
        <v>69821457</v>
      </c>
      <c r="DY51" s="730">
        <f t="shared" si="46"/>
        <v>372949.5</v>
      </c>
      <c r="DZ51" s="730">
        <f t="shared" si="47"/>
        <v>303128.04300000001</v>
      </c>
      <c r="EA51" s="730">
        <f t="shared" si="48"/>
        <v>303128.04300000001</v>
      </c>
      <c r="EB51" s="730">
        <f t="shared" si="49"/>
        <v>69821.456999999995</v>
      </c>
      <c r="EE51" s="731" t="s">
        <v>364</v>
      </c>
      <c r="EF51" s="730">
        <v>2416373</v>
      </c>
      <c r="EG51" s="734">
        <f t="shared" si="50"/>
        <v>2416.373</v>
      </c>
      <c r="EI51" s="731" t="s">
        <v>353</v>
      </c>
      <c r="EJ51" s="730">
        <v>673260000</v>
      </c>
      <c r="EK51" s="730">
        <v>563286303</v>
      </c>
      <c r="EL51" s="730">
        <v>563286303</v>
      </c>
      <c r="EM51" s="734">
        <f t="shared" si="51"/>
        <v>673260</v>
      </c>
      <c r="EN51" s="734">
        <f t="shared" si="52"/>
        <v>563286.30299999996</v>
      </c>
      <c r="EO51" s="734">
        <f t="shared" si="53"/>
        <v>563286.30299999996</v>
      </c>
      <c r="ER51" s="729" t="s">
        <v>552</v>
      </c>
      <c r="ES51" s="687">
        <v>473763</v>
      </c>
      <c r="ET51" s="730">
        <f t="shared" si="54"/>
        <v>473.76299999999998</v>
      </c>
      <c r="EW51" s="729" t="s">
        <v>353</v>
      </c>
      <c r="EX51" s="687">
        <v>0</v>
      </c>
      <c r="EY51" s="687">
        <v>673260000</v>
      </c>
      <c r="EZ51" s="687">
        <v>563286303</v>
      </c>
      <c r="FA51" s="687">
        <v>563286303</v>
      </c>
      <c r="FB51" s="687">
        <v>109973697</v>
      </c>
      <c r="FC51" s="730">
        <f t="shared" si="55"/>
        <v>0</v>
      </c>
      <c r="FD51" s="730">
        <f t="shared" si="56"/>
        <v>673260</v>
      </c>
      <c r="FE51" s="730">
        <f t="shared" si="57"/>
        <v>563286.30299999996</v>
      </c>
      <c r="FF51" s="730">
        <f t="shared" si="58"/>
        <v>563286.30299999996</v>
      </c>
      <c r="FG51" s="730">
        <f t="shared" si="59"/>
        <v>109973.697</v>
      </c>
      <c r="FJ51" s="731" t="s">
        <v>582</v>
      </c>
      <c r="FK51" s="730">
        <v>9782044</v>
      </c>
      <c r="FL51" s="734">
        <f t="shared" si="60"/>
        <v>9782.0439999999999</v>
      </c>
      <c r="FN51" s="735" t="s">
        <v>354</v>
      </c>
      <c r="FO51" s="736">
        <v>452399516</v>
      </c>
      <c r="FP51" s="736">
        <v>418262137</v>
      </c>
      <c r="FQ51" s="736">
        <v>418262137</v>
      </c>
      <c r="FR51" s="736">
        <f t="shared" si="61"/>
        <v>452399.516</v>
      </c>
      <c r="FS51" s="736">
        <f t="shared" si="62"/>
        <v>418262.13699999999</v>
      </c>
      <c r="FT51" s="736">
        <f t="shared" si="63"/>
        <v>418262.13699999999</v>
      </c>
    </row>
    <row r="52" spans="1:176" ht="15" customHeight="1" x14ac:dyDescent="0.25">
      <c r="A52" s="728" t="s">
        <v>881</v>
      </c>
      <c r="B52" s="729" t="s">
        <v>545</v>
      </c>
      <c r="C52" s="687">
        <v>0</v>
      </c>
      <c r="D52" s="687">
        <v>56034000</v>
      </c>
      <c r="E52" s="687">
        <v>1007707</v>
      </c>
      <c r="F52" s="687">
        <v>55026293</v>
      </c>
      <c r="G52" s="687">
        <v>1007707</v>
      </c>
      <c r="H52" s="730">
        <f t="shared" si="10"/>
        <v>58387.428</v>
      </c>
      <c r="I52" s="730">
        <f t="shared" si="11"/>
        <v>1050.030694</v>
      </c>
      <c r="J52" s="730">
        <f t="shared" si="12"/>
        <v>57337.397305999999</v>
      </c>
      <c r="K52" s="730">
        <f t="shared" si="13"/>
        <v>1050.030694</v>
      </c>
      <c r="O52" s="729" t="s">
        <v>370</v>
      </c>
      <c r="P52" s="687">
        <v>9656336</v>
      </c>
      <c r="Q52" s="730">
        <f t="shared" si="14"/>
        <v>10061.902112</v>
      </c>
      <c r="S52" s="729" t="s">
        <v>545</v>
      </c>
      <c r="T52" s="687">
        <v>56034000</v>
      </c>
      <c r="U52" s="687">
        <v>5914863</v>
      </c>
      <c r="V52" s="687">
        <v>5914863</v>
      </c>
      <c r="W52" s="687">
        <v>50119137</v>
      </c>
      <c r="X52" s="730">
        <f t="shared" si="15"/>
        <v>58387.428</v>
      </c>
      <c r="Y52" s="730">
        <f t="shared" si="16"/>
        <v>6163.2872460000008</v>
      </c>
      <c r="Z52" s="730">
        <f t="shared" si="17"/>
        <v>6163.2872460000008</v>
      </c>
      <c r="AA52" s="730">
        <f t="shared" si="18"/>
        <v>52224.140754000007</v>
      </c>
      <c r="AC52" s="729" t="s">
        <v>548</v>
      </c>
      <c r="AD52" s="687">
        <v>1332602</v>
      </c>
      <c r="AE52" s="730">
        <f t="shared" si="19"/>
        <v>1388.5712840000001</v>
      </c>
      <c r="AG52" s="729" t="s">
        <v>544</v>
      </c>
      <c r="AH52" s="687">
        <v>203143500</v>
      </c>
      <c r="AI52" s="687">
        <v>56837801</v>
      </c>
      <c r="AJ52" s="687">
        <v>56837801</v>
      </c>
      <c r="AK52" s="687">
        <v>146305699</v>
      </c>
      <c r="AL52" s="687">
        <f t="shared" si="20"/>
        <v>211675.527</v>
      </c>
      <c r="AM52" s="687">
        <f t="shared" si="21"/>
        <v>59224.988642000004</v>
      </c>
      <c r="AN52" s="687">
        <f t="shared" si="22"/>
        <v>59224.988642000004</v>
      </c>
      <c r="AO52" s="687">
        <f t="shared" si="23"/>
        <v>152450.53835799999</v>
      </c>
      <c r="AR52" s="729" t="s">
        <v>368</v>
      </c>
      <c r="AS52" s="687">
        <v>2644061</v>
      </c>
      <c r="AT52" s="687">
        <f t="shared" si="24"/>
        <v>2755.111562</v>
      </c>
      <c r="AV52" s="729" t="s">
        <v>544</v>
      </c>
      <c r="AW52" s="687">
        <v>203143500</v>
      </c>
      <c r="AX52" s="687">
        <v>75701443</v>
      </c>
      <c r="AY52" s="687">
        <v>75701443</v>
      </c>
      <c r="AZ52" s="687">
        <v>127442057</v>
      </c>
      <c r="BA52" s="730">
        <f t="shared" si="25"/>
        <v>211675.527</v>
      </c>
      <c r="BB52" s="730">
        <f t="shared" si="26"/>
        <v>78880.903606000007</v>
      </c>
      <c r="BC52" s="730">
        <f t="shared" si="27"/>
        <v>78880.903606000007</v>
      </c>
      <c r="BD52" s="730">
        <f t="shared" si="28"/>
        <v>132794.62339399999</v>
      </c>
      <c r="BG52" s="754" t="s">
        <v>372</v>
      </c>
      <c r="BH52" s="687">
        <v>1250512</v>
      </c>
      <c r="BI52" s="755">
        <f t="shared" si="29"/>
        <v>1303.033504</v>
      </c>
      <c r="BK52" s="754" t="s">
        <v>544</v>
      </c>
      <c r="BL52" s="687">
        <v>203143500</v>
      </c>
      <c r="BM52" s="687">
        <v>94565085</v>
      </c>
      <c r="BN52" s="687">
        <v>94565085</v>
      </c>
      <c r="BO52" s="687">
        <v>108578415</v>
      </c>
      <c r="BP52" s="687">
        <f t="shared" si="30"/>
        <v>211675.527</v>
      </c>
      <c r="BQ52" s="687">
        <f t="shared" si="31"/>
        <v>98536.818570000003</v>
      </c>
      <c r="BR52" s="687">
        <f t="shared" si="32"/>
        <v>98536.818570000003</v>
      </c>
      <c r="BS52" s="755">
        <f t="shared" si="33"/>
        <v>113138.70843</v>
      </c>
      <c r="BV52" s="729" t="s">
        <v>546</v>
      </c>
      <c r="BW52" s="687">
        <v>83491542</v>
      </c>
      <c r="BX52" s="730">
        <f t="shared" si="34"/>
        <v>86998.186763999998</v>
      </c>
      <c r="BZ52" s="729" t="s">
        <v>544</v>
      </c>
      <c r="CA52" s="687">
        <v>203143500</v>
      </c>
      <c r="CB52" s="687">
        <v>116565103</v>
      </c>
      <c r="CC52" s="687">
        <v>116565103</v>
      </c>
      <c r="CD52" s="687">
        <v>86578397</v>
      </c>
      <c r="CE52" s="687">
        <f t="shared" si="35"/>
        <v>211675.527</v>
      </c>
      <c r="CF52" s="687">
        <f t="shared" si="36"/>
        <v>121460.83732600001</v>
      </c>
      <c r="CG52" s="687">
        <f t="shared" si="37"/>
        <v>121460.83732600001</v>
      </c>
      <c r="CH52" s="687">
        <f t="shared" si="38"/>
        <v>90214.689673999994</v>
      </c>
      <c r="CK52" s="731" t="s">
        <v>546</v>
      </c>
      <c r="CL52" s="730">
        <v>81584712</v>
      </c>
      <c r="CM52" s="730">
        <f t="shared" si="39"/>
        <v>85011.269904000001</v>
      </c>
      <c r="CP52" s="731" t="s">
        <v>544</v>
      </c>
      <c r="CQ52" s="730">
        <v>203143500</v>
      </c>
      <c r="CR52" s="730">
        <v>137727592</v>
      </c>
      <c r="CS52" s="730">
        <v>137727592</v>
      </c>
      <c r="CT52" s="730">
        <v>65415908</v>
      </c>
      <c r="CU52" s="730">
        <f t="shared" si="64"/>
        <v>211675.527</v>
      </c>
      <c r="CV52" s="730">
        <f t="shared" si="65"/>
        <v>143512.150864</v>
      </c>
      <c r="CW52" s="730">
        <f t="shared" si="66"/>
        <v>143512.150864</v>
      </c>
      <c r="CX52" s="730">
        <f t="shared" si="67"/>
        <v>68163.376136000006</v>
      </c>
      <c r="CZ52" s="731" t="s">
        <v>546</v>
      </c>
      <c r="DA52" s="730">
        <v>78348794</v>
      </c>
      <c r="DB52" s="730">
        <f t="shared" si="40"/>
        <v>81639.443348000001</v>
      </c>
      <c r="DE52" s="729" t="s">
        <v>544</v>
      </c>
      <c r="DF52" s="687">
        <v>203143500</v>
      </c>
      <c r="DG52" s="687">
        <v>158677657</v>
      </c>
      <c r="DH52" s="687">
        <v>158677657</v>
      </c>
      <c r="DI52" s="687">
        <v>44465843</v>
      </c>
      <c r="DJ52" s="730">
        <f t="shared" si="41"/>
        <v>211675.527</v>
      </c>
      <c r="DK52" s="730">
        <f t="shared" si="42"/>
        <v>165342.118594</v>
      </c>
      <c r="DL52" s="730">
        <f t="shared" si="43"/>
        <v>165342.118594</v>
      </c>
      <c r="DM52" s="730">
        <f t="shared" si="44"/>
        <v>46333.408406000002</v>
      </c>
      <c r="DP52" s="729" t="s">
        <v>546</v>
      </c>
      <c r="DQ52" s="687">
        <v>80125385</v>
      </c>
      <c r="DR52" s="730">
        <f t="shared" si="45"/>
        <v>80125.384999999995</v>
      </c>
      <c r="DT52" s="729" t="s">
        <v>544</v>
      </c>
      <c r="DU52" s="687">
        <v>203143500</v>
      </c>
      <c r="DV52" s="687">
        <v>179434487</v>
      </c>
      <c r="DW52" s="687">
        <v>179434487</v>
      </c>
      <c r="DX52" s="687">
        <v>23709013</v>
      </c>
      <c r="DY52" s="730">
        <f t="shared" si="46"/>
        <v>203143.5</v>
      </c>
      <c r="DZ52" s="730">
        <f t="shared" si="47"/>
        <v>179434.48699999999</v>
      </c>
      <c r="EA52" s="730">
        <f t="shared" si="48"/>
        <v>179434.48699999999</v>
      </c>
      <c r="EB52" s="730">
        <f t="shared" si="49"/>
        <v>23709.012999999999</v>
      </c>
      <c r="EE52" s="731" t="s">
        <v>367</v>
      </c>
      <c r="EF52" s="730">
        <v>8100</v>
      </c>
      <c r="EG52" s="734">
        <f t="shared" si="50"/>
        <v>8.1</v>
      </c>
      <c r="EI52" s="731" t="s">
        <v>354</v>
      </c>
      <c r="EJ52" s="730">
        <v>372055500</v>
      </c>
      <c r="EK52" s="730">
        <v>335197248</v>
      </c>
      <c r="EL52" s="730">
        <v>335197248</v>
      </c>
      <c r="EM52" s="734">
        <f t="shared" si="51"/>
        <v>372055.5</v>
      </c>
      <c r="EN52" s="734">
        <f t="shared" si="52"/>
        <v>335197.24800000002</v>
      </c>
      <c r="EO52" s="734">
        <f t="shared" si="53"/>
        <v>335197.24800000002</v>
      </c>
      <c r="ER52" s="729" t="s">
        <v>553</v>
      </c>
      <c r="ES52" s="687">
        <v>1474481</v>
      </c>
      <c r="ET52" s="730">
        <f t="shared" si="54"/>
        <v>1474.481</v>
      </c>
      <c r="EW52" s="729" t="s">
        <v>354</v>
      </c>
      <c r="EX52" s="687">
        <v>0</v>
      </c>
      <c r="EY52" s="687">
        <v>433892500</v>
      </c>
      <c r="EZ52" s="687">
        <v>372570684</v>
      </c>
      <c r="FA52" s="687">
        <v>372570684</v>
      </c>
      <c r="FB52" s="687">
        <v>61321816</v>
      </c>
      <c r="FC52" s="730">
        <f t="shared" si="55"/>
        <v>0</v>
      </c>
      <c r="FD52" s="730">
        <f t="shared" si="56"/>
        <v>433892.5</v>
      </c>
      <c r="FE52" s="730">
        <f t="shared" si="57"/>
        <v>372570.68400000001</v>
      </c>
      <c r="FF52" s="730">
        <f t="shared" si="58"/>
        <v>372570.68400000001</v>
      </c>
      <c r="FG52" s="730">
        <f t="shared" si="59"/>
        <v>61321.815999999999</v>
      </c>
      <c r="FJ52" s="731" t="s">
        <v>355</v>
      </c>
      <c r="FK52" s="730">
        <v>78149953</v>
      </c>
      <c r="FL52" s="734">
        <f t="shared" si="60"/>
        <v>78149.952999999994</v>
      </c>
      <c r="FN52" s="735" t="s">
        <v>544</v>
      </c>
      <c r="FO52" s="736">
        <v>241369446</v>
      </c>
      <c r="FP52" s="736">
        <v>241367908</v>
      </c>
      <c r="FQ52" s="736">
        <v>241367908</v>
      </c>
      <c r="FR52" s="736">
        <f t="shared" si="61"/>
        <v>241369.446</v>
      </c>
      <c r="FS52" s="736">
        <f t="shared" si="62"/>
        <v>241367.908</v>
      </c>
      <c r="FT52" s="736">
        <f t="shared" si="63"/>
        <v>241367.908</v>
      </c>
    </row>
    <row r="53" spans="1:176" ht="15" customHeight="1" x14ac:dyDescent="0.25">
      <c r="A53" s="728" t="s">
        <v>881</v>
      </c>
      <c r="B53" s="729" t="s">
        <v>582</v>
      </c>
      <c r="C53" s="687">
        <v>0</v>
      </c>
      <c r="D53" s="687">
        <v>73993006</v>
      </c>
      <c r="E53" s="687">
        <v>7950190</v>
      </c>
      <c r="F53" s="687">
        <v>66042816</v>
      </c>
      <c r="G53" s="687">
        <v>7950190</v>
      </c>
      <c r="H53" s="730">
        <f t="shared" si="10"/>
        <v>77100.712251999998</v>
      </c>
      <c r="I53" s="730">
        <f t="shared" si="11"/>
        <v>8284.0979800000005</v>
      </c>
      <c r="J53" s="730">
        <f t="shared" si="12"/>
        <v>68816.614272000006</v>
      </c>
      <c r="K53" s="730">
        <f t="shared" si="13"/>
        <v>8284.0979800000005</v>
      </c>
      <c r="O53" s="729" t="s">
        <v>371</v>
      </c>
      <c r="P53" s="687">
        <v>1727733</v>
      </c>
      <c r="Q53" s="730">
        <f t="shared" si="14"/>
        <v>1800.2977860000001</v>
      </c>
      <c r="S53" s="729" t="s">
        <v>582</v>
      </c>
      <c r="T53" s="687">
        <v>70493000</v>
      </c>
      <c r="U53" s="687">
        <v>14974643</v>
      </c>
      <c r="V53" s="687">
        <v>14974643</v>
      </c>
      <c r="W53" s="687">
        <v>55518357</v>
      </c>
      <c r="X53" s="730">
        <f t="shared" si="15"/>
        <v>73453.706000000006</v>
      </c>
      <c r="Y53" s="730">
        <f t="shared" si="16"/>
        <v>15603.578006</v>
      </c>
      <c r="Z53" s="730">
        <f t="shared" si="17"/>
        <v>15603.578006</v>
      </c>
      <c r="AA53" s="730">
        <f t="shared" si="18"/>
        <v>57850.127994000002</v>
      </c>
      <c r="AC53" s="729" t="s">
        <v>359</v>
      </c>
      <c r="AD53" s="687">
        <v>15456563</v>
      </c>
      <c r="AE53" s="730">
        <f t="shared" si="19"/>
        <v>16105.738646</v>
      </c>
      <c r="AG53" s="729" t="s">
        <v>545</v>
      </c>
      <c r="AH53" s="687">
        <v>56034000</v>
      </c>
      <c r="AI53" s="687">
        <v>9345652</v>
      </c>
      <c r="AJ53" s="687">
        <v>9345652</v>
      </c>
      <c r="AK53" s="687">
        <v>46688348</v>
      </c>
      <c r="AL53" s="687">
        <f t="shared" si="20"/>
        <v>58387.428</v>
      </c>
      <c r="AM53" s="687">
        <f t="shared" si="21"/>
        <v>9738.1693840000007</v>
      </c>
      <c r="AN53" s="687">
        <f t="shared" si="22"/>
        <v>9738.1693840000007</v>
      </c>
      <c r="AO53" s="687">
        <f t="shared" si="23"/>
        <v>48649.258615999999</v>
      </c>
      <c r="AR53" s="729" t="s">
        <v>370</v>
      </c>
      <c r="AS53" s="687">
        <v>6181011</v>
      </c>
      <c r="AT53" s="687">
        <f t="shared" si="24"/>
        <v>6440.6134620000003</v>
      </c>
      <c r="AV53" s="729" t="s">
        <v>545</v>
      </c>
      <c r="AW53" s="687">
        <v>56034000</v>
      </c>
      <c r="AX53" s="687">
        <v>12511410</v>
      </c>
      <c r="AY53" s="687">
        <v>12511410</v>
      </c>
      <c r="AZ53" s="687">
        <v>43522590</v>
      </c>
      <c r="BA53" s="730">
        <f t="shared" si="25"/>
        <v>58387.428</v>
      </c>
      <c r="BB53" s="730">
        <f t="shared" si="26"/>
        <v>13036.889220000001</v>
      </c>
      <c r="BC53" s="730">
        <f t="shared" si="27"/>
        <v>13036.889220000001</v>
      </c>
      <c r="BD53" s="730">
        <f t="shared" si="28"/>
        <v>45350.538779999995</v>
      </c>
      <c r="BG53" s="754" t="s">
        <v>374</v>
      </c>
      <c r="BH53" s="687">
        <v>902678</v>
      </c>
      <c r="BI53" s="755">
        <f t="shared" si="29"/>
        <v>940.59047600000008</v>
      </c>
      <c r="BK53" s="754" t="s">
        <v>545</v>
      </c>
      <c r="BL53" s="687">
        <v>56034000</v>
      </c>
      <c r="BM53" s="687">
        <v>16052233</v>
      </c>
      <c r="BN53" s="687">
        <v>16052233</v>
      </c>
      <c r="BO53" s="687">
        <v>39981767</v>
      </c>
      <c r="BP53" s="687">
        <f t="shared" si="30"/>
        <v>58387.428</v>
      </c>
      <c r="BQ53" s="687">
        <f t="shared" si="31"/>
        <v>16726.426786</v>
      </c>
      <c r="BR53" s="687">
        <f t="shared" si="32"/>
        <v>16726.426786</v>
      </c>
      <c r="BS53" s="755">
        <f t="shared" si="33"/>
        <v>41661.001214000004</v>
      </c>
      <c r="BV53" s="729" t="s">
        <v>547</v>
      </c>
      <c r="BW53" s="687">
        <v>82042543</v>
      </c>
      <c r="BX53" s="730">
        <f t="shared" si="34"/>
        <v>85488.329806000009</v>
      </c>
      <c r="BZ53" s="729" t="s">
        <v>545</v>
      </c>
      <c r="CA53" s="687">
        <v>56034000</v>
      </c>
      <c r="CB53" s="687">
        <v>19353006</v>
      </c>
      <c r="CC53" s="687">
        <v>19353006</v>
      </c>
      <c r="CD53" s="687">
        <v>36680994</v>
      </c>
      <c r="CE53" s="687">
        <f t="shared" si="35"/>
        <v>58387.428</v>
      </c>
      <c r="CF53" s="687">
        <f t="shared" si="36"/>
        <v>20165.832252000004</v>
      </c>
      <c r="CG53" s="687">
        <f t="shared" si="37"/>
        <v>20165.832252000004</v>
      </c>
      <c r="CH53" s="687">
        <f t="shared" si="38"/>
        <v>38221.595748</v>
      </c>
      <c r="CK53" s="731" t="s">
        <v>547</v>
      </c>
      <c r="CL53" s="730">
        <v>80537138</v>
      </c>
      <c r="CM53" s="730">
        <f t="shared" si="39"/>
        <v>83919.697796000008</v>
      </c>
      <c r="CP53" s="731" t="s">
        <v>545</v>
      </c>
      <c r="CQ53" s="730">
        <v>56034000</v>
      </c>
      <c r="CR53" s="730">
        <v>22216851</v>
      </c>
      <c r="CS53" s="730">
        <v>22216851</v>
      </c>
      <c r="CT53" s="730">
        <v>33817149</v>
      </c>
      <c r="CU53" s="730">
        <f t="shared" si="64"/>
        <v>58387.428</v>
      </c>
      <c r="CV53" s="730">
        <f t="shared" si="65"/>
        <v>23149.958741999999</v>
      </c>
      <c r="CW53" s="730">
        <f t="shared" si="66"/>
        <v>23149.958741999999</v>
      </c>
      <c r="CX53" s="730">
        <f t="shared" si="67"/>
        <v>35237.469257999997</v>
      </c>
      <c r="CZ53" s="731" t="s">
        <v>547</v>
      </c>
      <c r="DA53" s="730">
        <v>77309040</v>
      </c>
      <c r="DB53" s="730">
        <f t="shared" si="40"/>
        <v>80556.019679999998</v>
      </c>
      <c r="DE53" s="729" t="s">
        <v>545</v>
      </c>
      <c r="DF53" s="687">
        <v>56034000</v>
      </c>
      <c r="DG53" s="687">
        <v>25912826</v>
      </c>
      <c r="DH53" s="687">
        <v>25912826</v>
      </c>
      <c r="DI53" s="687">
        <v>30121174</v>
      </c>
      <c r="DJ53" s="730">
        <f t="shared" si="41"/>
        <v>58387.428</v>
      </c>
      <c r="DK53" s="730">
        <f t="shared" si="42"/>
        <v>27001.164692000002</v>
      </c>
      <c r="DL53" s="730">
        <f t="shared" si="43"/>
        <v>27001.164692000002</v>
      </c>
      <c r="DM53" s="730">
        <f t="shared" si="44"/>
        <v>31386.263308000001</v>
      </c>
      <c r="DP53" s="729" t="s">
        <v>547</v>
      </c>
      <c r="DQ53" s="687">
        <v>79602877</v>
      </c>
      <c r="DR53" s="730">
        <f t="shared" si="45"/>
        <v>79602.876999999993</v>
      </c>
      <c r="DT53" s="729" t="s">
        <v>545</v>
      </c>
      <c r="DU53" s="687">
        <v>56034000</v>
      </c>
      <c r="DV53" s="687">
        <v>29756573</v>
      </c>
      <c r="DW53" s="687">
        <v>29756573</v>
      </c>
      <c r="DX53" s="687">
        <v>26277427</v>
      </c>
      <c r="DY53" s="730">
        <f t="shared" si="46"/>
        <v>56034</v>
      </c>
      <c r="DZ53" s="730">
        <f t="shared" si="47"/>
        <v>29756.573</v>
      </c>
      <c r="EA53" s="730">
        <f t="shared" si="48"/>
        <v>29756.573</v>
      </c>
      <c r="EB53" s="730">
        <f t="shared" si="49"/>
        <v>26277.427</v>
      </c>
      <c r="EE53" s="731" t="s">
        <v>552</v>
      </c>
      <c r="EF53" s="730">
        <v>432857</v>
      </c>
      <c r="EG53" s="734">
        <f t="shared" si="50"/>
        <v>432.85700000000003</v>
      </c>
      <c r="EI53" s="731" t="s">
        <v>544</v>
      </c>
      <c r="EJ53" s="730">
        <v>203143500</v>
      </c>
      <c r="EK53" s="730">
        <v>200367847</v>
      </c>
      <c r="EL53" s="730">
        <v>200367847</v>
      </c>
      <c r="EM53" s="734">
        <f t="shared" si="51"/>
        <v>203143.5</v>
      </c>
      <c r="EN53" s="734">
        <f t="shared" si="52"/>
        <v>200367.84700000001</v>
      </c>
      <c r="EO53" s="734">
        <f t="shared" si="53"/>
        <v>200367.84700000001</v>
      </c>
      <c r="ER53" s="729" t="s">
        <v>554</v>
      </c>
      <c r="ES53" s="687">
        <v>763564</v>
      </c>
      <c r="ET53" s="730">
        <f t="shared" si="54"/>
        <v>763.56399999999996</v>
      </c>
      <c r="EW53" s="729" t="s">
        <v>544</v>
      </c>
      <c r="EX53" s="687">
        <v>0</v>
      </c>
      <c r="EY53" s="687">
        <v>223143500</v>
      </c>
      <c r="EZ53" s="687">
        <v>221124677</v>
      </c>
      <c r="FA53" s="687">
        <v>221124677</v>
      </c>
      <c r="FB53" s="687">
        <v>2018823</v>
      </c>
      <c r="FC53" s="730">
        <f t="shared" si="55"/>
        <v>0</v>
      </c>
      <c r="FD53" s="730">
        <f t="shared" si="56"/>
        <v>223143.5</v>
      </c>
      <c r="FE53" s="730">
        <f t="shared" si="57"/>
        <v>221124.677</v>
      </c>
      <c r="FF53" s="730">
        <f t="shared" si="58"/>
        <v>221124.677</v>
      </c>
      <c r="FG53" s="730">
        <f t="shared" si="59"/>
        <v>2018.8230000000001</v>
      </c>
      <c r="FJ53" s="731" t="s">
        <v>356</v>
      </c>
      <c r="FK53" s="730">
        <v>16044929</v>
      </c>
      <c r="FL53" s="734">
        <f t="shared" si="60"/>
        <v>16044.929</v>
      </c>
      <c r="FN53" s="735" t="s">
        <v>545</v>
      </c>
      <c r="FO53" s="736">
        <v>56607000</v>
      </c>
      <c r="FP53" s="736">
        <v>55479835</v>
      </c>
      <c r="FQ53" s="736">
        <v>55479835</v>
      </c>
      <c r="FR53" s="736">
        <f t="shared" si="61"/>
        <v>56607</v>
      </c>
      <c r="FS53" s="736">
        <f t="shared" si="62"/>
        <v>55479.834999999999</v>
      </c>
      <c r="FT53" s="736">
        <f t="shared" si="63"/>
        <v>55479.834999999999</v>
      </c>
    </row>
    <row r="54" spans="1:176" ht="15" customHeight="1" x14ac:dyDescent="0.25">
      <c r="A54" s="728" t="s">
        <v>881</v>
      </c>
      <c r="B54" s="729" t="s">
        <v>820</v>
      </c>
      <c r="C54" s="687">
        <v>0</v>
      </c>
      <c r="D54" s="687">
        <v>700000</v>
      </c>
      <c r="E54" s="687">
        <v>0</v>
      </c>
      <c r="F54" s="687">
        <v>700000</v>
      </c>
      <c r="G54" s="687">
        <v>0</v>
      </c>
      <c r="H54" s="730">
        <f t="shared" si="10"/>
        <v>729.4</v>
      </c>
      <c r="I54" s="730">
        <f t="shared" si="11"/>
        <v>0</v>
      </c>
      <c r="J54" s="730">
        <f t="shared" si="12"/>
        <v>729.4</v>
      </c>
      <c r="K54" s="730">
        <f t="shared" si="13"/>
        <v>0</v>
      </c>
      <c r="O54" s="729" t="s">
        <v>372</v>
      </c>
      <c r="P54" s="687">
        <v>1155064</v>
      </c>
      <c r="Q54" s="730">
        <f t="shared" si="14"/>
        <v>1203.5766880000001</v>
      </c>
      <c r="S54" s="729" t="s">
        <v>820</v>
      </c>
      <c r="T54" s="687">
        <v>700000</v>
      </c>
      <c r="U54" s="687">
        <v>0</v>
      </c>
      <c r="V54" s="687">
        <v>0</v>
      </c>
      <c r="W54" s="687">
        <v>700000</v>
      </c>
      <c r="X54" s="730">
        <f t="shared" si="15"/>
        <v>729.4</v>
      </c>
      <c r="Y54" s="730">
        <f t="shared" si="16"/>
        <v>0</v>
      </c>
      <c r="Z54" s="730">
        <f t="shared" si="17"/>
        <v>0</v>
      </c>
      <c r="AA54" s="730">
        <f t="shared" si="18"/>
        <v>729.4</v>
      </c>
      <c r="AC54" s="729" t="s">
        <v>361</v>
      </c>
      <c r="AD54" s="687">
        <v>336048790</v>
      </c>
      <c r="AE54" s="730">
        <f t="shared" si="19"/>
        <v>350162.83918000001</v>
      </c>
      <c r="AG54" s="729" t="s">
        <v>582</v>
      </c>
      <c r="AH54" s="687">
        <v>70493000</v>
      </c>
      <c r="AI54" s="687">
        <v>23559298</v>
      </c>
      <c r="AJ54" s="687">
        <v>23559298</v>
      </c>
      <c r="AK54" s="687">
        <v>46933702</v>
      </c>
      <c r="AL54" s="687">
        <f t="shared" si="20"/>
        <v>73453.706000000006</v>
      </c>
      <c r="AM54" s="687">
        <f t="shared" si="21"/>
        <v>24548.788516000001</v>
      </c>
      <c r="AN54" s="687">
        <f t="shared" si="22"/>
        <v>24548.788516000001</v>
      </c>
      <c r="AO54" s="687">
        <f t="shared" si="23"/>
        <v>48904.917483999998</v>
      </c>
      <c r="AR54" s="729" t="s">
        <v>371</v>
      </c>
      <c r="AS54" s="687">
        <v>844417</v>
      </c>
      <c r="AT54" s="687">
        <f t="shared" si="24"/>
        <v>879.88251400000001</v>
      </c>
      <c r="AV54" s="729" t="s">
        <v>582</v>
      </c>
      <c r="AW54" s="687">
        <v>70793000</v>
      </c>
      <c r="AX54" s="687">
        <v>38933432</v>
      </c>
      <c r="AY54" s="687">
        <v>38933432</v>
      </c>
      <c r="AZ54" s="687">
        <v>31859568</v>
      </c>
      <c r="BA54" s="730">
        <f t="shared" si="25"/>
        <v>73766.305999999997</v>
      </c>
      <c r="BB54" s="730">
        <f t="shared" si="26"/>
        <v>40568.636144000004</v>
      </c>
      <c r="BC54" s="730">
        <f t="shared" si="27"/>
        <v>40568.636144000004</v>
      </c>
      <c r="BD54" s="730">
        <f t="shared" si="28"/>
        <v>33197.669856</v>
      </c>
      <c r="BG54" s="754" t="s">
        <v>377</v>
      </c>
      <c r="BH54" s="687">
        <v>474317</v>
      </c>
      <c r="BI54" s="755">
        <f t="shared" si="29"/>
        <v>494.238314</v>
      </c>
      <c r="BK54" s="754" t="s">
        <v>582</v>
      </c>
      <c r="BL54" s="687">
        <v>71493000</v>
      </c>
      <c r="BM54" s="687">
        <v>49726128</v>
      </c>
      <c r="BN54" s="687">
        <v>49726128</v>
      </c>
      <c r="BO54" s="687">
        <v>21766872</v>
      </c>
      <c r="BP54" s="687">
        <f t="shared" si="30"/>
        <v>74495.706000000006</v>
      </c>
      <c r="BQ54" s="687">
        <f t="shared" si="31"/>
        <v>51814.625375999996</v>
      </c>
      <c r="BR54" s="687">
        <f t="shared" si="32"/>
        <v>51814.625375999996</v>
      </c>
      <c r="BS54" s="755">
        <f t="shared" si="33"/>
        <v>22681.080624000002</v>
      </c>
      <c r="BV54" s="729" t="s">
        <v>548</v>
      </c>
      <c r="BW54" s="687">
        <v>1448999</v>
      </c>
      <c r="BX54" s="730">
        <f t="shared" si="34"/>
        <v>1509.8569580000001</v>
      </c>
      <c r="BZ54" s="729" t="s">
        <v>582</v>
      </c>
      <c r="CA54" s="687">
        <v>71774734</v>
      </c>
      <c r="CB54" s="687">
        <v>62853391</v>
      </c>
      <c r="CC54" s="687">
        <v>62853391</v>
      </c>
      <c r="CD54" s="687">
        <v>8921343</v>
      </c>
      <c r="CE54" s="687">
        <f t="shared" si="35"/>
        <v>74789.272828000001</v>
      </c>
      <c r="CF54" s="687">
        <f t="shared" si="36"/>
        <v>65493.233422000005</v>
      </c>
      <c r="CG54" s="687">
        <f t="shared" si="37"/>
        <v>65493.233422000005</v>
      </c>
      <c r="CH54" s="687">
        <f t="shared" si="38"/>
        <v>9296.0394060000017</v>
      </c>
      <c r="CK54" s="731" t="s">
        <v>548</v>
      </c>
      <c r="CL54" s="730">
        <v>1047574</v>
      </c>
      <c r="CM54" s="730">
        <f t="shared" si="39"/>
        <v>1091.5721080000001</v>
      </c>
      <c r="CP54" s="731" t="s">
        <v>582</v>
      </c>
      <c r="CQ54" s="730">
        <v>114507000</v>
      </c>
      <c r="CR54" s="730">
        <v>73222213</v>
      </c>
      <c r="CS54" s="730">
        <v>73222213</v>
      </c>
      <c r="CT54" s="730">
        <v>41284787</v>
      </c>
      <c r="CU54" s="730">
        <f t="shared" si="64"/>
        <v>119316.29400000001</v>
      </c>
      <c r="CV54" s="730">
        <f t="shared" si="65"/>
        <v>76297.545946000013</v>
      </c>
      <c r="CW54" s="730">
        <f t="shared" si="66"/>
        <v>76297.545946000013</v>
      </c>
      <c r="CX54" s="730">
        <f t="shared" si="67"/>
        <v>43018.748053999996</v>
      </c>
      <c r="CZ54" s="731" t="s">
        <v>548</v>
      </c>
      <c r="DA54" s="730">
        <v>1039754</v>
      </c>
      <c r="DB54" s="730">
        <f t="shared" si="40"/>
        <v>1083.4236679999999</v>
      </c>
      <c r="DE54" s="729" t="s">
        <v>582</v>
      </c>
      <c r="DF54" s="687">
        <v>113391000</v>
      </c>
      <c r="DG54" s="687">
        <v>87149545</v>
      </c>
      <c r="DH54" s="687">
        <v>87149545</v>
      </c>
      <c r="DI54" s="687">
        <v>26241455</v>
      </c>
      <c r="DJ54" s="730">
        <f t="shared" si="41"/>
        <v>118153.42200000001</v>
      </c>
      <c r="DK54" s="730">
        <f t="shared" si="42"/>
        <v>90809.825890000007</v>
      </c>
      <c r="DL54" s="730">
        <f t="shared" si="43"/>
        <v>90809.825890000007</v>
      </c>
      <c r="DM54" s="730">
        <f t="shared" si="44"/>
        <v>27343.596110000002</v>
      </c>
      <c r="DP54" s="729" t="s">
        <v>548</v>
      </c>
      <c r="DQ54" s="687">
        <v>522508</v>
      </c>
      <c r="DR54" s="730">
        <f t="shared" si="45"/>
        <v>522.50800000000004</v>
      </c>
      <c r="DT54" s="729" t="s">
        <v>582</v>
      </c>
      <c r="DU54" s="687">
        <v>113072000</v>
      </c>
      <c r="DV54" s="687">
        <v>93936983</v>
      </c>
      <c r="DW54" s="687">
        <v>93936983</v>
      </c>
      <c r="DX54" s="687">
        <v>19135017</v>
      </c>
      <c r="DY54" s="730">
        <f t="shared" si="46"/>
        <v>113072</v>
      </c>
      <c r="DZ54" s="730">
        <f t="shared" si="47"/>
        <v>93936.982999999993</v>
      </c>
      <c r="EA54" s="730">
        <f t="shared" si="48"/>
        <v>93936.982999999993</v>
      </c>
      <c r="EB54" s="730">
        <f t="shared" si="49"/>
        <v>19135.017</v>
      </c>
      <c r="EE54" s="731" t="s">
        <v>554</v>
      </c>
      <c r="EF54" s="730">
        <v>373437</v>
      </c>
      <c r="EG54" s="734">
        <f t="shared" si="50"/>
        <v>373.43700000000001</v>
      </c>
      <c r="EI54" s="731" t="s">
        <v>545</v>
      </c>
      <c r="EJ54" s="730">
        <v>56034000</v>
      </c>
      <c r="EK54" s="730">
        <v>33232750</v>
      </c>
      <c r="EL54" s="730">
        <v>33232750</v>
      </c>
      <c r="EM54" s="734">
        <f t="shared" si="51"/>
        <v>56034</v>
      </c>
      <c r="EN54" s="734">
        <f t="shared" si="52"/>
        <v>33232.75</v>
      </c>
      <c r="EO54" s="734">
        <f t="shared" si="53"/>
        <v>33232.75</v>
      </c>
      <c r="ER54" s="729" t="s">
        <v>555</v>
      </c>
      <c r="ES54" s="687">
        <v>1082900</v>
      </c>
      <c r="ET54" s="730">
        <f t="shared" si="54"/>
        <v>1082.9000000000001</v>
      </c>
      <c r="EW54" s="729" t="s">
        <v>545</v>
      </c>
      <c r="EX54" s="687">
        <v>0</v>
      </c>
      <c r="EY54" s="687">
        <v>56034000</v>
      </c>
      <c r="EZ54" s="687">
        <v>39813657</v>
      </c>
      <c r="FA54" s="687">
        <v>39813657</v>
      </c>
      <c r="FB54" s="687">
        <v>16220343</v>
      </c>
      <c r="FC54" s="730">
        <f t="shared" si="55"/>
        <v>0</v>
      </c>
      <c r="FD54" s="730">
        <f t="shared" si="56"/>
        <v>56034</v>
      </c>
      <c r="FE54" s="730">
        <f t="shared" si="57"/>
        <v>39813.656999999999</v>
      </c>
      <c r="FF54" s="730">
        <f t="shared" si="58"/>
        <v>39813.656999999999</v>
      </c>
      <c r="FG54" s="730">
        <f t="shared" si="59"/>
        <v>16220.343000000001</v>
      </c>
      <c r="FJ54" s="731" t="s">
        <v>357</v>
      </c>
      <c r="FK54" s="730">
        <v>62105024</v>
      </c>
      <c r="FL54" s="734">
        <f t="shared" si="60"/>
        <v>62105.023999999998</v>
      </c>
      <c r="FN54" s="735" t="s">
        <v>582</v>
      </c>
      <c r="FO54" s="736">
        <v>153723070</v>
      </c>
      <c r="FP54" s="736">
        <v>121414394</v>
      </c>
      <c r="FQ54" s="736">
        <v>121414394</v>
      </c>
      <c r="FR54" s="736">
        <f t="shared" si="61"/>
        <v>153723.07</v>
      </c>
      <c r="FS54" s="736">
        <f t="shared" si="62"/>
        <v>121414.394</v>
      </c>
      <c r="FT54" s="736">
        <f t="shared" si="63"/>
        <v>121414.394</v>
      </c>
    </row>
    <row r="55" spans="1:176" ht="15" customHeight="1" x14ac:dyDescent="0.25">
      <c r="A55" s="728" t="s">
        <v>880</v>
      </c>
      <c r="B55" s="729" t="s">
        <v>355</v>
      </c>
      <c r="C55" s="687">
        <v>0</v>
      </c>
      <c r="D55" s="687">
        <v>86350000</v>
      </c>
      <c r="E55" s="687">
        <v>0</v>
      </c>
      <c r="F55" s="687">
        <v>86350000</v>
      </c>
      <c r="G55" s="687">
        <v>0</v>
      </c>
      <c r="H55" s="730">
        <f t="shared" si="10"/>
        <v>89976.7</v>
      </c>
      <c r="I55" s="730">
        <f t="shared" si="11"/>
        <v>0</v>
      </c>
      <c r="J55" s="730">
        <f t="shared" si="12"/>
        <v>89976.7</v>
      </c>
      <c r="K55" s="730">
        <f t="shared" si="13"/>
        <v>0</v>
      </c>
      <c r="O55" s="729" t="s">
        <v>373</v>
      </c>
      <c r="P55" s="687">
        <v>74800</v>
      </c>
      <c r="Q55" s="730">
        <f t="shared" si="14"/>
        <v>77.941599999999994</v>
      </c>
      <c r="S55" s="729" t="s">
        <v>355</v>
      </c>
      <c r="T55" s="687">
        <v>86350000</v>
      </c>
      <c r="U55" s="687">
        <v>0</v>
      </c>
      <c r="V55" s="687">
        <v>0</v>
      </c>
      <c r="W55" s="687">
        <v>86350000</v>
      </c>
      <c r="X55" s="730">
        <f t="shared" si="15"/>
        <v>89976.7</v>
      </c>
      <c r="Y55" s="730">
        <f t="shared" si="16"/>
        <v>0</v>
      </c>
      <c r="Z55" s="730">
        <f t="shared" si="17"/>
        <v>0</v>
      </c>
      <c r="AA55" s="730">
        <f t="shared" si="18"/>
        <v>89976.7</v>
      </c>
      <c r="AC55" s="729" t="s">
        <v>362</v>
      </c>
      <c r="AD55" s="687">
        <v>428400</v>
      </c>
      <c r="AE55" s="730">
        <f t="shared" si="19"/>
        <v>446.39279999999997</v>
      </c>
      <c r="AG55" s="729" t="s">
        <v>820</v>
      </c>
      <c r="AH55" s="687">
        <v>700000</v>
      </c>
      <c r="AI55" s="687">
        <v>0</v>
      </c>
      <c r="AJ55" s="687">
        <v>0</v>
      </c>
      <c r="AK55" s="687">
        <v>700000</v>
      </c>
      <c r="AL55" s="687">
        <f t="shared" si="20"/>
        <v>729.4</v>
      </c>
      <c r="AM55" s="687">
        <f t="shared" si="21"/>
        <v>0</v>
      </c>
      <c r="AN55" s="687">
        <f t="shared" si="22"/>
        <v>0</v>
      </c>
      <c r="AO55" s="687">
        <f t="shared" si="23"/>
        <v>729.4</v>
      </c>
      <c r="AR55" s="729" t="s">
        <v>372</v>
      </c>
      <c r="AS55" s="687">
        <v>1023013</v>
      </c>
      <c r="AT55" s="687">
        <f t="shared" si="24"/>
        <v>1065.979546</v>
      </c>
      <c r="AV55" s="729" t="s">
        <v>820</v>
      </c>
      <c r="AW55" s="687">
        <v>700000</v>
      </c>
      <c r="AX55" s="687">
        <v>0</v>
      </c>
      <c r="AY55" s="687">
        <v>0</v>
      </c>
      <c r="AZ55" s="687">
        <v>700000</v>
      </c>
      <c r="BA55" s="730">
        <f t="shared" si="25"/>
        <v>729.4</v>
      </c>
      <c r="BB55" s="730">
        <f t="shared" si="26"/>
        <v>0</v>
      </c>
      <c r="BC55" s="730">
        <f t="shared" si="27"/>
        <v>0</v>
      </c>
      <c r="BD55" s="730">
        <f t="shared" si="28"/>
        <v>729.4</v>
      </c>
      <c r="BG55" s="754" t="s">
        <v>556</v>
      </c>
      <c r="BH55" s="687">
        <v>3135806</v>
      </c>
      <c r="BI55" s="755">
        <f t="shared" si="29"/>
        <v>3267.5098520000001</v>
      </c>
      <c r="BK55" s="754" t="s">
        <v>820</v>
      </c>
      <c r="BL55" s="687">
        <v>700000</v>
      </c>
      <c r="BM55" s="687">
        <v>0</v>
      </c>
      <c r="BN55" s="687">
        <v>0</v>
      </c>
      <c r="BO55" s="687">
        <v>700000</v>
      </c>
      <c r="BP55" s="687">
        <f t="shared" si="30"/>
        <v>729.4</v>
      </c>
      <c r="BQ55" s="687">
        <f t="shared" si="31"/>
        <v>0</v>
      </c>
      <c r="BR55" s="687">
        <f t="shared" si="32"/>
        <v>0</v>
      </c>
      <c r="BS55" s="755">
        <f t="shared" si="33"/>
        <v>729.4</v>
      </c>
      <c r="BV55" s="729" t="s">
        <v>359</v>
      </c>
      <c r="BW55" s="687">
        <v>12852453</v>
      </c>
      <c r="BX55" s="730">
        <f t="shared" si="34"/>
        <v>13392.256025999999</v>
      </c>
      <c r="BZ55" s="729" t="s">
        <v>820</v>
      </c>
      <c r="CA55" s="687">
        <v>700000</v>
      </c>
      <c r="CB55" s="687">
        <v>0</v>
      </c>
      <c r="CC55" s="687">
        <v>0</v>
      </c>
      <c r="CD55" s="687">
        <v>700000</v>
      </c>
      <c r="CE55" s="687">
        <f t="shared" si="35"/>
        <v>729.4</v>
      </c>
      <c r="CF55" s="687">
        <f t="shared" si="36"/>
        <v>0</v>
      </c>
      <c r="CG55" s="687">
        <f t="shared" si="37"/>
        <v>0</v>
      </c>
      <c r="CH55" s="687">
        <f t="shared" si="38"/>
        <v>729.4</v>
      </c>
      <c r="CK55" s="731" t="s">
        <v>359</v>
      </c>
      <c r="CL55" s="730">
        <v>5899892</v>
      </c>
      <c r="CM55" s="730">
        <f t="shared" si="39"/>
        <v>6147.6874639999996</v>
      </c>
      <c r="CP55" s="731" t="s">
        <v>820</v>
      </c>
      <c r="CQ55" s="730">
        <v>700000</v>
      </c>
      <c r="CR55" s="730">
        <v>0</v>
      </c>
      <c r="CS55" s="730">
        <v>0</v>
      </c>
      <c r="CT55" s="730">
        <v>700000</v>
      </c>
      <c r="CU55" s="730">
        <f t="shared" si="64"/>
        <v>729.4</v>
      </c>
      <c r="CV55" s="730">
        <f t="shared" si="65"/>
        <v>0</v>
      </c>
      <c r="CW55" s="730">
        <f t="shared" si="66"/>
        <v>0</v>
      </c>
      <c r="CX55" s="730">
        <f t="shared" si="67"/>
        <v>729.4</v>
      </c>
      <c r="CZ55" s="731" t="s">
        <v>359</v>
      </c>
      <c r="DA55" s="730">
        <v>3796788</v>
      </c>
      <c r="DB55" s="730">
        <f t="shared" si="40"/>
        <v>3956.2530960000004</v>
      </c>
      <c r="DE55" s="729" t="s">
        <v>820</v>
      </c>
      <c r="DF55" s="687">
        <v>700000</v>
      </c>
      <c r="DG55" s="687">
        <v>0</v>
      </c>
      <c r="DH55" s="687">
        <v>0</v>
      </c>
      <c r="DI55" s="687">
        <v>700000</v>
      </c>
      <c r="DJ55" s="730">
        <f t="shared" si="41"/>
        <v>729.4</v>
      </c>
      <c r="DK55" s="730">
        <f t="shared" si="42"/>
        <v>0</v>
      </c>
      <c r="DL55" s="730">
        <f t="shared" si="43"/>
        <v>0</v>
      </c>
      <c r="DM55" s="730">
        <f t="shared" si="44"/>
        <v>729.4</v>
      </c>
      <c r="DP55" s="729" t="s">
        <v>359</v>
      </c>
      <c r="DQ55" s="687">
        <v>1438628</v>
      </c>
      <c r="DR55" s="730">
        <f t="shared" si="45"/>
        <v>1438.6279999999999</v>
      </c>
      <c r="DT55" s="729" t="s">
        <v>820</v>
      </c>
      <c r="DU55" s="687">
        <v>700000</v>
      </c>
      <c r="DV55" s="687">
        <v>0</v>
      </c>
      <c r="DW55" s="687">
        <v>0</v>
      </c>
      <c r="DX55" s="687">
        <v>700000</v>
      </c>
      <c r="DY55" s="730">
        <f t="shared" si="46"/>
        <v>700</v>
      </c>
      <c r="DZ55" s="730">
        <f t="shared" si="47"/>
        <v>0</v>
      </c>
      <c r="EA55" s="730">
        <f t="shared" si="48"/>
        <v>0</v>
      </c>
      <c r="EB55" s="730">
        <f t="shared" si="49"/>
        <v>700</v>
      </c>
      <c r="EE55" s="731" t="s">
        <v>555</v>
      </c>
      <c r="EF55" s="730">
        <v>690200</v>
      </c>
      <c r="EG55" s="734">
        <f t="shared" si="50"/>
        <v>690.2</v>
      </c>
      <c r="EI55" s="731" t="s">
        <v>582</v>
      </c>
      <c r="EJ55" s="730">
        <v>112178000</v>
      </c>
      <c r="EK55" s="730">
        <v>101596651</v>
      </c>
      <c r="EL55" s="730">
        <v>101596651</v>
      </c>
      <c r="EM55" s="734">
        <f t="shared" si="51"/>
        <v>112178</v>
      </c>
      <c r="EN55" s="734">
        <f t="shared" si="52"/>
        <v>101596.651</v>
      </c>
      <c r="EO55" s="734">
        <f t="shared" si="53"/>
        <v>101596.651</v>
      </c>
      <c r="ER55" s="729" t="s">
        <v>368</v>
      </c>
      <c r="ES55" s="687">
        <v>2572563</v>
      </c>
      <c r="ET55" s="730">
        <f t="shared" si="54"/>
        <v>2572.5630000000001</v>
      </c>
      <c r="EW55" s="729" t="s">
        <v>582</v>
      </c>
      <c r="EX55" s="687">
        <v>0</v>
      </c>
      <c r="EY55" s="687">
        <v>154015000</v>
      </c>
      <c r="EZ55" s="687">
        <v>111632350</v>
      </c>
      <c r="FA55" s="687">
        <v>111632350</v>
      </c>
      <c r="FB55" s="687">
        <v>42382650</v>
      </c>
      <c r="FC55" s="730">
        <f t="shared" si="55"/>
        <v>0</v>
      </c>
      <c r="FD55" s="730">
        <f t="shared" si="56"/>
        <v>154015</v>
      </c>
      <c r="FE55" s="730">
        <f t="shared" si="57"/>
        <v>111632.35</v>
      </c>
      <c r="FF55" s="730">
        <f t="shared" si="58"/>
        <v>111632.35</v>
      </c>
      <c r="FG55" s="730">
        <f t="shared" si="59"/>
        <v>42382.65</v>
      </c>
      <c r="FJ55" s="731" t="s">
        <v>358</v>
      </c>
      <c r="FK55" s="730">
        <v>97810804</v>
      </c>
      <c r="FL55" s="734">
        <f t="shared" si="60"/>
        <v>97810.804000000004</v>
      </c>
      <c r="FN55" s="735" t="s">
        <v>820</v>
      </c>
      <c r="FO55" s="736">
        <v>700000</v>
      </c>
      <c r="FP55" s="736">
        <v>0</v>
      </c>
      <c r="FQ55" s="736">
        <v>0</v>
      </c>
      <c r="FR55" s="736">
        <f t="shared" si="61"/>
        <v>700</v>
      </c>
      <c r="FS55" s="736">
        <f t="shared" si="62"/>
        <v>0</v>
      </c>
      <c r="FT55" s="736">
        <f t="shared" si="63"/>
        <v>0</v>
      </c>
    </row>
    <row r="56" spans="1:176" ht="15" customHeight="1" x14ac:dyDescent="0.25">
      <c r="A56" s="728" t="s">
        <v>881</v>
      </c>
      <c r="B56" s="729" t="s">
        <v>356</v>
      </c>
      <c r="C56" s="687">
        <v>0</v>
      </c>
      <c r="D56" s="687">
        <v>10000</v>
      </c>
      <c r="E56" s="687">
        <v>0</v>
      </c>
      <c r="F56" s="687">
        <v>10000</v>
      </c>
      <c r="G56" s="687">
        <v>0</v>
      </c>
      <c r="H56" s="730">
        <f t="shared" si="10"/>
        <v>10.42</v>
      </c>
      <c r="I56" s="730">
        <f t="shared" si="11"/>
        <v>0</v>
      </c>
      <c r="J56" s="730">
        <f t="shared" si="12"/>
        <v>10.42</v>
      </c>
      <c r="K56" s="730">
        <f t="shared" si="13"/>
        <v>0</v>
      </c>
      <c r="O56" s="729" t="s">
        <v>374</v>
      </c>
      <c r="P56" s="687">
        <v>759276</v>
      </c>
      <c r="Q56" s="730">
        <f t="shared" si="14"/>
        <v>791.16559199999995</v>
      </c>
      <c r="S56" s="729" t="s">
        <v>356</v>
      </c>
      <c r="T56" s="687">
        <v>10000</v>
      </c>
      <c r="U56" s="687">
        <v>0</v>
      </c>
      <c r="V56" s="687">
        <v>0</v>
      </c>
      <c r="W56" s="687">
        <v>10000</v>
      </c>
      <c r="X56" s="730">
        <f t="shared" si="15"/>
        <v>10.42</v>
      </c>
      <c r="Y56" s="730">
        <f t="shared" si="16"/>
        <v>0</v>
      </c>
      <c r="Z56" s="730">
        <f t="shared" si="17"/>
        <v>0</v>
      </c>
      <c r="AA56" s="730">
        <f t="shared" si="18"/>
        <v>10.42</v>
      </c>
      <c r="AC56" s="729" t="s">
        <v>549</v>
      </c>
      <c r="AD56" s="687">
        <v>428400</v>
      </c>
      <c r="AE56" s="730">
        <f t="shared" si="19"/>
        <v>446.39279999999997</v>
      </c>
      <c r="AG56" s="729" t="s">
        <v>355</v>
      </c>
      <c r="AH56" s="687">
        <v>86350000</v>
      </c>
      <c r="AI56" s="687">
        <v>8854892</v>
      </c>
      <c r="AJ56" s="687">
        <v>8854892</v>
      </c>
      <c r="AK56" s="687">
        <v>77495108</v>
      </c>
      <c r="AL56" s="687">
        <f t="shared" si="20"/>
        <v>89976.7</v>
      </c>
      <c r="AM56" s="687">
        <f t="shared" si="21"/>
        <v>9226.7974639999993</v>
      </c>
      <c r="AN56" s="687">
        <f t="shared" si="22"/>
        <v>9226.7974639999993</v>
      </c>
      <c r="AO56" s="687">
        <f t="shared" si="23"/>
        <v>80749.902535999994</v>
      </c>
      <c r="AR56" s="729" t="s">
        <v>373</v>
      </c>
      <c r="AS56" s="687">
        <v>95100</v>
      </c>
      <c r="AT56" s="687">
        <f t="shared" si="24"/>
        <v>99.094200000000001</v>
      </c>
      <c r="AV56" s="729" t="s">
        <v>355</v>
      </c>
      <c r="AW56" s="687">
        <v>86350000</v>
      </c>
      <c r="AX56" s="687">
        <v>8854892</v>
      </c>
      <c r="AY56" s="687">
        <v>8854892</v>
      </c>
      <c r="AZ56" s="687">
        <v>77495108</v>
      </c>
      <c r="BA56" s="730">
        <f t="shared" si="25"/>
        <v>89976.7</v>
      </c>
      <c r="BB56" s="730">
        <f t="shared" si="26"/>
        <v>9226.7974639999993</v>
      </c>
      <c r="BC56" s="730">
        <f t="shared" si="27"/>
        <v>9226.7974639999993</v>
      </c>
      <c r="BD56" s="730">
        <f t="shared" si="28"/>
        <v>80749.902535999994</v>
      </c>
      <c r="BG56" s="754" t="s">
        <v>378</v>
      </c>
      <c r="BH56" s="687">
        <v>739668</v>
      </c>
      <c r="BI56" s="755">
        <f t="shared" si="29"/>
        <v>770.73405600000001</v>
      </c>
      <c r="BK56" s="754" t="s">
        <v>355</v>
      </c>
      <c r="BL56" s="687">
        <v>86350000</v>
      </c>
      <c r="BM56" s="687">
        <v>8854892</v>
      </c>
      <c r="BN56" s="687">
        <v>8854892</v>
      </c>
      <c r="BO56" s="687">
        <v>77495108</v>
      </c>
      <c r="BP56" s="687">
        <f t="shared" si="30"/>
        <v>89976.7</v>
      </c>
      <c r="BQ56" s="687">
        <f t="shared" si="31"/>
        <v>9226.7974639999993</v>
      </c>
      <c r="BR56" s="687">
        <f t="shared" si="32"/>
        <v>9226.7974639999993</v>
      </c>
      <c r="BS56" s="755">
        <f t="shared" si="33"/>
        <v>80749.902535999994</v>
      </c>
      <c r="BV56" s="729" t="s">
        <v>361</v>
      </c>
      <c r="BW56" s="687">
        <v>362576327</v>
      </c>
      <c r="BX56" s="730">
        <f t="shared" si="34"/>
        <v>377804.53273400001</v>
      </c>
      <c r="BZ56" s="729" t="s">
        <v>355</v>
      </c>
      <c r="CA56" s="687">
        <v>95949696</v>
      </c>
      <c r="CB56" s="687">
        <v>18454588</v>
      </c>
      <c r="CC56" s="687">
        <v>18454588</v>
      </c>
      <c r="CD56" s="687">
        <v>77495108</v>
      </c>
      <c r="CE56" s="687">
        <f t="shared" si="35"/>
        <v>99979.583232000005</v>
      </c>
      <c r="CF56" s="687">
        <f t="shared" si="36"/>
        <v>19229.680695999999</v>
      </c>
      <c r="CG56" s="687">
        <f t="shared" si="37"/>
        <v>19229.680695999999</v>
      </c>
      <c r="CH56" s="687">
        <f t="shared" si="38"/>
        <v>80749.902535999994</v>
      </c>
      <c r="CK56" s="731" t="s">
        <v>361</v>
      </c>
      <c r="CL56" s="730">
        <v>519970871</v>
      </c>
      <c r="CM56" s="730">
        <f t="shared" si="39"/>
        <v>541809.64758200001</v>
      </c>
      <c r="CP56" s="731" t="s">
        <v>355</v>
      </c>
      <c r="CQ56" s="730">
        <v>95949696</v>
      </c>
      <c r="CR56" s="730">
        <v>18452653</v>
      </c>
      <c r="CS56" s="730">
        <v>18452653</v>
      </c>
      <c r="CT56" s="730">
        <v>77497043</v>
      </c>
      <c r="CU56" s="730">
        <f t="shared" si="64"/>
        <v>99979.583232000005</v>
      </c>
      <c r="CV56" s="730">
        <f t="shared" si="65"/>
        <v>19227.664425999999</v>
      </c>
      <c r="CW56" s="730">
        <f t="shared" si="66"/>
        <v>19227.664425999999</v>
      </c>
      <c r="CX56" s="730">
        <f t="shared" si="67"/>
        <v>80751.918806000001</v>
      </c>
      <c r="CZ56" s="731" t="s">
        <v>361</v>
      </c>
      <c r="DA56" s="730">
        <v>316256898</v>
      </c>
      <c r="DB56" s="730">
        <f t="shared" si="40"/>
        <v>329539.68771600001</v>
      </c>
      <c r="DE56" s="729" t="s">
        <v>355</v>
      </c>
      <c r="DF56" s="687">
        <v>95949696</v>
      </c>
      <c r="DG56" s="687">
        <v>18445888</v>
      </c>
      <c r="DH56" s="687">
        <v>18445888</v>
      </c>
      <c r="DI56" s="687">
        <v>77503808</v>
      </c>
      <c r="DJ56" s="730">
        <f t="shared" si="41"/>
        <v>99979.583232000005</v>
      </c>
      <c r="DK56" s="730">
        <f t="shared" si="42"/>
        <v>19220.615296</v>
      </c>
      <c r="DL56" s="730">
        <f t="shared" si="43"/>
        <v>19220.615296</v>
      </c>
      <c r="DM56" s="730">
        <f t="shared" si="44"/>
        <v>80758.967936000001</v>
      </c>
      <c r="DP56" s="729" t="s">
        <v>361</v>
      </c>
      <c r="DQ56" s="687">
        <v>414369512</v>
      </c>
      <c r="DR56" s="730">
        <f t="shared" si="45"/>
        <v>414369.51199999999</v>
      </c>
      <c r="DT56" s="729" t="s">
        <v>355</v>
      </c>
      <c r="DU56" s="687">
        <v>118949696</v>
      </c>
      <c r="DV56" s="687">
        <v>41205901</v>
      </c>
      <c r="DW56" s="687">
        <v>41205901</v>
      </c>
      <c r="DX56" s="687">
        <v>77743795</v>
      </c>
      <c r="DY56" s="730">
        <f t="shared" si="46"/>
        <v>118949.696</v>
      </c>
      <c r="DZ56" s="730">
        <f t="shared" si="47"/>
        <v>41205.900999999998</v>
      </c>
      <c r="EA56" s="730">
        <f t="shared" si="48"/>
        <v>41205.900999999998</v>
      </c>
      <c r="EB56" s="730">
        <f t="shared" si="49"/>
        <v>77743.794999999998</v>
      </c>
      <c r="EE56" s="731" t="s">
        <v>368</v>
      </c>
      <c r="EF56" s="730">
        <v>745179</v>
      </c>
      <c r="EG56" s="734">
        <f t="shared" si="50"/>
        <v>745.17899999999997</v>
      </c>
      <c r="EI56" s="731" t="s">
        <v>820</v>
      </c>
      <c r="EJ56" s="730">
        <v>700000</v>
      </c>
      <c r="EK56" s="730">
        <v>0</v>
      </c>
      <c r="EL56" s="730">
        <v>0</v>
      </c>
      <c r="EM56" s="734">
        <f t="shared" si="51"/>
        <v>700</v>
      </c>
      <c r="EN56" s="734">
        <f t="shared" si="52"/>
        <v>0</v>
      </c>
      <c r="EO56" s="734">
        <f t="shared" si="53"/>
        <v>0</v>
      </c>
      <c r="ER56" s="729" t="s">
        <v>370</v>
      </c>
      <c r="ES56" s="687">
        <v>18901177</v>
      </c>
      <c r="ET56" s="730">
        <f t="shared" si="54"/>
        <v>18901.177</v>
      </c>
      <c r="EW56" s="729" t="s">
        <v>820</v>
      </c>
      <c r="EX56" s="687">
        <v>0</v>
      </c>
      <c r="EY56" s="687">
        <v>700000</v>
      </c>
      <c r="EZ56" s="687">
        <v>0</v>
      </c>
      <c r="FA56" s="687">
        <v>0</v>
      </c>
      <c r="FB56" s="687">
        <v>700000</v>
      </c>
      <c r="FC56" s="730">
        <f t="shared" si="55"/>
        <v>0</v>
      </c>
      <c r="FD56" s="730">
        <f t="shared" si="56"/>
        <v>700</v>
      </c>
      <c r="FE56" s="730">
        <f t="shared" si="57"/>
        <v>0</v>
      </c>
      <c r="FF56" s="730">
        <f t="shared" si="58"/>
        <v>0</v>
      </c>
      <c r="FG56" s="730">
        <f t="shared" si="59"/>
        <v>700</v>
      </c>
      <c r="FJ56" s="731" t="s">
        <v>546</v>
      </c>
      <c r="FK56" s="730">
        <v>88584473</v>
      </c>
      <c r="FL56" s="734">
        <f t="shared" si="60"/>
        <v>88584.472999999998</v>
      </c>
      <c r="FN56" s="735" t="s">
        <v>355</v>
      </c>
      <c r="FO56" s="736">
        <v>128071199</v>
      </c>
      <c r="FP56" s="736">
        <v>119355854</v>
      </c>
      <c r="FQ56" s="736">
        <v>119355854</v>
      </c>
      <c r="FR56" s="736">
        <f t="shared" si="61"/>
        <v>128071.19899999999</v>
      </c>
      <c r="FS56" s="736">
        <f t="shared" si="62"/>
        <v>119355.85400000001</v>
      </c>
      <c r="FT56" s="736">
        <f t="shared" si="63"/>
        <v>119355.85400000001</v>
      </c>
    </row>
    <row r="57" spans="1:176" ht="15" customHeight="1" x14ac:dyDescent="0.25">
      <c r="A57" s="728" t="s">
        <v>881</v>
      </c>
      <c r="B57" s="729" t="s">
        <v>458</v>
      </c>
      <c r="C57" s="687">
        <v>0</v>
      </c>
      <c r="D57" s="687">
        <v>17560000</v>
      </c>
      <c r="E57" s="687">
        <v>0</v>
      </c>
      <c r="F57" s="687">
        <v>17560000</v>
      </c>
      <c r="G57" s="687">
        <v>0</v>
      </c>
      <c r="H57" s="730">
        <f t="shared" si="10"/>
        <v>18297.52</v>
      </c>
      <c r="I57" s="730">
        <f t="shared" si="11"/>
        <v>0</v>
      </c>
      <c r="J57" s="730">
        <f t="shared" si="12"/>
        <v>18297.52</v>
      </c>
      <c r="K57" s="730">
        <f t="shared" si="13"/>
        <v>0</v>
      </c>
      <c r="O57" s="729" t="s">
        <v>375</v>
      </c>
      <c r="P57" s="687">
        <v>5465146</v>
      </c>
      <c r="Q57" s="730">
        <f t="shared" si="14"/>
        <v>5694.6821319999999</v>
      </c>
      <c r="S57" s="729" t="s">
        <v>458</v>
      </c>
      <c r="T57" s="687">
        <v>17560000</v>
      </c>
      <c r="U57" s="687">
        <v>0</v>
      </c>
      <c r="V57" s="687">
        <v>0</v>
      </c>
      <c r="W57" s="687">
        <v>17560000</v>
      </c>
      <c r="X57" s="730">
        <f t="shared" si="15"/>
        <v>18297.52</v>
      </c>
      <c r="Y57" s="730">
        <f t="shared" si="16"/>
        <v>0</v>
      </c>
      <c r="Z57" s="730">
        <f t="shared" si="17"/>
        <v>0</v>
      </c>
      <c r="AA57" s="730">
        <f t="shared" si="18"/>
        <v>18297.52</v>
      </c>
      <c r="AC57" s="729" t="s">
        <v>364</v>
      </c>
      <c r="AD57" s="687">
        <v>7948409</v>
      </c>
      <c r="AE57" s="730">
        <f t="shared" si="19"/>
        <v>8282.2421780000004</v>
      </c>
      <c r="AG57" s="729" t="s">
        <v>356</v>
      </c>
      <c r="AH57" s="687">
        <v>10000</v>
      </c>
      <c r="AI57" s="687">
        <v>0</v>
      </c>
      <c r="AJ57" s="687">
        <v>0</v>
      </c>
      <c r="AK57" s="687">
        <v>10000</v>
      </c>
      <c r="AL57" s="687">
        <f t="shared" si="20"/>
        <v>10.42</v>
      </c>
      <c r="AM57" s="687">
        <f t="shared" si="21"/>
        <v>0</v>
      </c>
      <c r="AN57" s="687">
        <f t="shared" si="22"/>
        <v>0</v>
      </c>
      <c r="AO57" s="687">
        <f t="shared" si="23"/>
        <v>10.42</v>
      </c>
      <c r="AR57" s="729" t="s">
        <v>374</v>
      </c>
      <c r="AS57" s="687">
        <v>608358</v>
      </c>
      <c r="AT57" s="687">
        <f t="shared" si="24"/>
        <v>633.90903600000001</v>
      </c>
      <c r="AV57" s="729" t="s">
        <v>356</v>
      </c>
      <c r="AW57" s="687">
        <v>10000</v>
      </c>
      <c r="AX57" s="687">
        <v>0</v>
      </c>
      <c r="AY57" s="687">
        <v>0</v>
      </c>
      <c r="AZ57" s="687">
        <v>10000</v>
      </c>
      <c r="BA57" s="730">
        <f t="shared" si="25"/>
        <v>10.42</v>
      </c>
      <c r="BB57" s="730">
        <f t="shared" si="26"/>
        <v>0</v>
      </c>
      <c r="BC57" s="730">
        <f t="shared" si="27"/>
        <v>0</v>
      </c>
      <c r="BD57" s="730">
        <f t="shared" si="28"/>
        <v>10.42</v>
      </c>
      <c r="BG57" s="754" t="s">
        <v>558</v>
      </c>
      <c r="BH57" s="687">
        <v>739668</v>
      </c>
      <c r="BI57" s="755">
        <f t="shared" si="29"/>
        <v>770.73405600000001</v>
      </c>
      <c r="BK57" s="754" t="s">
        <v>356</v>
      </c>
      <c r="BL57" s="687">
        <v>10000</v>
      </c>
      <c r="BM57" s="687">
        <v>0</v>
      </c>
      <c r="BN57" s="687">
        <v>0</v>
      </c>
      <c r="BO57" s="687">
        <v>10000</v>
      </c>
      <c r="BP57" s="687">
        <f t="shared" si="30"/>
        <v>10.42</v>
      </c>
      <c r="BQ57" s="687">
        <f t="shared" si="31"/>
        <v>0</v>
      </c>
      <c r="BR57" s="687">
        <f t="shared" si="32"/>
        <v>0</v>
      </c>
      <c r="BS57" s="755">
        <f t="shared" si="33"/>
        <v>10.42</v>
      </c>
      <c r="BV57" s="729" t="s">
        <v>362</v>
      </c>
      <c r="BW57" s="687">
        <v>7774155</v>
      </c>
      <c r="BX57" s="730">
        <f t="shared" si="34"/>
        <v>8100.6695099999997</v>
      </c>
      <c r="BZ57" s="729" t="s">
        <v>356</v>
      </c>
      <c r="CA57" s="687">
        <v>10000</v>
      </c>
      <c r="CB57" s="687">
        <v>0</v>
      </c>
      <c r="CC57" s="687">
        <v>0</v>
      </c>
      <c r="CD57" s="687">
        <v>10000</v>
      </c>
      <c r="CE57" s="687">
        <f t="shared" si="35"/>
        <v>10.42</v>
      </c>
      <c r="CF57" s="687">
        <f t="shared" si="36"/>
        <v>0</v>
      </c>
      <c r="CG57" s="687">
        <f t="shared" si="37"/>
        <v>0</v>
      </c>
      <c r="CH57" s="687">
        <f t="shared" si="38"/>
        <v>10.42</v>
      </c>
      <c r="CK57" s="731" t="s">
        <v>362</v>
      </c>
      <c r="CL57" s="730">
        <v>4566506</v>
      </c>
      <c r="CM57" s="730">
        <f t="shared" si="39"/>
        <v>4758.2992520000007</v>
      </c>
      <c r="CP57" s="731" t="s">
        <v>356</v>
      </c>
      <c r="CQ57" s="730">
        <v>10000</v>
      </c>
      <c r="CR57" s="730">
        <v>0</v>
      </c>
      <c r="CS57" s="730">
        <v>0</v>
      </c>
      <c r="CT57" s="730">
        <v>10000</v>
      </c>
      <c r="CU57" s="730">
        <f t="shared" si="64"/>
        <v>10.42</v>
      </c>
      <c r="CV57" s="730">
        <f t="shared" si="65"/>
        <v>0</v>
      </c>
      <c r="CW57" s="730">
        <f t="shared" si="66"/>
        <v>0</v>
      </c>
      <c r="CX57" s="730">
        <f t="shared" si="67"/>
        <v>10.42</v>
      </c>
      <c r="CZ57" s="731" t="s">
        <v>362</v>
      </c>
      <c r="DA57" s="730">
        <v>416500</v>
      </c>
      <c r="DB57" s="730">
        <f t="shared" si="40"/>
        <v>433.99299999999999</v>
      </c>
      <c r="DE57" s="729" t="s">
        <v>356</v>
      </c>
      <c r="DF57" s="687">
        <v>10000</v>
      </c>
      <c r="DG57" s="687">
        <v>0</v>
      </c>
      <c r="DH57" s="687">
        <v>0</v>
      </c>
      <c r="DI57" s="687">
        <v>10000</v>
      </c>
      <c r="DJ57" s="730">
        <f t="shared" si="41"/>
        <v>10.42</v>
      </c>
      <c r="DK57" s="730">
        <f t="shared" si="42"/>
        <v>0</v>
      </c>
      <c r="DL57" s="730">
        <f t="shared" si="43"/>
        <v>0</v>
      </c>
      <c r="DM57" s="730">
        <f t="shared" si="44"/>
        <v>10.42</v>
      </c>
      <c r="DP57" s="729" t="s">
        <v>364</v>
      </c>
      <c r="DQ57" s="687">
        <v>1835295</v>
      </c>
      <c r="DR57" s="730">
        <f t="shared" si="45"/>
        <v>1835.2950000000001</v>
      </c>
      <c r="DT57" s="729" t="s">
        <v>356</v>
      </c>
      <c r="DU57" s="687">
        <v>23010000</v>
      </c>
      <c r="DV57" s="687">
        <v>22760013</v>
      </c>
      <c r="DW57" s="687">
        <v>22760013</v>
      </c>
      <c r="DX57" s="687">
        <v>249987</v>
      </c>
      <c r="DY57" s="730">
        <f t="shared" si="46"/>
        <v>23010</v>
      </c>
      <c r="DZ57" s="730">
        <f t="shared" si="47"/>
        <v>22760.012999999999</v>
      </c>
      <c r="EA57" s="730">
        <f t="shared" si="48"/>
        <v>22760.012999999999</v>
      </c>
      <c r="EB57" s="730">
        <f t="shared" si="49"/>
        <v>249.98699999999999</v>
      </c>
      <c r="EE57" s="731" t="s">
        <v>369</v>
      </c>
      <c r="EF57" s="730">
        <v>166600</v>
      </c>
      <c r="EG57" s="734">
        <f t="shared" si="50"/>
        <v>166.6</v>
      </c>
      <c r="EI57" s="731" t="s">
        <v>355</v>
      </c>
      <c r="EJ57" s="730">
        <v>118949696</v>
      </c>
      <c r="EK57" s="730">
        <v>41205901</v>
      </c>
      <c r="EL57" s="730">
        <v>41205901</v>
      </c>
      <c r="EM57" s="734">
        <f t="shared" si="51"/>
        <v>118949.696</v>
      </c>
      <c r="EN57" s="734">
        <f t="shared" si="52"/>
        <v>41205.900999999998</v>
      </c>
      <c r="EO57" s="734">
        <f t="shared" si="53"/>
        <v>41205.900999999998</v>
      </c>
      <c r="ER57" s="729" t="s">
        <v>371</v>
      </c>
      <c r="ES57" s="687">
        <v>1737447</v>
      </c>
      <c r="ET57" s="730">
        <f t="shared" si="54"/>
        <v>1737.4469999999999</v>
      </c>
      <c r="EW57" s="729" t="s">
        <v>355</v>
      </c>
      <c r="EX57" s="687">
        <v>0</v>
      </c>
      <c r="EY57" s="687">
        <v>118949696</v>
      </c>
      <c r="EZ57" s="687">
        <v>41205901</v>
      </c>
      <c r="FA57" s="687">
        <v>41205901</v>
      </c>
      <c r="FB57" s="687">
        <v>77743795</v>
      </c>
      <c r="FC57" s="730">
        <f t="shared" si="55"/>
        <v>0</v>
      </c>
      <c r="FD57" s="730">
        <f t="shared" si="56"/>
        <v>118949.696</v>
      </c>
      <c r="FE57" s="730">
        <f t="shared" si="57"/>
        <v>41205.900999999998</v>
      </c>
      <c r="FF57" s="730">
        <f t="shared" si="58"/>
        <v>41205.900999999998</v>
      </c>
      <c r="FG57" s="730">
        <f t="shared" si="59"/>
        <v>77743.794999999998</v>
      </c>
      <c r="FJ57" s="731" t="s">
        <v>547</v>
      </c>
      <c r="FK57" s="730">
        <v>88270689</v>
      </c>
      <c r="FL57" s="734">
        <f t="shared" si="60"/>
        <v>88270.688999999998</v>
      </c>
      <c r="FN57" s="735" t="s">
        <v>356</v>
      </c>
      <c r="FO57" s="736">
        <v>38806479</v>
      </c>
      <c r="FP57" s="736">
        <v>38804942</v>
      </c>
      <c r="FQ57" s="736">
        <v>38804942</v>
      </c>
      <c r="FR57" s="736">
        <f t="shared" si="61"/>
        <v>38806.478999999999</v>
      </c>
      <c r="FS57" s="736">
        <f t="shared" si="62"/>
        <v>38804.942000000003</v>
      </c>
      <c r="FT57" s="736">
        <f t="shared" si="63"/>
        <v>38804.942000000003</v>
      </c>
    </row>
    <row r="58" spans="1:176" ht="15" customHeight="1" x14ac:dyDescent="0.25">
      <c r="A58" s="728" t="s">
        <v>881</v>
      </c>
      <c r="B58" s="729" t="s">
        <v>357</v>
      </c>
      <c r="C58" s="687">
        <v>0</v>
      </c>
      <c r="D58" s="687">
        <v>68780000</v>
      </c>
      <c r="E58" s="687">
        <v>0</v>
      </c>
      <c r="F58" s="687">
        <v>68780000</v>
      </c>
      <c r="G58" s="687">
        <v>0</v>
      </c>
      <c r="H58" s="730">
        <f t="shared" si="10"/>
        <v>71668.760000000009</v>
      </c>
      <c r="I58" s="730">
        <f t="shared" si="11"/>
        <v>0</v>
      </c>
      <c r="J58" s="730">
        <f t="shared" si="12"/>
        <v>71668.760000000009</v>
      </c>
      <c r="K58" s="730">
        <f t="shared" si="13"/>
        <v>0</v>
      </c>
      <c r="O58" s="729" t="s">
        <v>377</v>
      </c>
      <c r="P58" s="687">
        <v>474317</v>
      </c>
      <c r="Q58" s="730">
        <f t="shared" si="14"/>
        <v>494.238314</v>
      </c>
      <c r="S58" s="729" t="s">
        <v>357</v>
      </c>
      <c r="T58" s="687">
        <v>68780000</v>
      </c>
      <c r="U58" s="687">
        <v>0</v>
      </c>
      <c r="V58" s="687">
        <v>0</v>
      </c>
      <c r="W58" s="687">
        <v>68780000</v>
      </c>
      <c r="X58" s="730">
        <f t="shared" si="15"/>
        <v>71668.760000000009</v>
      </c>
      <c r="Y58" s="730">
        <f t="shared" si="16"/>
        <v>0</v>
      </c>
      <c r="Z58" s="730">
        <f t="shared" si="17"/>
        <v>0</v>
      </c>
      <c r="AA58" s="730">
        <f t="shared" si="18"/>
        <v>71668.760000000009</v>
      </c>
      <c r="AC58" s="729" t="s">
        <v>367</v>
      </c>
      <c r="AD58" s="687">
        <v>3199851</v>
      </c>
      <c r="AE58" s="730">
        <f t="shared" si="19"/>
        <v>3334.2447420000003</v>
      </c>
      <c r="AG58" s="729" t="s">
        <v>458</v>
      </c>
      <c r="AH58" s="687">
        <v>17560000</v>
      </c>
      <c r="AI58" s="687">
        <v>8854892</v>
      </c>
      <c r="AJ58" s="687">
        <v>8854892</v>
      </c>
      <c r="AK58" s="687">
        <v>8705108</v>
      </c>
      <c r="AL58" s="687">
        <f t="shared" si="20"/>
        <v>18297.52</v>
      </c>
      <c r="AM58" s="687">
        <f t="shared" si="21"/>
        <v>9226.7974639999993</v>
      </c>
      <c r="AN58" s="687">
        <f t="shared" si="22"/>
        <v>9226.7974639999993</v>
      </c>
      <c r="AO58" s="687">
        <f t="shared" si="23"/>
        <v>9070.7225360000011</v>
      </c>
      <c r="AR58" s="729" t="s">
        <v>377</v>
      </c>
      <c r="AS58" s="687">
        <v>474317</v>
      </c>
      <c r="AT58" s="687">
        <f t="shared" si="24"/>
        <v>494.238314</v>
      </c>
      <c r="AV58" s="729" t="s">
        <v>458</v>
      </c>
      <c r="AW58" s="687">
        <v>17560000</v>
      </c>
      <c r="AX58" s="687">
        <v>8854892</v>
      </c>
      <c r="AY58" s="687">
        <v>8854892</v>
      </c>
      <c r="AZ58" s="687">
        <v>8705108</v>
      </c>
      <c r="BA58" s="730">
        <f t="shared" si="25"/>
        <v>18297.52</v>
      </c>
      <c r="BB58" s="730">
        <f t="shared" si="26"/>
        <v>9226.7974639999993</v>
      </c>
      <c r="BC58" s="730">
        <f t="shared" si="27"/>
        <v>9226.7974639999993</v>
      </c>
      <c r="BD58" s="730">
        <f t="shared" si="28"/>
        <v>9070.7225360000011</v>
      </c>
      <c r="BG58" s="754" t="s">
        <v>380</v>
      </c>
      <c r="BH58" s="687">
        <v>7531699</v>
      </c>
      <c r="BI58" s="755">
        <f t="shared" si="29"/>
        <v>7848.030358</v>
      </c>
      <c r="BK58" s="754" t="s">
        <v>458</v>
      </c>
      <c r="BL58" s="687">
        <v>17560000</v>
      </c>
      <c r="BM58" s="687">
        <v>8854892</v>
      </c>
      <c r="BN58" s="687">
        <v>8854892</v>
      </c>
      <c r="BO58" s="687">
        <v>8705108</v>
      </c>
      <c r="BP58" s="687">
        <f t="shared" si="30"/>
        <v>18297.52</v>
      </c>
      <c r="BQ58" s="687">
        <f t="shared" si="31"/>
        <v>9226.7974639999993</v>
      </c>
      <c r="BR58" s="687">
        <f t="shared" si="32"/>
        <v>9226.7974639999993</v>
      </c>
      <c r="BS58" s="755">
        <f t="shared" si="33"/>
        <v>9070.7225360000011</v>
      </c>
      <c r="BV58" s="729" t="s">
        <v>549</v>
      </c>
      <c r="BW58" s="687">
        <v>6374355</v>
      </c>
      <c r="BX58" s="730">
        <f t="shared" si="34"/>
        <v>6642.07791</v>
      </c>
      <c r="BZ58" s="729" t="s">
        <v>458</v>
      </c>
      <c r="CA58" s="687">
        <v>27159696</v>
      </c>
      <c r="CB58" s="687">
        <v>18454588</v>
      </c>
      <c r="CC58" s="687">
        <v>18454588</v>
      </c>
      <c r="CD58" s="687">
        <v>8705108</v>
      </c>
      <c r="CE58" s="687">
        <f t="shared" si="35"/>
        <v>28300.403232000001</v>
      </c>
      <c r="CF58" s="687">
        <f t="shared" si="36"/>
        <v>19229.680695999999</v>
      </c>
      <c r="CG58" s="687">
        <f t="shared" si="37"/>
        <v>19229.680695999999</v>
      </c>
      <c r="CH58" s="687">
        <f t="shared" si="38"/>
        <v>9070.7225360000011</v>
      </c>
      <c r="CK58" s="731" t="s">
        <v>549</v>
      </c>
      <c r="CL58" s="730">
        <v>2469488</v>
      </c>
      <c r="CM58" s="730">
        <f t="shared" si="39"/>
        <v>2573.2064959999998</v>
      </c>
      <c r="CP58" s="731" t="s">
        <v>458</v>
      </c>
      <c r="CQ58" s="730">
        <v>27159696</v>
      </c>
      <c r="CR58" s="730">
        <v>18452653</v>
      </c>
      <c r="CS58" s="730">
        <v>18452653</v>
      </c>
      <c r="CT58" s="730">
        <v>8707043</v>
      </c>
      <c r="CU58" s="730">
        <f t="shared" si="64"/>
        <v>28300.403232000001</v>
      </c>
      <c r="CV58" s="730">
        <f t="shared" si="65"/>
        <v>19227.664425999999</v>
      </c>
      <c r="CW58" s="730">
        <f t="shared" si="66"/>
        <v>19227.664425999999</v>
      </c>
      <c r="CX58" s="730">
        <f t="shared" si="67"/>
        <v>9072.7388059999994</v>
      </c>
      <c r="CZ58" s="731" t="s">
        <v>549</v>
      </c>
      <c r="DA58" s="730">
        <v>416500</v>
      </c>
      <c r="DB58" s="730">
        <f t="shared" si="40"/>
        <v>433.99299999999999</v>
      </c>
      <c r="DE58" s="729" t="s">
        <v>458</v>
      </c>
      <c r="DF58" s="687">
        <v>27159696</v>
      </c>
      <c r="DG58" s="687">
        <v>18445888</v>
      </c>
      <c r="DH58" s="687">
        <v>18445888</v>
      </c>
      <c r="DI58" s="687">
        <v>8713808</v>
      </c>
      <c r="DJ58" s="730">
        <f t="shared" si="41"/>
        <v>28300.403232000001</v>
      </c>
      <c r="DK58" s="730">
        <f t="shared" si="42"/>
        <v>19220.615296</v>
      </c>
      <c r="DL58" s="730">
        <f t="shared" si="43"/>
        <v>19220.615296</v>
      </c>
      <c r="DM58" s="730">
        <f t="shared" si="44"/>
        <v>9079.7879360000006</v>
      </c>
      <c r="DP58" s="729" t="s">
        <v>365</v>
      </c>
      <c r="DQ58" s="687">
        <v>105981</v>
      </c>
      <c r="DR58" s="730">
        <f t="shared" si="45"/>
        <v>105.98099999999999</v>
      </c>
      <c r="DT58" s="729" t="s">
        <v>458</v>
      </c>
      <c r="DU58" s="687">
        <v>27159696</v>
      </c>
      <c r="DV58" s="687">
        <v>18445888</v>
      </c>
      <c r="DW58" s="687">
        <v>18445888</v>
      </c>
      <c r="DX58" s="687">
        <v>8713808</v>
      </c>
      <c r="DY58" s="730">
        <f t="shared" si="46"/>
        <v>27159.696</v>
      </c>
      <c r="DZ58" s="730">
        <f t="shared" si="47"/>
        <v>18445.887999999999</v>
      </c>
      <c r="EA58" s="730">
        <f t="shared" si="48"/>
        <v>18445.887999999999</v>
      </c>
      <c r="EB58" s="730">
        <f t="shared" si="49"/>
        <v>8713.8080000000009</v>
      </c>
      <c r="EE58" s="731" t="s">
        <v>370</v>
      </c>
      <c r="EF58" s="730">
        <v>16481707</v>
      </c>
      <c r="EG58" s="734">
        <f t="shared" si="50"/>
        <v>16481.706999999999</v>
      </c>
      <c r="EI58" s="731" t="s">
        <v>356</v>
      </c>
      <c r="EJ58" s="730">
        <v>23010000</v>
      </c>
      <c r="EK58" s="730">
        <v>22760013</v>
      </c>
      <c r="EL58" s="730">
        <v>22760013</v>
      </c>
      <c r="EM58" s="734">
        <f t="shared" si="51"/>
        <v>23010</v>
      </c>
      <c r="EN58" s="734">
        <f t="shared" si="52"/>
        <v>22760.012999999999</v>
      </c>
      <c r="EO58" s="734">
        <f t="shared" si="53"/>
        <v>22760.012999999999</v>
      </c>
      <c r="ER58" s="729" t="s">
        <v>372</v>
      </c>
      <c r="ES58" s="687">
        <v>1253747</v>
      </c>
      <c r="ET58" s="730">
        <f t="shared" si="54"/>
        <v>1253.7470000000001</v>
      </c>
      <c r="EW58" s="729" t="s">
        <v>356</v>
      </c>
      <c r="EX58" s="687">
        <v>0</v>
      </c>
      <c r="EY58" s="687">
        <v>23010000</v>
      </c>
      <c r="EZ58" s="687">
        <v>22760013</v>
      </c>
      <c r="FA58" s="687">
        <v>22760013</v>
      </c>
      <c r="FB58" s="687">
        <v>249987</v>
      </c>
      <c r="FC58" s="730">
        <f t="shared" si="55"/>
        <v>0</v>
      </c>
      <c r="FD58" s="730">
        <f t="shared" si="56"/>
        <v>23010</v>
      </c>
      <c r="FE58" s="730">
        <f t="shared" si="57"/>
        <v>22760.012999999999</v>
      </c>
      <c r="FF58" s="730">
        <f t="shared" si="58"/>
        <v>22760.012999999999</v>
      </c>
      <c r="FG58" s="730">
        <f t="shared" si="59"/>
        <v>249.98699999999999</v>
      </c>
      <c r="FJ58" s="731" t="s">
        <v>548</v>
      </c>
      <c r="FK58" s="730">
        <v>313784</v>
      </c>
      <c r="FL58" s="734">
        <f t="shared" si="60"/>
        <v>313.78399999999999</v>
      </c>
      <c r="FN58" s="735" t="s">
        <v>458</v>
      </c>
      <c r="FO58" s="736">
        <v>27159696</v>
      </c>
      <c r="FP58" s="736">
        <v>18445888</v>
      </c>
      <c r="FQ58" s="736">
        <v>18445888</v>
      </c>
      <c r="FR58" s="736">
        <f t="shared" si="61"/>
        <v>27159.696</v>
      </c>
      <c r="FS58" s="736">
        <f t="shared" si="62"/>
        <v>18445.887999999999</v>
      </c>
      <c r="FT58" s="736">
        <f t="shared" si="63"/>
        <v>18445.887999999999</v>
      </c>
    </row>
    <row r="59" spans="1:176" ht="15" customHeight="1" x14ac:dyDescent="0.25">
      <c r="A59" s="728" t="s">
        <v>879</v>
      </c>
      <c r="B59" s="729" t="s">
        <v>358</v>
      </c>
      <c r="C59" s="687">
        <v>0</v>
      </c>
      <c r="D59" s="687">
        <v>1074257000</v>
      </c>
      <c r="E59" s="687">
        <v>88498161</v>
      </c>
      <c r="F59" s="687">
        <v>985758839</v>
      </c>
      <c r="G59" s="687">
        <v>88498161</v>
      </c>
      <c r="H59" s="730">
        <f t="shared" si="10"/>
        <v>1119375.794</v>
      </c>
      <c r="I59" s="730">
        <f t="shared" si="11"/>
        <v>92215.083761999995</v>
      </c>
      <c r="J59" s="730">
        <f t="shared" si="12"/>
        <v>1027160.710238</v>
      </c>
      <c r="K59" s="730">
        <f t="shared" si="13"/>
        <v>92215.083761999995</v>
      </c>
      <c r="O59" s="729" t="s">
        <v>378</v>
      </c>
      <c r="P59" s="687">
        <v>487935</v>
      </c>
      <c r="Q59" s="730">
        <f t="shared" si="14"/>
        <v>508.42827</v>
      </c>
      <c r="S59" s="729" t="s">
        <v>358</v>
      </c>
      <c r="T59" s="687">
        <v>1074257000</v>
      </c>
      <c r="U59" s="687">
        <v>181357581</v>
      </c>
      <c r="V59" s="687">
        <v>181357581</v>
      </c>
      <c r="W59" s="687">
        <v>892899419</v>
      </c>
      <c r="X59" s="730">
        <f t="shared" si="15"/>
        <v>1119375.794</v>
      </c>
      <c r="Y59" s="730">
        <f t="shared" si="16"/>
        <v>188974.59940200002</v>
      </c>
      <c r="Z59" s="730">
        <f t="shared" si="17"/>
        <v>188974.59940200002</v>
      </c>
      <c r="AA59" s="730">
        <f t="shared" si="18"/>
        <v>930401.19459800003</v>
      </c>
      <c r="AC59" s="729" t="s">
        <v>552</v>
      </c>
      <c r="AD59" s="687">
        <v>1077413</v>
      </c>
      <c r="AE59" s="730">
        <f t="shared" si="19"/>
        <v>1122.664346</v>
      </c>
      <c r="AG59" s="729" t="s">
        <v>357</v>
      </c>
      <c r="AH59" s="687">
        <v>68780000</v>
      </c>
      <c r="AI59" s="687">
        <v>0</v>
      </c>
      <c r="AJ59" s="687">
        <v>0</v>
      </c>
      <c r="AK59" s="687">
        <v>68780000</v>
      </c>
      <c r="AL59" s="687">
        <f t="shared" si="20"/>
        <v>71668.760000000009</v>
      </c>
      <c r="AM59" s="687">
        <f t="shared" si="21"/>
        <v>0</v>
      </c>
      <c r="AN59" s="687">
        <f t="shared" si="22"/>
        <v>0</v>
      </c>
      <c r="AO59" s="687">
        <f t="shared" si="23"/>
        <v>71668.760000000009</v>
      </c>
      <c r="AR59" s="729" t="s">
        <v>556</v>
      </c>
      <c r="AS59" s="687">
        <v>3135806</v>
      </c>
      <c r="AT59" s="687">
        <f t="shared" si="24"/>
        <v>3267.5098520000001</v>
      </c>
      <c r="AV59" s="729" t="s">
        <v>357</v>
      </c>
      <c r="AW59" s="687">
        <v>68780000</v>
      </c>
      <c r="AX59" s="687">
        <v>0</v>
      </c>
      <c r="AY59" s="687">
        <v>0</v>
      </c>
      <c r="AZ59" s="687">
        <v>68780000</v>
      </c>
      <c r="BA59" s="730">
        <f t="shared" si="25"/>
        <v>71668.760000000009</v>
      </c>
      <c r="BB59" s="730">
        <f t="shared" si="26"/>
        <v>0</v>
      </c>
      <c r="BC59" s="730">
        <f t="shared" si="27"/>
        <v>0</v>
      </c>
      <c r="BD59" s="730">
        <f t="shared" si="28"/>
        <v>71668.760000000009</v>
      </c>
      <c r="BG59" s="754" t="s">
        <v>381</v>
      </c>
      <c r="BH59" s="687">
        <v>2550359</v>
      </c>
      <c r="BI59" s="755">
        <f t="shared" si="29"/>
        <v>2657.4740780000002</v>
      </c>
      <c r="BK59" s="754" t="s">
        <v>357</v>
      </c>
      <c r="BL59" s="687">
        <v>68780000</v>
      </c>
      <c r="BM59" s="687">
        <v>0</v>
      </c>
      <c r="BN59" s="687">
        <v>0</v>
      </c>
      <c r="BO59" s="687">
        <v>68780000</v>
      </c>
      <c r="BP59" s="687">
        <f t="shared" si="30"/>
        <v>71668.760000000009</v>
      </c>
      <c r="BQ59" s="687">
        <f t="shared" si="31"/>
        <v>0</v>
      </c>
      <c r="BR59" s="687">
        <f t="shared" si="32"/>
        <v>0</v>
      </c>
      <c r="BS59" s="755">
        <f t="shared" si="33"/>
        <v>71668.760000000009</v>
      </c>
      <c r="BV59" s="729" t="s">
        <v>363</v>
      </c>
      <c r="BW59" s="687">
        <v>1399800</v>
      </c>
      <c r="BX59" s="730">
        <f t="shared" si="34"/>
        <v>1458.5916</v>
      </c>
      <c r="BZ59" s="729" t="s">
        <v>357</v>
      </c>
      <c r="CA59" s="687">
        <v>68780000</v>
      </c>
      <c r="CB59" s="687">
        <v>0</v>
      </c>
      <c r="CC59" s="687">
        <v>0</v>
      </c>
      <c r="CD59" s="687">
        <v>68780000</v>
      </c>
      <c r="CE59" s="687">
        <f t="shared" si="35"/>
        <v>71668.760000000009</v>
      </c>
      <c r="CF59" s="687">
        <f t="shared" si="36"/>
        <v>0</v>
      </c>
      <c r="CG59" s="687">
        <f t="shared" si="37"/>
        <v>0</v>
      </c>
      <c r="CH59" s="687">
        <f t="shared" si="38"/>
        <v>71668.760000000009</v>
      </c>
      <c r="CK59" s="731" t="s">
        <v>363</v>
      </c>
      <c r="CL59" s="730">
        <v>2097018</v>
      </c>
      <c r="CM59" s="730">
        <f t="shared" si="39"/>
        <v>2185.092756</v>
      </c>
      <c r="CP59" s="731" t="s">
        <v>357</v>
      </c>
      <c r="CQ59" s="730">
        <v>68780000</v>
      </c>
      <c r="CR59" s="730">
        <v>0</v>
      </c>
      <c r="CS59" s="730">
        <v>0</v>
      </c>
      <c r="CT59" s="730">
        <v>68780000</v>
      </c>
      <c r="CU59" s="730">
        <f t="shared" si="64"/>
        <v>71668.760000000009</v>
      </c>
      <c r="CV59" s="730">
        <f t="shared" si="65"/>
        <v>0</v>
      </c>
      <c r="CW59" s="730">
        <f t="shared" si="66"/>
        <v>0</v>
      </c>
      <c r="CX59" s="730">
        <f t="shared" si="67"/>
        <v>71668.760000000009</v>
      </c>
      <c r="CZ59" s="731" t="s">
        <v>364</v>
      </c>
      <c r="DA59" s="730">
        <v>10504249</v>
      </c>
      <c r="DB59" s="730">
        <f t="shared" si="40"/>
        <v>10945.427458</v>
      </c>
      <c r="DE59" s="729" t="s">
        <v>357</v>
      </c>
      <c r="DF59" s="687">
        <v>68780000</v>
      </c>
      <c r="DG59" s="687">
        <v>0</v>
      </c>
      <c r="DH59" s="687">
        <v>0</v>
      </c>
      <c r="DI59" s="687">
        <v>68780000</v>
      </c>
      <c r="DJ59" s="730">
        <f t="shared" si="41"/>
        <v>71668.760000000009</v>
      </c>
      <c r="DK59" s="730">
        <f t="shared" si="42"/>
        <v>0</v>
      </c>
      <c r="DL59" s="730">
        <f t="shared" si="43"/>
        <v>0</v>
      </c>
      <c r="DM59" s="730">
        <f t="shared" si="44"/>
        <v>71668.760000000009</v>
      </c>
      <c r="DP59" s="729" t="s">
        <v>552</v>
      </c>
      <c r="DQ59" s="687">
        <v>1590343</v>
      </c>
      <c r="DR59" s="730">
        <f t="shared" si="45"/>
        <v>1590.3430000000001</v>
      </c>
      <c r="DT59" s="729" t="s">
        <v>357</v>
      </c>
      <c r="DU59" s="687">
        <v>68780000</v>
      </c>
      <c r="DV59" s="687">
        <v>0</v>
      </c>
      <c r="DW59" s="687">
        <v>0</v>
      </c>
      <c r="DX59" s="687">
        <v>68780000</v>
      </c>
      <c r="DY59" s="730">
        <f t="shared" si="46"/>
        <v>68780</v>
      </c>
      <c r="DZ59" s="730">
        <f t="shared" si="47"/>
        <v>0</v>
      </c>
      <c r="EA59" s="730">
        <f t="shared" si="48"/>
        <v>0</v>
      </c>
      <c r="EB59" s="730">
        <f t="shared" si="49"/>
        <v>68780</v>
      </c>
      <c r="EE59" s="731" t="s">
        <v>371</v>
      </c>
      <c r="EF59" s="730">
        <v>1942100</v>
      </c>
      <c r="EG59" s="734">
        <f t="shared" si="50"/>
        <v>1942.1</v>
      </c>
      <c r="EI59" s="731" t="s">
        <v>458</v>
      </c>
      <c r="EJ59" s="730">
        <v>27159696</v>
      </c>
      <c r="EK59" s="730">
        <v>18445888</v>
      </c>
      <c r="EL59" s="730">
        <v>18445888</v>
      </c>
      <c r="EM59" s="734">
        <f t="shared" si="51"/>
        <v>27159.696</v>
      </c>
      <c r="EN59" s="734">
        <f t="shared" si="52"/>
        <v>18445.887999999999</v>
      </c>
      <c r="EO59" s="734">
        <f t="shared" si="53"/>
        <v>18445.887999999999</v>
      </c>
      <c r="ER59" s="729" t="s">
        <v>373</v>
      </c>
      <c r="ES59" s="687">
        <v>225453</v>
      </c>
      <c r="ET59" s="730">
        <f t="shared" si="54"/>
        <v>225.453</v>
      </c>
      <c r="EW59" s="729" t="s">
        <v>458</v>
      </c>
      <c r="EX59" s="687">
        <v>0</v>
      </c>
      <c r="EY59" s="687">
        <v>27159696</v>
      </c>
      <c r="EZ59" s="687">
        <v>18445888</v>
      </c>
      <c r="FA59" s="687">
        <v>18445888</v>
      </c>
      <c r="FB59" s="687">
        <v>8713808</v>
      </c>
      <c r="FC59" s="730">
        <f t="shared" si="55"/>
        <v>0</v>
      </c>
      <c r="FD59" s="730">
        <f t="shared" si="56"/>
        <v>27159.696</v>
      </c>
      <c r="FE59" s="730">
        <f t="shared" si="57"/>
        <v>18445.887999999999</v>
      </c>
      <c r="FF59" s="730">
        <f t="shared" si="58"/>
        <v>18445.887999999999</v>
      </c>
      <c r="FG59" s="730">
        <f t="shared" si="59"/>
        <v>8713.8080000000009</v>
      </c>
      <c r="FJ59" s="731" t="s">
        <v>359</v>
      </c>
      <c r="FK59" s="730">
        <v>8801030</v>
      </c>
      <c r="FL59" s="734">
        <f t="shared" si="60"/>
        <v>8801.0300000000007</v>
      </c>
      <c r="FN59" s="735" t="s">
        <v>357</v>
      </c>
      <c r="FO59" s="736">
        <v>62105024</v>
      </c>
      <c r="FP59" s="736">
        <v>62105024</v>
      </c>
      <c r="FQ59" s="736">
        <v>62105024</v>
      </c>
      <c r="FR59" s="736">
        <f t="shared" si="61"/>
        <v>62105.023999999998</v>
      </c>
      <c r="FS59" s="736">
        <f t="shared" si="62"/>
        <v>62105.023999999998</v>
      </c>
      <c r="FT59" s="736">
        <f t="shared" si="63"/>
        <v>62105.023999999998</v>
      </c>
    </row>
    <row r="60" spans="1:176" ht="15" customHeight="1" x14ac:dyDescent="0.25">
      <c r="A60" s="728" t="s">
        <v>880</v>
      </c>
      <c r="B60" s="729" t="s">
        <v>546</v>
      </c>
      <c r="C60" s="687">
        <v>0</v>
      </c>
      <c r="D60" s="687">
        <v>1009080000</v>
      </c>
      <c r="E60" s="687">
        <v>78573999</v>
      </c>
      <c r="F60" s="687">
        <v>930506001</v>
      </c>
      <c r="G60" s="687">
        <v>78573999</v>
      </c>
      <c r="H60" s="730">
        <f t="shared" si="10"/>
        <v>1051461.3600000001</v>
      </c>
      <c r="I60" s="730">
        <f t="shared" si="11"/>
        <v>81874.106958000004</v>
      </c>
      <c r="J60" s="730">
        <f t="shared" si="12"/>
        <v>969587.25304200011</v>
      </c>
      <c r="K60" s="730">
        <f t="shared" si="13"/>
        <v>81874.106958000004</v>
      </c>
      <c r="O60" s="729" t="s">
        <v>558</v>
      </c>
      <c r="P60" s="687">
        <v>487935</v>
      </c>
      <c r="Q60" s="730">
        <f t="shared" si="14"/>
        <v>508.42827</v>
      </c>
      <c r="S60" s="729" t="s">
        <v>546</v>
      </c>
      <c r="T60" s="687">
        <v>1009080000</v>
      </c>
      <c r="U60" s="687">
        <v>162310675</v>
      </c>
      <c r="V60" s="687">
        <v>162310675</v>
      </c>
      <c r="W60" s="687">
        <v>846769325</v>
      </c>
      <c r="X60" s="730">
        <f t="shared" si="15"/>
        <v>1051461.3600000001</v>
      </c>
      <c r="Y60" s="730">
        <f t="shared" si="16"/>
        <v>169127.72334999999</v>
      </c>
      <c r="Z60" s="730">
        <f t="shared" si="17"/>
        <v>169127.72334999999</v>
      </c>
      <c r="AA60" s="730">
        <f t="shared" si="18"/>
        <v>882333.63665</v>
      </c>
      <c r="AC60" s="729" t="s">
        <v>368</v>
      </c>
      <c r="AD60" s="687">
        <v>2778645</v>
      </c>
      <c r="AE60" s="730">
        <f t="shared" si="19"/>
        <v>2895.34809</v>
      </c>
      <c r="AG60" s="729" t="s">
        <v>358</v>
      </c>
      <c r="AH60" s="687">
        <v>1074257000</v>
      </c>
      <c r="AI60" s="687">
        <v>279704175</v>
      </c>
      <c r="AJ60" s="687">
        <v>279704175</v>
      </c>
      <c r="AK60" s="687">
        <v>794552825</v>
      </c>
      <c r="AL60" s="687">
        <f t="shared" si="20"/>
        <v>1119375.794</v>
      </c>
      <c r="AM60" s="687">
        <f t="shared" si="21"/>
        <v>291451.75034999999</v>
      </c>
      <c r="AN60" s="687">
        <f t="shared" si="22"/>
        <v>291451.75034999999</v>
      </c>
      <c r="AO60" s="687">
        <f t="shared" si="23"/>
        <v>827924.04365000001</v>
      </c>
      <c r="AR60" s="729" t="s">
        <v>378</v>
      </c>
      <c r="AS60" s="687">
        <v>3542420</v>
      </c>
      <c r="AT60" s="687">
        <f t="shared" si="24"/>
        <v>3691.2016400000002</v>
      </c>
      <c r="AV60" s="729" t="s">
        <v>358</v>
      </c>
      <c r="AW60" s="687">
        <v>1092561000</v>
      </c>
      <c r="AX60" s="687">
        <v>380004847</v>
      </c>
      <c r="AY60" s="687">
        <v>380004847</v>
      </c>
      <c r="AZ60" s="687">
        <v>712556153</v>
      </c>
      <c r="BA60" s="730">
        <f t="shared" si="25"/>
        <v>1138448.5620000002</v>
      </c>
      <c r="BB60" s="730">
        <f t="shared" si="26"/>
        <v>395965.05057400005</v>
      </c>
      <c r="BC60" s="730">
        <f t="shared" si="27"/>
        <v>395965.05057400005</v>
      </c>
      <c r="BD60" s="730">
        <f t="shared" si="28"/>
        <v>742483.51142600004</v>
      </c>
      <c r="BG60" s="754" t="s">
        <v>382</v>
      </c>
      <c r="BH60" s="687">
        <v>4981340</v>
      </c>
      <c r="BI60" s="755">
        <f t="shared" si="29"/>
        <v>5190.5562800000007</v>
      </c>
      <c r="BK60" s="754" t="s">
        <v>358</v>
      </c>
      <c r="BL60" s="687">
        <v>1092561000</v>
      </c>
      <c r="BM60" s="687">
        <v>480562906</v>
      </c>
      <c r="BN60" s="687">
        <v>480562906</v>
      </c>
      <c r="BO60" s="687">
        <v>611998094</v>
      </c>
      <c r="BP60" s="687">
        <f t="shared" si="30"/>
        <v>1138448.5620000002</v>
      </c>
      <c r="BQ60" s="687">
        <f t="shared" si="31"/>
        <v>500746.54805200006</v>
      </c>
      <c r="BR60" s="687">
        <f t="shared" si="32"/>
        <v>500746.54805200006</v>
      </c>
      <c r="BS60" s="755">
        <f t="shared" si="33"/>
        <v>637702.01394800004</v>
      </c>
      <c r="BV60" s="729" t="s">
        <v>476</v>
      </c>
      <c r="BW60" s="687">
        <v>30000000</v>
      </c>
      <c r="BX60" s="730">
        <f t="shared" si="34"/>
        <v>31260</v>
      </c>
      <c r="BZ60" s="729" t="s">
        <v>358</v>
      </c>
      <c r="CA60" s="687">
        <v>1105413453</v>
      </c>
      <c r="CB60" s="687">
        <v>576906901</v>
      </c>
      <c r="CC60" s="687">
        <v>576906901</v>
      </c>
      <c r="CD60" s="687">
        <v>528506552</v>
      </c>
      <c r="CE60" s="687">
        <f t="shared" si="35"/>
        <v>1151840.8180259999</v>
      </c>
      <c r="CF60" s="687">
        <f t="shared" si="36"/>
        <v>601136.990842</v>
      </c>
      <c r="CG60" s="687">
        <f t="shared" si="37"/>
        <v>601136.990842</v>
      </c>
      <c r="CH60" s="687">
        <f t="shared" si="38"/>
        <v>550703.82718400005</v>
      </c>
      <c r="CK60" s="731" t="s">
        <v>364</v>
      </c>
      <c r="CL60" s="730">
        <v>8358159</v>
      </c>
      <c r="CM60" s="730">
        <f t="shared" si="39"/>
        <v>8709.2016779999994</v>
      </c>
      <c r="CP60" s="731" t="s">
        <v>358</v>
      </c>
      <c r="CQ60" s="730">
        <v>1105726619</v>
      </c>
      <c r="CR60" s="730">
        <v>664391505</v>
      </c>
      <c r="CS60" s="730">
        <v>664391505</v>
      </c>
      <c r="CT60" s="730">
        <v>441335114</v>
      </c>
      <c r="CU60" s="730">
        <f t="shared" si="64"/>
        <v>1152167.1369980001</v>
      </c>
      <c r="CV60" s="730">
        <f t="shared" si="65"/>
        <v>692295.94821000006</v>
      </c>
      <c r="CW60" s="730">
        <f t="shared" si="66"/>
        <v>692295.94821000006</v>
      </c>
      <c r="CX60" s="730">
        <f t="shared" si="67"/>
        <v>459871.18878800003</v>
      </c>
      <c r="CZ60" s="731" t="s">
        <v>365</v>
      </c>
      <c r="DA60" s="730">
        <v>-829079</v>
      </c>
      <c r="DB60" s="730">
        <f t="shared" si="40"/>
        <v>-863.90031799999997</v>
      </c>
      <c r="DE60" s="729" t="s">
        <v>358</v>
      </c>
      <c r="DF60" s="687">
        <v>1105726619</v>
      </c>
      <c r="DG60" s="687">
        <v>746537087</v>
      </c>
      <c r="DH60" s="687">
        <v>746537087</v>
      </c>
      <c r="DI60" s="687">
        <v>359189532</v>
      </c>
      <c r="DJ60" s="730">
        <f t="shared" si="41"/>
        <v>1152167.1369980001</v>
      </c>
      <c r="DK60" s="730">
        <f t="shared" si="42"/>
        <v>777891.64465400006</v>
      </c>
      <c r="DL60" s="730">
        <f t="shared" si="43"/>
        <v>777891.64465400006</v>
      </c>
      <c r="DM60" s="730">
        <f t="shared" si="44"/>
        <v>374275.49234400003</v>
      </c>
      <c r="DP60" s="729" t="s">
        <v>368</v>
      </c>
      <c r="DQ60" s="687">
        <v>138971</v>
      </c>
      <c r="DR60" s="730">
        <f t="shared" si="45"/>
        <v>138.971</v>
      </c>
      <c r="DT60" s="729" t="s">
        <v>358</v>
      </c>
      <c r="DU60" s="687">
        <v>1107113453</v>
      </c>
      <c r="DV60" s="687">
        <v>828101100</v>
      </c>
      <c r="DW60" s="687">
        <v>828101100</v>
      </c>
      <c r="DX60" s="687">
        <v>279012353</v>
      </c>
      <c r="DY60" s="730">
        <f t="shared" si="46"/>
        <v>1107113.453</v>
      </c>
      <c r="DZ60" s="730">
        <f t="shared" si="47"/>
        <v>828101.1</v>
      </c>
      <c r="EA60" s="730">
        <f t="shared" si="48"/>
        <v>828101.1</v>
      </c>
      <c r="EB60" s="730">
        <f t="shared" si="49"/>
        <v>279012.353</v>
      </c>
      <c r="EE60" s="731" t="s">
        <v>372</v>
      </c>
      <c r="EF60" s="730">
        <v>1179235</v>
      </c>
      <c r="EG60" s="734">
        <f t="shared" si="50"/>
        <v>1179.2349999999999</v>
      </c>
      <c r="EI60" s="731" t="s">
        <v>357</v>
      </c>
      <c r="EJ60" s="730">
        <v>68780000</v>
      </c>
      <c r="EK60" s="730">
        <v>0</v>
      </c>
      <c r="EL60" s="730">
        <v>0</v>
      </c>
      <c r="EM60" s="734">
        <f t="shared" si="51"/>
        <v>68780</v>
      </c>
      <c r="EN60" s="734">
        <f t="shared" si="52"/>
        <v>0</v>
      </c>
      <c r="EO60" s="734">
        <f t="shared" si="53"/>
        <v>0</v>
      </c>
      <c r="ER60" s="729" t="s">
        <v>374</v>
      </c>
      <c r="ES60" s="687">
        <v>3940263</v>
      </c>
      <c r="ET60" s="730">
        <f t="shared" si="54"/>
        <v>3940.2629999999999</v>
      </c>
      <c r="EW60" s="729" t="s">
        <v>357</v>
      </c>
      <c r="EX60" s="687">
        <v>0</v>
      </c>
      <c r="EY60" s="687">
        <v>68780000</v>
      </c>
      <c r="EZ60" s="687">
        <v>0</v>
      </c>
      <c r="FA60" s="687">
        <v>0</v>
      </c>
      <c r="FB60" s="687">
        <v>68780000</v>
      </c>
      <c r="FC60" s="730">
        <f t="shared" si="55"/>
        <v>0</v>
      </c>
      <c r="FD60" s="730">
        <f t="shared" si="56"/>
        <v>68780</v>
      </c>
      <c r="FE60" s="730">
        <f t="shared" si="57"/>
        <v>0</v>
      </c>
      <c r="FF60" s="730">
        <f t="shared" si="58"/>
        <v>0</v>
      </c>
      <c r="FG60" s="730">
        <f t="shared" si="59"/>
        <v>68780</v>
      </c>
      <c r="FJ60" s="731" t="s">
        <v>980</v>
      </c>
      <c r="FK60" s="730">
        <v>425301</v>
      </c>
      <c r="FL60" s="734">
        <f t="shared" si="60"/>
        <v>425.30099999999999</v>
      </c>
      <c r="FN60" s="735" t="s">
        <v>358</v>
      </c>
      <c r="FO60" s="736">
        <v>1133833165</v>
      </c>
      <c r="FP60" s="736">
        <v>1085218458</v>
      </c>
      <c r="FQ60" s="736">
        <v>1085218458</v>
      </c>
      <c r="FR60" s="736">
        <f t="shared" si="61"/>
        <v>1133833.165</v>
      </c>
      <c r="FS60" s="736">
        <f t="shared" si="62"/>
        <v>1085218.4580000001</v>
      </c>
      <c r="FT60" s="736">
        <f t="shared" si="63"/>
        <v>1085218.4580000001</v>
      </c>
    </row>
    <row r="61" spans="1:176" ht="15" customHeight="1" x14ac:dyDescent="0.25">
      <c r="A61" s="728" t="s">
        <v>881</v>
      </c>
      <c r="B61" s="729" t="s">
        <v>547</v>
      </c>
      <c r="C61" s="687">
        <v>0</v>
      </c>
      <c r="D61" s="687">
        <v>984080000</v>
      </c>
      <c r="E61" s="687">
        <v>77619747</v>
      </c>
      <c r="F61" s="687">
        <v>906460253</v>
      </c>
      <c r="G61" s="687">
        <v>77619747</v>
      </c>
      <c r="H61" s="730">
        <f t="shared" si="10"/>
        <v>1025411.36</v>
      </c>
      <c r="I61" s="730">
        <f t="shared" si="11"/>
        <v>80879.776374000008</v>
      </c>
      <c r="J61" s="730">
        <f t="shared" si="12"/>
        <v>944531.58362600009</v>
      </c>
      <c r="K61" s="730">
        <f t="shared" si="13"/>
        <v>80879.776374000008</v>
      </c>
      <c r="O61" s="729" t="s">
        <v>383</v>
      </c>
      <c r="P61" s="687">
        <v>33860426</v>
      </c>
      <c r="Q61" s="730">
        <f t="shared" si="14"/>
        <v>35282.563891999998</v>
      </c>
      <c r="S61" s="729" t="s">
        <v>547</v>
      </c>
      <c r="T61" s="687">
        <v>991667000</v>
      </c>
      <c r="U61" s="687">
        <v>158868945</v>
      </c>
      <c r="V61" s="687">
        <v>158868945</v>
      </c>
      <c r="W61" s="687">
        <v>832798055</v>
      </c>
      <c r="X61" s="730">
        <f t="shared" si="15"/>
        <v>1033317.0140000001</v>
      </c>
      <c r="Y61" s="730">
        <f t="shared" si="16"/>
        <v>165541.44069000002</v>
      </c>
      <c r="Z61" s="730">
        <f t="shared" si="17"/>
        <v>165541.44069000002</v>
      </c>
      <c r="AA61" s="730">
        <f t="shared" si="18"/>
        <v>867775.57331000012</v>
      </c>
      <c r="AC61" s="729" t="s">
        <v>369</v>
      </c>
      <c r="AD61" s="687">
        <v>892500</v>
      </c>
      <c r="AE61" s="730">
        <f t="shared" si="19"/>
        <v>929.98500000000001</v>
      </c>
      <c r="AG61" s="729" t="s">
        <v>546</v>
      </c>
      <c r="AH61" s="687">
        <v>1009080000</v>
      </c>
      <c r="AI61" s="687">
        <v>245200706</v>
      </c>
      <c r="AJ61" s="687">
        <v>245200706</v>
      </c>
      <c r="AK61" s="687">
        <v>763879294</v>
      </c>
      <c r="AL61" s="687">
        <f t="shared" si="20"/>
        <v>1051461.3600000001</v>
      </c>
      <c r="AM61" s="687">
        <f t="shared" si="21"/>
        <v>255499.13565200003</v>
      </c>
      <c r="AN61" s="687">
        <f t="shared" si="22"/>
        <v>255499.13565200003</v>
      </c>
      <c r="AO61" s="687">
        <f t="shared" si="23"/>
        <v>795962.22434800002</v>
      </c>
      <c r="AR61" s="729" t="s">
        <v>557</v>
      </c>
      <c r="AS61" s="687">
        <v>1981740</v>
      </c>
      <c r="AT61" s="687">
        <f t="shared" si="24"/>
        <v>2064.9730800000002</v>
      </c>
      <c r="AV61" s="729" t="s">
        <v>546</v>
      </c>
      <c r="AW61" s="687">
        <v>1027384000</v>
      </c>
      <c r="AX61" s="687">
        <v>334503530</v>
      </c>
      <c r="AY61" s="687">
        <v>334503530</v>
      </c>
      <c r="AZ61" s="687">
        <v>692880470</v>
      </c>
      <c r="BA61" s="730">
        <f t="shared" si="25"/>
        <v>1070534.128</v>
      </c>
      <c r="BB61" s="730">
        <f t="shared" si="26"/>
        <v>348552.67826000002</v>
      </c>
      <c r="BC61" s="730">
        <f t="shared" si="27"/>
        <v>348552.67826000002</v>
      </c>
      <c r="BD61" s="730">
        <f t="shared" si="28"/>
        <v>721981.44973999995</v>
      </c>
      <c r="BG61" s="754" t="s">
        <v>383</v>
      </c>
      <c r="BH61" s="687">
        <v>35116616</v>
      </c>
      <c r="BI61" s="755">
        <f t="shared" si="29"/>
        <v>36591.513872000003</v>
      </c>
      <c r="BK61" s="754" t="s">
        <v>546</v>
      </c>
      <c r="BL61" s="687">
        <v>1027384000</v>
      </c>
      <c r="BM61" s="687">
        <v>425906306</v>
      </c>
      <c r="BN61" s="687">
        <v>425906306</v>
      </c>
      <c r="BO61" s="687">
        <v>601477694</v>
      </c>
      <c r="BP61" s="687">
        <f t="shared" si="30"/>
        <v>1070534.128</v>
      </c>
      <c r="BQ61" s="687">
        <f t="shared" si="31"/>
        <v>443794.37085200002</v>
      </c>
      <c r="BR61" s="687">
        <f t="shared" si="32"/>
        <v>443794.37085200002</v>
      </c>
      <c r="BS61" s="755">
        <f t="shared" si="33"/>
        <v>626739.75714800006</v>
      </c>
      <c r="BV61" s="729" t="s">
        <v>477</v>
      </c>
      <c r="BW61" s="687">
        <v>30000000</v>
      </c>
      <c r="BX61" s="730">
        <f t="shared" si="34"/>
        <v>31260</v>
      </c>
      <c r="BZ61" s="729" t="s">
        <v>546</v>
      </c>
      <c r="CA61" s="687">
        <v>1027384000</v>
      </c>
      <c r="CB61" s="687">
        <v>509397848</v>
      </c>
      <c r="CC61" s="687">
        <v>509397848</v>
      </c>
      <c r="CD61" s="687">
        <v>517986152</v>
      </c>
      <c r="CE61" s="687">
        <f t="shared" si="35"/>
        <v>1070534.128</v>
      </c>
      <c r="CF61" s="687">
        <f t="shared" si="36"/>
        <v>530792.55761600006</v>
      </c>
      <c r="CG61" s="687">
        <f t="shared" si="37"/>
        <v>530792.55761600006</v>
      </c>
      <c r="CH61" s="687">
        <f t="shared" si="38"/>
        <v>539741.57038400008</v>
      </c>
      <c r="CK61" s="731" t="s">
        <v>365</v>
      </c>
      <c r="CL61" s="730">
        <v>3530599</v>
      </c>
      <c r="CM61" s="730">
        <f t="shared" si="39"/>
        <v>3678.8841580000003</v>
      </c>
      <c r="CP61" s="731" t="s">
        <v>546</v>
      </c>
      <c r="CQ61" s="730">
        <v>1027697166</v>
      </c>
      <c r="CR61" s="730">
        <v>590982560</v>
      </c>
      <c r="CS61" s="730">
        <v>590982560</v>
      </c>
      <c r="CT61" s="730">
        <v>436714606</v>
      </c>
      <c r="CU61" s="730">
        <f t="shared" si="64"/>
        <v>1070860.4469719999</v>
      </c>
      <c r="CV61" s="730">
        <f t="shared" si="65"/>
        <v>615803.82752000005</v>
      </c>
      <c r="CW61" s="730">
        <f t="shared" si="66"/>
        <v>615803.82752000005</v>
      </c>
      <c r="CX61" s="730">
        <f t="shared" si="67"/>
        <v>455056.61945200007</v>
      </c>
      <c r="CZ61" s="731" t="s">
        <v>367</v>
      </c>
      <c r="DA61" s="730">
        <v>8726925</v>
      </c>
      <c r="DB61" s="730">
        <f t="shared" si="40"/>
        <v>9093.4558500000003</v>
      </c>
      <c r="DE61" s="729" t="s">
        <v>546</v>
      </c>
      <c r="DF61" s="687">
        <v>1027697166</v>
      </c>
      <c r="DG61" s="687">
        <v>669331354</v>
      </c>
      <c r="DH61" s="687">
        <v>669331354</v>
      </c>
      <c r="DI61" s="687">
        <v>358365812</v>
      </c>
      <c r="DJ61" s="730">
        <f t="shared" si="41"/>
        <v>1070860.4469719999</v>
      </c>
      <c r="DK61" s="730">
        <f t="shared" si="42"/>
        <v>697443.27086800011</v>
      </c>
      <c r="DL61" s="730">
        <f t="shared" si="43"/>
        <v>697443.27086800011</v>
      </c>
      <c r="DM61" s="730">
        <f t="shared" si="44"/>
        <v>373417.17610400001</v>
      </c>
      <c r="DP61" s="729" t="s">
        <v>370</v>
      </c>
      <c r="DQ61" s="687">
        <v>20145664</v>
      </c>
      <c r="DR61" s="730">
        <f t="shared" si="45"/>
        <v>20145.664000000001</v>
      </c>
      <c r="DT61" s="729" t="s">
        <v>546</v>
      </c>
      <c r="DU61" s="687">
        <v>1027384000</v>
      </c>
      <c r="DV61" s="687">
        <v>749456739</v>
      </c>
      <c r="DW61" s="687">
        <v>749456739</v>
      </c>
      <c r="DX61" s="687">
        <v>277927261</v>
      </c>
      <c r="DY61" s="730">
        <f t="shared" si="46"/>
        <v>1027384</v>
      </c>
      <c r="DZ61" s="730">
        <f t="shared" si="47"/>
        <v>749456.73899999994</v>
      </c>
      <c r="EA61" s="730">
        <f t="shared" si="48"/>
        <v>749456.73899999994</v>
      </c>
      <c r="EB61" s="730">
        <f t="shared" si="49"/>
        <v>277927.261</v>
      </c>
      <c r="EE61" s="731" t="s">
        <v>373</v>
      </c>
      <c r="EF61" s="730">
        <v>304600</v>
      </c>
      <c r="EG61" s="734">
        <f t="shared" si="50"/>
        <v>304.60000000000002</v>
      </c>
      <c r="EI61" s="731" t="s">
        <v>358</v>
      </c>
      <c r="EJ61" s="730">
        <v>1109613453</v>
      </c>
      <c r="EK61" s="730">
        <v>907554823</v>
      </c>
      <c r="EL61" s="730">
        <v>907554823</v>
      </c>
      <c r="EM61" s="734">
        <f t="shared" si="51"/>
        <v>1109613.453</v>
      </c>
      <c r="EN61" s="734">
        <f t="shared" si="52"/>
        <v>907554.82299999997</v>
      </c>
      <c r="EO61" s="734">
        <f t="shared" si="53"/>
        <v>907554.82299999997</v>
      </c>
      <c r="ER61" s="729" t="s">
        <v>375</v>
      </c>
      <c r="ES61" s="687">
        <v>10930292</v>
      </c>
      <c r="ET61" s="730">
        <f t="shared" si="54"/>
        <v>10930.291999999999</v>
      </c>
      <c r="EW61" s="729" t="s">
        <v>358</v>
      </c>
      <c r="EX61" s="687">
        <v>0</v>
      </c>
      <c r="EY61" s="687">
        <v>1113613453</v>
      </c>
      <c r="EZ61" s="687">
        <v>987407654</v>
      </c>
      <c r="FA61" s="687">
        <v>987407654</v>
      </c>
      <c r="FB61" s="687">
        <v>126205799</v>
      </c>
      <c r="FC61" s="730">
        <f t="shared" si="55"/>
        <v>0</v>
      </c>
      <c r="FD61" s="730">
        <f t="shared" si="56"/>
        <v>1113613.453</v>
      </c>
      <c r="FE61" s="730">
        <f t="shared" si="57"/>
        <v>987407.65399999998</v>
      </c>
      <c r="FF61" s="730">
        <f t="shared" si="58"/>
        <v>987407.65399999998</v>
      </c>
      <c r="FG61" s="730">
        <f t="shared" si="59"/>
        <v>126205.799</v>
      </c>
      <c r="FJ61" s="731" t="s">
        <v>361</v>
      </c>
      <c r="FK61" s="730">
        <v>607707177</v>
      </c>
      <c r="FL61" s="734">
        <f t="shared" si="60"/>
        <v>607707.17700000003</v>
      </c>
      <c r="FN61" s="735" t="s">
        <v>546</v>
      </c>
      <c r="FO61" s="736">
        <v>1037602000</v>
      </c>
      <c r="FP61" s="736">
        <v>990871132</v>
      </c>
      <c r="FQ61" s="736">
        <v>990871132</v>
      </c>
      <c r="FR61" s="736">
        <f t="shared" si="61"/>
        <v>1037602</v>
      </c>
      <c r="FS61" s="736">
        <f t="shared" si="62"/>
        <v>990871.13199999998</v>
      </c>
      <c r="FT61" s="736">
        <f t="shared" si="63"/>
        <v>990871.13199999998</v>
      </c>
    </row>
    <row r="62" spans="1:176" ht="15" customHeight="1" x14ac:dyDescent="0.25">
      <c r="A62" s="728" t="s">
        <v>881</v>
      </c>
      <c r="B62" s="729" t="s">
        <v>548</v>
      </c>
      <c r="C62" s="687">
        <v>0</v>
      </c>
      <c r="D62" s="687">
        <v>25000000</v>
      </c>
      <c r="E62" s="687">
        <v>954252</v>
      </c>
      <c r="F62" s="687">
        <v>24045748</v>
      </c>
      <c r="G62" s="687">
        <v>954252</v>
      </c>
      <c r="H62" s="730">
        <f t="shared" si="10"/>
        <v>26050</v>
      </c>
      <c r="I62" s="730">
        <f t="shared" si="11"/>
        <v>994.33058399999993</v>
      </c>
      <c r="J62" s="730">
        <f t="shared" si="12"/>
        <v>25055.669416000001</v>
      </c>
      <c r="K62" s="730">
        <f t="shared" si="13"/>
        <v>994.33058399999993</v>
      </c>
      <c r="O62" s="729" t="s">
        <v>384</v>
      </c>
      <c r="P62" s="687">
        <v>6562499</v>
      </c>
      <c r="Q62" s="730">
        <f t="shared" si="14"/>
        <v>6838.1239580000001</v>
      </c>
      <c r="S62" s="729" t="s">
        <v>548</v>
      </c>
      <c r="T62" s="687">
        <v>17413000</v>
      </c>
      <c r="U62" s="687">
        <v>3441730</v>
      </c>
      <c r="V62" s="687">
        <v>3441730</v>
      </c>
      <c r="W62" s="687">
        <v>13971270</v>
      </c>
      <c r="X62" s="730">
        <f t="shared" si="15"/>
        <v>18144.346000000001</v>
      </c>
      <c r="Y62" s="730">
        <f t="shared" si="16"/>
        <v>3586.2826600000003</v>
      </c>
      <c r="Z62" s="730">
        <f t="shared" si="17"/>
        <v>3586.2826600000003</v>
      </c>
      <c r="AA62" s="730">
        <f t="shared" si="18"/>
        <v>14558.063340000001</v>
      </c>
      <c r="AC62" s="729" t="s">
        <v>370</v>
      </c>
      <c r="AD62" s="687">
        <v>14913204</v>
      </c>
      <c r="AE62" s="730">
        <f t="shared" si="19"/>
        <v>15539.558568</v>
      </c>
      <c r="AG62" s="729" t="s">
        <v>547</v>
      </c>
      <c r="AH62" s="687">
        <v>993667000</v>
      </c>
      <c r="AI62" s="687">
        <v>240426374</v>
      </c>
      <c r="AJ62" s="687">
        <v>240426374</v>
      </c>
      <c r="AK62" s="687">
        <v>753240626</v>
      </c>
      <c r="AL62" s="687">
        <f t="shared" si="20"/>
        <v>1035401.0140000001</v>
      </c>
      <c r="AM62" s="687">
        <f t="shared" si="21"/>
        <v>250524.28170800002</v>
      </c>
      <c r="AN62" s="687">
        <f t="shared" si="22"/>
        <v>250524.28170800002</v>
      </c>
      <c r="AO62" s="687">
        <f t="shared" si="23"/>
        <v>784876.73229200009</v>
      </c>
      <c r="AR62" s="729" t="s">
        <v>558</v>
      </c>
      <c r="AS62" s="687">
        <v>917189</v>
      </c>
      <c r="AT62" s="687">
        <f t="shared" si="24"/>
        <v>955.71093799999994</v>
      </c>
      <c r="AV62" s="729" t="s">
        <v>547</v>
      </c>
      <c r="AW62" s="687">
        <v>1011971000</v>
      </c>
      <c r="AX62" s="687">
        <v>326282903</v>
      </c>
      <c r="AY62" s="687">
        <v>326282903</v>
      </c>
      <c r="AZ62" s="687">
        <v>685688097</v>
      </c>
      <c r="BA62" s="730">
        <f t="shared" si="25"/>
        <v>1054473.7820000001</v>
      </c>
      <c r="BB62" s="730">
        <f t="shared" si="26"/>
        <v>339986.78492599999</v>
      </c>
      <c r="BC62" s="730">
        <f t="shared" si="27"/>
        <v>339986.78492599999</v>
      </c>
      <c r="BD62" s="730">
        <f t="shared" si="28"/>
        <v>714486.99707399996</v>
      </c>
      <c r="BG62" s="754" t="s">
        <v>384</v>
      </c>
      <c r="BH62" s="687">
        <v>9325548</v>
      </c>
      <c r="BI62" s="755">
        <f t="shared" si="29"/>
        <v>9717.2210160000013</v>
      </c>
      <c r="BK62" s="754" t="s">
        <v>547</v>
      </c>
      <c r="BL62" s="687">
        <v>1011971000</v>
      </c>
      <c r="BM62" s="687">
        <v>416774130</v>
      </c>
      <c r="BN62" s="687">
        <v>416774130</v>
      </c>
      <c r="BO62" s="687">
        <v>595196870</v>
      </c>
      <c r="BP62" s="687">
        <f t="shared" si="30"/>
        <v>1054473.7820000001</v>
      </c>
      <c r="BQ62" s="687">
        <f t="shared" si="31"/>
        <v>434278.64345999999</v>
      </c>
      <c r="BR62" s="687">
        <f t="shared" si="32"/>
        <v>434278.64345999999</v>
      </c>
      <c r="BS62" s="755">
        <f t="shared" si="33"/>
        <v>620195.13854000007</v>
      </c>
      <c r="BV62" s="729" t="s">
        <v>364</v>
      </c>
      <c r="BW62" s="687">
        <v>4238584</v>
      </c>
      <c r="BX62" s="730">
        <f t="shared" si="34"/>
        <v>4416.6045279999998</v>
      </c>
      <c r="BZ62" s="729" t="s">
        <v>547</v>
      </c>
      <c r="CA62" s="687">
        <v>1011946000</v>
      </c>
      <c r="CB62" s="687">
        <v>498816673</v>
      </c>
      <c r="CC62" s="687">
        <v>498816673</v>
      </c>
      <c r="CD62" s="687">
        <v>513129327</v>
      </c>
      <c r="CE62" s="687">
        <f t="shared" si="35"/>
        <v>1054447.7320000001</v>
      </c>
      <c r="CF62" s="687">
        <f t="shared" si="36"/>
        <v>519766.97326600004</v>
      </c>
      <c r="CG62" s="687">
        <f t="shared" si="37"/>
        <v>519766.97326600004</v>
      </c>
      <c r="CH62" s="687">
        <f t="shared" si="38"/>
        <v>534680.75873400003</v>
      </c>
      <c r="CK62" s="731" t="s">
        <v>367</v>
      </c>
      <c r="CL62" s="730">
        <v>3218676</v>
      </c>
      <c r="CM62" s="730">
        <f t="shared" si="39"/>
        <v>3353.860392</v>
      </c>
      <c r="CP62" s="731" t="s">
        <v>547</v>
      </c>
      <c r="CQ62" s="730">
        <v>1011946000</v>
      </c>
      <c r="CR62" s="730">
        <v>579353811</v>
      </c>
      <c r="CS62" s="730">
        <v>579353811</v>
      </c>
      <c r="CT62" s="730">
        <v>432592189</v>
      </c>
      <c r="CU62" s="730">
        <f t="shared" si="64"/>
        <v>1054447.7320000001</v>
      </c>
      <c r="CV62" s="730">
        <f t="shared" si="65"/>
        <v>603686.67106199998</v>
      </c>
      <c r="CW62" s="730">
        <f t="shared" si="66"/>
        <v>603686.67106199998</v>
      </c>
      <c r="CX62" s="730">
        <f t="shared" si="67"/>
        <v>450761.06093800004</v>
      </c>
      <c r="CZ62" s="731" t="s">
        <v>552</v>
      </c>
      <c r="DA62" s="730">
        <v>656384</v>
      </c>
      <c r="DB62" s="730">
        <f t="shared" si="40"/>
        <v>683.95212800000002</v>
      </c>
      <c r="DE62" s="729" t="s">
        <v>547</v>
      </c>
      <c r="DF62" s="687">
        <v>1012528614</v>
      </c>
      <c r="DG62" s="687">
        <v>656662851</v>
      </c>
      <c r="DH62" s="687">
        <v>656662851</v>
      </c>
      <c r="DI62" s="687">
        <v>355865763</v>
      </c>
      <c r="DJ62" s="730">
        <f t="shared" si="41"/>
        <v>1055054.8157879999</v>
      </c>
      <c r="DK62" s="730">
        <f t="shared" si="42"/>
        <v>684242.69074200001</v>
      </c>
      <c r="DL62" s="730">
        <f t="shared" si="43"/>
        <v>684242.69074200001</v>
      </c>
      <c r="DM62" s="730">
        <f t="shared" si="44"/>
        <v>370812.125046</v>
      </c>
      <c r="DP62" s="729" t="s">
        <v>371</v>
      </c>
      <c r="DQ62" s="687">
        <v>1409528</v>
      </c>
      <c r="DR62" s="730">
        <f t="shared" si="45"/>
        <v>1409.528</v>
      </c>
      <c r="DT62" s="729" t="s">
        <v>547</v>
      </c>
      <c r="DU62" s="687">
        <v>1012215448</v>
      </c>
      <c r="DV62" s="687">
        <v>736265728</v>
      </c>
      <c r="DW62" s="687">
        <v>736265728</v>
      </c>
      <c r="DX62" s="687">
        <v>275949720</v>
      </c>
      <c r="DY62" s="730">
        <f t="shared" si="46"/>
        <v>1012215.448</v>
      </c>
      <c r="DZ62" s="730">
        <f t="shared" si="47"/>
        <v>736265.728</v>
      </c>
      <c r="EA62" s="730">
        <f t="shared" si="48"/>
        <v>736265.728</v>
      </c>
      <c r="EB62" s="730">
        <f t="shared" si="49"/>
        <v>275949.71999999997</v>
      </c>
      <c r="EE62" s="731" t="s">
        <v>374</v>
      </c>
      <c r="EF62" s="730">
        <v>687449</v>
      </c>
      <c r="EG62" s="734">
        <f t="shared" si="50"/>
        <v>687.44899999999996</v>
      </c>
      <c r="EI62" s="731" t="s">
        <v>546</v>
      </c>
      <c r="EJ62" s="730">
        <v>1027384000</v>
      </c>
      <c r="EK62" s="730">
        <v>825560646</v>
      </c>
      <c r="EL62" s="730">
        <v>825560646</v>
      </c>
      <c r="EM62" s="734">
        <f t="shared" si="51"/>
        <v>1027384</v>
      </c>
      <c r="EN62" s="734">
        <f t="shared" si="52"/>
        <v>825560.64599999995</v>
      </c>
      <c r="EO62" s="734">
        <f t="shared" si="53"/>
        <v>825560.64599999995</v>
      </c>
      <c r="ER62" s="729" t="s">
        <v>556</v>
      </c>
      <c r="ES62" s="687">
        <v>813975</v>
      </c>
      <c r="ET62" s="730">
        <f t="shared" si="54"/>
        <v>813.97500000000002</v>
      </c>
      <c r="EW62" s="729" t="s">
        <v>546</v>
      </c>
      <c r="EX62" s="687">
        <v>0</v>
      </c>
      <c r="EY62" s="687">
        <v>1027384000</v>
      </c>
      <c r="EZ62" s="687">
        <v>902286659</v>
      </c>
      <c r="FA62" s="687">
        <v>902286659</v>
      </c>
      <c r="FB62" s="687">
        <v>125097341</v>
      </c>
      <c r="FC62" s="730">
        <f t="shared" si="55"/>
        <v>0</v>
      </c>
      <c r="FD62" s="730">
        <f t="shared" si="56"/>
        <v>1027384</v>
      </c>
      <c r="FE62" s="730">
        <f t="shared" si="57"/>
        <v>902286.65899999999</v>
      </c>
      <c r="FF62" s="730">
        <f t="shared" si="58"/>
        <v>902286.65899999999</v>
      </c>
      <c r="FG62" s="730">
        <f t="shared" si="59"/>
        <v>125097.341</v>
      </c>
      <c r="FJ62" s="731" t="s">
        <v>364</v>
      </c>
      <c r="FK62" s="730">
        <v>21562241</v>
      </c>
      <c r="FL62" s="734">
        <f t="shared" si="60"/>
        <v>21562.241000000002</v>
      </c>
      <c r="FN62" s="735" t="s">
        <v>547</v>
      </c>
      <c r="FO62" s="736">
        <v>1018851951</v>
      </c>
      <c r="FP62" s="736">
        <v>975611039</v>
      </c>
      <c r="FQ62" s="736">
        <v>975611039</v>
      </c>
      <c r="FR62" s="736">
        <f t="shared" si="61"/>
        <v>1018851.951</v>
      </c>
      <c r="FS62" s="736">
        <f t="shared" si="62"/>
        <v>975611.03899999999</v>
      </c>
      <c r="FT62" s="736">
        <f t="shared" si="63"/>
        <v>975611.03899999999</v>
      </c>
    </row>
    <row r="63" spans="1:176" ht="15" customHeight="1" x14ac:dyDescent="0.25">
      <c r="A63" s="728" t="s">
        <v>880</v>
      </c>
      <c r="B63" s="729" t="s">
        <v>359</v>
      </c>
      <c r="C63" s="687">
        <v>0</v>
      </c>
      <c r="D63" s="687">
        <v>65177000</v>
      </c>
      <c r="E63" s="687">
        <v>9924162</v>
      </c>
      <c r="F63" s="687">
        <v>55252838</v>
      </c>
      <c r="G63" s="687">
        <v>9924162</v>
      </c>
      <c r="H63" s="730">
        <f t="shared" si="10"/>
        <v>67914.434000000008</v>
      </c>
      <c r="I63" s="730">
        <f t="shared" si="11"/>
        <v>10340.976804</v>
      </c>
      <c r="J63" s="730">
        <f t="shared" si="12"/>
        <v>57573.457196000003</v>
      </c>
      <c r="K63" s="730">
        <f t="shared" si="13"/>
        <v>10340.976804</v>
      </c>
      <c r="O63" s="729" t="s">
        <v>468</v>
      </c>
      <c r="P63" s="687">
        <v>11589222</v>
      </c>
      <c r="Q63" s="730">
        <f t="shared" si="14"/>
        <v>12075.969324</v>
      </c>
      <c r="S63" s="729" t="s">
        <v>359</v>
      </c>
      <c r="T63" s="687">
        <v>65177000</v>
      </c>
      <c r="U63" s="687">
        <v>19046906</v>
      </c>
      <c r="V63" s="687">
        <v>19046906</v>
      </c>
      <c r="W63" s="687">
        <v>46130094</v>
      </c>
      <c r="X63" s="730">
        <f t="shared" si="15"/>
        <v>67914.434000000008</v>
      </c>
      <c r="Y63" s="730">
        <f t="shared" si="16"/>
        <v>19846.876052</v>
      </c>
      <c r="Z63" s="730">
        <f t="shared" si="17"/>
        <v>19846.876052</v>
      </c>
      <c r="AA63" s="730">
        <f t="shared" si="18"/>
        <v>48067.557948000001</v>
      </c>
      <c r="AC63" s="729" t="s">
        <v>371</v>
      </c>
      <c r="AD63" s="687">
        <v>670706</v>
      </c>
      <c r="AE63" s="730">
        <f t="shared" si="19"/>
        <v>698.87565200000006</v>
      </c>
      <c r="AG63" s="729" t="s">
        <v>548</v>
      </c>
      <c r="AH63" s="687">
        <v>15413000</v>
      </c>
      <c r="AI63" s="687">
        <v>4774332</v>
      </c>
      <c r="AJ63" s="687">
        <v>4774332</v>
      </c>
      <c r="AK63" s="687">
        <v>10638668</v>
      </c>
      <c r="AL63" s="687">
        <f t="shared" si="20"/>
        <v>16060.346000000001</v>
      </c>
      <c r="AM63" s="687">
        <f t="shared" si="21"/>
        <v>4974.8539440000004</v>
      </c>
      <c r="AN63" s="687">
        <f t="shared" si="22"/>
        <v>4974.8539440000004</v>
      </c>
      <c r="AO63" s="687">
        <f t="shared" si="23"/>
        <v>11085.492055999999</v>
      </c>
      <c r="AR63" s="729" t="s">
        <v>560</v>
      </c>
      <c r="AS63" s="687">
        <v>100000</v>
      </c>
      <c r="AT63" s="687">
        <f t="shared" si="24"/>
        <v>104.2</v>
      </c>
      <c r="AV63" s="729" t="s">
        <v>548</v>
      </c>
      <c r="AW63" s="687">
        <v>15413000</v>
      </c>
      <c r="AX63" s="687">
        <v>8220627</v>
      </c>
      <c r="AY63" s="687">
        <v>8220627</v>
      </c>
      <c r="AZ63" s="687">
        <v>7192373</v>
      </c>
      <c r="BA63" s="730">
        <f t="shared" si="25"/>
        <v>16060.346000000001</v>
      </c>
      <c r="BB63" s="730">
        <f t="shared" si="26"/>
        <v>8565.8933340000003</v>
      </c>
      <c r="BC63" s="730">
        <f t="shared" si="27"/>
        <v>8565.8933340000003</v>
      </c>
      <c r="BD63" s="730">
        <f t="shared" si="28"/>
        <v>7494.4526660000001</v>
      </c>
      <c r="BG63" s="754" t="s">
        <v>468</v>
      </c>
      <c r="BH63" s="687">
        <v>833190</v>
      </c>
      <c r="BI63" s="755">
        <f t="shared" si="29"/>
        <v>868.18398000000013</v>
      </c>
      <c r="BK63" s="754" t="s">
        <v>548</v>
      </c>
      <c r="BL63" s="687">
        <v>15413000</v>
      </c>
      <c r="BM63" s="687">
        <v>9132176</v>
      </c>
      <c r="BN63" s="687">
        <v>9132176</v>
      </c>
      <c r="BO63" s="687">
        <v>6280824</v>
      </c>
      <c r="BP63" s="687">
        <f t="shared" si="30"/>
        <v>16060.346000000001</v>
      </c>
      <c r="BQ63" s="687">
        <f t="shared" si="31"/>
        <v>9515.7273920000007</v>
      </c>
      <c r="BR63" s="687">
        <f t="shared" si="32"/>
        <v>9515.7273920000007</v>
      </c>
      <c r="BS63" s="755">
        <f t="shared" si="33"/>
        <v>6544.6186079999998</v>
      </c>
      <c r="BV63" s="729" t="s">
        <v>552</v>
      </c>
      <c r="BW63" s="687">
        <v>746594</v>
      </c>
      <c r="BX63" s="730">
        <f t="shared" si="34"/>
        <v>777.95094800000004</v>
      </c>
      <c r="BZ63" s="729" t="s">
        <v>548</v>
      </c>
      <c r="CA63" s="687">
        <v>15438000</v>
      </c>
      <c r="CB63" s="687">
        <v>10581175</v>
      </c>
      <c r="CC63" s="687">
        <v>10581175</v>
      </c>
      <c r="CD63" s="687">
        <v>4856825</v>
      </c>
      <c r="CE63" s="687">
        <f t="shared" si="35"/>
        <v>16086.396000000001</v>
      </c>
      <c r="CF63" s="687">
        <f t="shared" si="36"/>
        <v>11025.584349999999</v>
      </c>
      <c r="CG63" s="687">
        <f t="shared" si="37"/>
        <v>11025.584349999999</v>
      </c>
      <c r="CH63" s="687">
        <f t="shared" si="38"/>
        <v>5060.8116499999996</v>
      </c>
      <c r="CK63" s="731" t="s">
        <v>552</v>
      </c>
      <c r="CL63" s="730">
        <v>1324470</v>
      </c>
      <c r="CM63" s="730">
        <f t="shared" si="39"/>
        <v>1380.0977400000002</v>
      </c>
      <c r="CP63" s="731" t="s">
        <v>548</v>
      </c>
      <c r="CQ63" s="730">
        <v>15751166</v>
      </c>
      <c r="CR63" s="730">
        <v>11628749</v>
      </c>
      <c r="CS63" s="730">
        <v>11628749</v>
      </c>
      <c r="CT63" s="730">
        <v>4122417</v>
      </c>
      <c r="CU63" s="730">
        <f t="shared" si="64"/>
        <v>16412.714972000002</v>
      </c>
      <c r="CV63" s="730">
        <f t="shared" si="65"/>
        <v>12117.156457999999</v>
      </c>
      <c r="CW63" s="730">
        <f t="shared" si="66"/>
        <v>12117.156457999999</v>
      </c>
      <c r="CX63" s="730">
        <f t="shared" si="67"/>
        <v>4295.5585140000003</v>
      </c>
      <c r="CZ63" s="731" t="s">
        <v>553</v>
      </c>
      <c r="DA63" s="730">
        <v>692580</v>
      </c>
      <c r="DB63" s="730">
        <f t="shared" si="40"/>
        <v>721.66836000000012</v>
      </c>
      <c r="DE63" s="729" t="s">
        <v>548</v>
      </c>
      <c r="DF63" s="687">
        <v>15168552</v>
      </c>
      <c r="DG63" s="687">
        <v>12668503</v>
      </c>
      <c r="DH63" s="687">
        <v>12668503</v>
      </c>
      <c r="DI63" s="687">
        <v>2500049</v>
      </c>
      <c r="DJ63" s="730">
        <f t="shared" si="41"/>
        <v>15805.631184</v>
      </c>
      <c r="DK63" s="730">
        <f t="shared" si="42"/>
        <v>13200.580126000001</v>
      </c>
      <c r="DL63" s="730">
        <f t="shared" si="43"/>
        <v>13200.580126000001</v>
      </c>
      <c r="DM63" s="730">
        <f t="shared" si="44"/>
        <v>2605.051058</v>
      </c>
      <c r="DP63" s="729" t="s">
        <v>372</v>
      </c>
      <c r="DQ63" s="687">
        <v>873331</v>
      </c>
      <c r="DR63" s="730">
        <f t="shared" si="45"/>
        <v>873.33100000000002</v>
      </c>
      <c r="DT63" s="729" t="s">
        <v>548</v>
      </c>
      <c r="DU63" s="687">
        <v>15168552</v>
      </c>
      <c r="DV63" s="687">
        <v>13191011</v>
      </c>
      <c r="DW63" s="687">
        <v>13191011</v>
      </c>
      <c r="DX63" s="687">
        <v>1977541</v>
      </c>
      <c r="DY63" s="730">
        <f t="shared" si="46"/>
        <v>15168.552</v>
      </c>
      <c r="DZ63" s="730">
        <f t="shared" si="47"/>
        <v>13191.011</v>
      </c>
      <c r="EA63" s="730">
        <f t="shared" si="48"/>
        <v>13191.011</v>
      </c>
      <c r="EB63" s="730">
        <f t="shared" si="49"/>
        <v>1977.5409999999999</v>
      </c>
      <c r="EE63" s="731" t="s">
        <v>375</v>
      </c>
      <c r="EF63" s="730">
        <v>5465156</v>
      </c>
      <c r="EG63" s="734">
        <f t="shared" si="50"/>
        <v>5465.1559999999999</v>
      </c>
      <c r="EI63" s="731" t="s">
        <v>547</v>
      </c>
      <c r="EJ63" s="730">
        <v>1012215448</v>
      </c>
      <c r="EK63" s="730">
        <v>811534837</v>
      </c>
      <c r="EL63" s="730">
        <v>811534837</v>
      </c>
      <c r="EM63" s="734">
        <f t="shared" si="51"/>
        <v>1012215.448</v>
      </c>
      <c r="EN63" s="734">
        <f t="shared" si="52"/>
        <v>811534.83700000006</v>
      </c>
      <c r="EO63" s="734">
        <f t="shared" si="53"/>
        <v>811534.83700000006</v>
      </c>
      <c r="ER63" s="729" t="s">
        <v>378</v>
      </c>
      <c r="ES63" s="687">
        <v>19912943</v>
      </c>
      <c r="ET63" s="730">
        <f t="shared" si="54"/>
        <v>19912.942999999999</v>
      </c>
      <c r="EW63" s="729" t="s">
        <v>547</v>
      </c>
      <c r="EX63" s="687">
        <v>0</v>
      </c>
      <c r="EY63" s="687">
        <v>1011452448</v>
      </c>
      <c r="EZ63" s="687">
        <v>887340350</v>
      </c>
      <c r="FA63" s="687">
        <v>887340350</v>
      </c>
      <c r="FB63" s="687">
        <v>124112098</v>
      </c>
      <c r="FC63" s="730">
        <f t="shared" si="55"/>
        <v>0</v>
      </c>
      <c r="FD63" s="730">
        <f t="shared" si="56"/>
        <v>1011452.448</v>
      </c>
      <c r="FE63" s="730">
        <f t="shared" si="57"/>
        <v>887340.35</v>
      </c>
      <c r="FF63" s="730">
        <f t="shared" si="58"/>
        <v>887340.35</v>
      </c>
      <c r="FG63" s="730">
        <f t="shared" si="59"/>
        <v>124112.098</v>
      </c>
      <c r="FJ63" s="731" t="s">
        <v>365</v>
      </c>
      <c r="FK63" s="730">
        <v>1444969</v>
      </c>
      <c r="FL63" s="734">
        <f t="shared" si="60"/>
        <v>1444.9690000000001</v>
      </c>
      <c r="FN63" s="735" t="s">
        <v>548</v>
      </c>
      <c r="FO63" s="736">
        <v>18750049</v>
      </c>
      <c r="FP63" s="736">
        <v>15260093</v>
      </c>
      <c r="FQ63" s="736">
        <v>15260093</v>
      </c>
      <c r="FR63" s="736">
        <f t="shared" si="61"/>
        <v>18750.048999999999</v>
      </c>
      <c r="FS63" s="736">
        <f t="shared" si="62"/>
        <v>15260.093000000001</v>
      </c>
      <c r="FT63" s="736">
        <f t="shared" si="63"/>
        <v>15260.093000000001</v>
      </c>
    </row>
    <row r="64" spans="1:176" ht="15" customHeight="1" x14ac:dyDescent="0.25">
      <c r="A64" s="728" t="s">
        <v>428</v>
      </c>
      <c r="B64" s="729" t="s">
        <v>361</v>
      </c>
      <c r="C64" s="687">
        <v>2404066000</v>
      </c>
      <c r="D64" s="687">
        <v>2403266000</v>
      </c>
      <c r="E64" s="687">
        <v>1240896722</v>
      </c>
      <c r="F64" s="687">
        <v>1162369278</v>
      </c>
      <c r="G64" s="687">
        <v>48334179</v>
      </c>
      <c r="H64" s="730">
        <f t="shared" si="10"/>
        <v>2504203.1720000003</v>
      </c>
      <c r="I64" s="730">
        <f t="shared" si="11"/>
        <v>1293014.3843240002</v>
      </c>
      <c r="J64" s="730">
        <f t="shared" si="12"/>
        <v>1211188.787676</v>
      </c>
      <c r="K64" s="730">
        <f t="shared" si="13"/>
        <v>50364.214518000001</v>
      </c>
      <c r="O64" s="729" t="s">
        <v>562</v>
      </c>
      <c r="P64" s="687">
        <v>7423470</v>
      </c>
      <c r="Q64" s="730">
        <f t="shared" si="14"/>
        <v>7735.2557400000005</v>
      </c>
      <c r="S64" s="729" t="s">
        <v>361</v>
      </c>
      <c r="T64" s="687">
        <v>2535066000</v>
      </c>
      <c r="U64" s="687">
        <v>183817821</v>
      </c>
      <c r="V64" s="687">
        <v>1474704928</v>
      </c>
      <c r="W64" s="687">
        <v>1060361072</v>
      </c>
      <c r="X64" s="730">
        <f t="shared" si="15"/>
        <v>2641538.7719999999</v>
      </c>
      <c r="Y64" s="730">
        <f t="shared" si="16"/>
        <v>191538.169482</v>
      </c>
      <c r="Z64" s="730">
        <f t="shared" si="17"/>
        <v>1536642.5349760002</v>
      </c>
      <c r="AA64" s="730">
        <f t="shared" si="18"/>
        <v>1104896.2370239999</v>
      </c>
      <c r="AC64" s="729" t="s">
        <v>372</v>
      </c>
      <c r="AD64" s="687">
        <v>1084808</v>
      </c>
      <c r="AE64" s="730">
        <f t="shared" si="19"/>
        <v>1130.3699360000001</v>
      </c>
      <c r="AG64" s="729" t="s">
        <v>359</v>
      </c>
      <c r="AH64" s="687">
        <v>65177000</v>
      </c>
      <c r="AI64" s="687">
        <v>34503469</v>
      </c>
      <c r="AJ64" s="687">
        <v>34503469</v>
      </c>
      <c r="AK64" s="687">
        <v>30673531</v>
      </c>
      <c r="AL64" s="687">
        <f t="shared" si="20"/>
        <v>67914.434000000008</v>
      </c>
      <c r="AM64" s="687">
        <f t="shared" si="21"/>
        <v>35952.614697999998</v>
      </c>
      <c r="AN64" s="687">
        <f t="shared" si="22"/>
        <v>35952.614697999998</v>
      </c>
      <c r="AO64" s="687">
        <f t="shared" si="23"/>
        <v>31961.819302</v>
      </c>
      <c r="AR64" s="729" t="s">
        <v>561</v>
      </c>
      <c r="AS64" s="687">
        <v>543491</v>
      </c>
      <c r="AT64" s="687">
        <f t="shared" si="24"/>
        <v>566.31762200000003</v>
      </c>
      <c r="AV64" s="729" t="s">
        <v>359</v>
      </c>
      <c r="AW64" s="687">
        <v>65177000</v>
      </c>
      <c r="AX64" s="687">
        <v>45501317</v>
      </c>
      <c r="AY64" s="687">
        <v>45501317</v>
      </c>
      <c r="AZ64" s="687">
        <v>19675683</v>
      </c>
      <c r="BA64" s="730">
        <f t="shared" si="25"/>
        <v>67914.434000000008</v>
      </c>
      <c r="BB64" s="730">
        <f t="shared" si="26"/>
        <v>47412.372314000007</v>
      </c>
      <c r="BC64" s="730">
        <f t="shared" si="27"/>
        <v>47412.372314000007</v>
      </c>
      <c r="BD64" s="730">
        <f t="shared" si="28"/>
        <v>20502.061686000001</v>
      </c>
      <c r="BG64" s="754" t="s">
        <v>562</v>
      </c>
      <c r="BH64" s="687">
        <v>15873585</v>
      </c>
      <c r="BI64" s="755">
        <f t="shared" si="29"/>
        <v>16540.275569999998</v>
      </c>
      <c r="BK64" s="754" t="s">
        <v>359</v>
      </c>
      <c r="BL64" s="687">
        <v>65177000</v>
      </c>
      <c r="BM64" s="687">
        <v>54656600</v>
      </c>
      <c r="BN64" s="687">
        <v>54656600</v>
      </c>
      <c r="BO64" s="687">
        <v>10520400</v>
      </c>
      <c r="BP64" s="687">
        <f t="shared" si="30"/>
        <v>67914.434000000008</v>
      </c>
      <c r="BQ64" s="687">
        <f t="shared" si="31"/>
        <v>56952.177199999998</v>
      </c>
      <c r="BR64" s="687">
        <f t="shared" si="32"/>
        <v>56952.177199999998</v>
      </c>
      <c r="BS64" s="755">
        <f t="shared" si="33"/>
        <v>10962.256799999999</v>
      </c>
      <c r="BV64" s="729" t="s">
        <v>368</v>
      </c>
      <c r="BW64" s="687">
        <v>3491990</v>
      </c>
      <c r="BX64" s="730">
        <f t="shared" si="34"/>
        <v>3638.6535799999997</v>
      </c>
      <c r="BZ64" s="729" t="s">
        <v>359</v>
      </c>
      <c r="CA64" s="687">
        <v>78029453</v>
      </c>
      <c r="CB64" s="687">
        <v>67509053</v>
      </c>
      <c r="CC64" s="687">
        <v>67509053</v>
      </c>
      <c r="CD64" s="687">
        <v>10520400</v>
      </c>
      <c r="CE64" s="687">
        <f t="shared" si="35"/>
        <v>81306.690025999997</v>
      </c>
      <c r="CF64" s="687">
        <f t="shared" si="36"/>
        <v>70344.433226000008</v>
      </c>
      <c r="CG64" s="687">
        <f t="shared" si="37"/>
        <v>70344.433226000008</v>
      </c>
      <c r="CH64" s="687">
        <f t="shared" si="38"/>
        <v>10962.256799999999</v>
      </c>
      <c r="CK64" s="731" t="s">
        <v>555</v>
      </c>
      <c r="CL64" s="730">
        <v>284414</v>
      </c>
      <c r="CM64" s="730">
        <f t="shared" si="39"/>
        <v>296.35938800000002</v>
      </c>
      <c r="CP64" s="731" t="s">
        <v>359</v>
      </c>
      <c r="CQ64" s="730">
        <v>78029453</v>
      </c>
      <c r="CR64" s="730">
        <v>73408945</v>
      </c>
      <c r="CS64" s="730">
        <v>73408945</v>
      </c>
      <c r="CT64" s="730">
        <v>4620508</v>
      </c>
      <c r="CU64" s="730">
        <f t="shared" si="64"/>
        <v>81306.690025999997</v>
      </c>
      <c r="CV64" s="730">
        <f t="shared" si="65"/>
        <v>76492.120690000011</v>
      </c>
      <c r="CW64" s="730">
        <f t="shared" si="66"/>
        <v>76492.120690000011</v>
      </c>
      <c r="CX64" s="730">
        <f t="shared" si="67"/>
        <v>4814.5693359999996</v>
      </c>
      <c r="CZ64" s="731" t="s">
        <v>554</v>
      </c>
      <c r="DA64" s="730">
        <v>90082</v>
      </c>
      <c r="DB64" s="730">
        <f t="shared" si="40"/>
        <v>93.865443999999997</v>
      </c>
      <c r="DE64" s="729" t="s">
        <v>359</v>
      </c>
      <c r="DF64" s="687">
        <v>78029453</v>
      </c>
      <c r="DG64" s="687">
        <v>77205733</v>
      </c>
      <c r="DH64" s="687">
        <v>77205733</v>
      </c>
      <c r="DI64" s="687">
        <v>823720</v>
      </c>
      <c r="DJ64" s="730">
        <f t="shared" si="41"/>
        <v>81306.690025999997</v>
      </c>
      <c r="DK64" s="730">
        <f t="shared" si="42"/>
        <v>80448.373785999996</v>
      </c>
      <c r="DL64" s="730">
        <f t="shared" si="43"/>
        <v>80448.373785999996</v>
      </c>
      <c r="DM64" s="730">
        <f t="shared" si="44"/>
        <v>858.31624000000011</v>
      </c>
      <c r="DP64" s="729" t="s">
        <v>374</v>
      </c>
      <c r="DQ64" s="687">
        <v>826853</v>
      </c>
      <c r="DR64" s="730">
        <f t="shared" si="45"/>
        <v>826.85299999999995</v>
      </c>
      <c r="DT64" s="729" t="s">
        <v>359</v>
      </c>
      <c r="DU64" s="687">
        <v>79729453</v>
      </c>
      <c r="DV64" s="687">
        <v>78644361</v>
      </c>
      <c r="DW64" s="687">
        <v>78644361</v>
      </c>
      <c r="DX64" s="687">
        <v>1085092</v>
      </c>
      <c r="DY64" s="730">
        <f t="shared" si="46"/>
        <v>79729.452999999994</v>
      </c>
      <c r="DZ64" s="730">
        <f t="shared" si="47"/>
        <v>78644.361000000004</v>
      </c>
      <c r="EA64" s="730">
        <f t="shared" si="48"/>
        <v>78644.361000000004</v>
      </c>
      <c r="EB64" s="730">
        <f t="shared" si="49"/>
        <v>1085.0920000000001</v>
      </c>
      <c r="EE64" s="731" t="s">
        <v>376</v>
      </c>
      <c r="EF64" s="730">
        <v>3293044</v>
      </c>
      <c r="EG64" s="734">
        <f t="shared" si="50"/>
        <v>3293.0439999999999</v>
      </c>
      <c r="EI64" s="731" t="s">
        <v>548</v>
      </c>
      <c r="EJ64" s="730">
        <v>15168552</v>
      </c>
      <c r="EK64" s="730">
        <v>14025809</v>
      </c>
      <c r="EL64" s="730">
        <v>14025809</v>
      </c>
      <c r="EM64" s="734">
        <f t="shared" si="51"/>
        <v>15168.552</v>
      </c>
      <c r="EN64" s="734">
        <f t="shared" si="52"/>
        <v>14025.808999999999</v>
      </c>
      <c r="EO64" s="734">
        <f t="shared" si="53"/>
        <v>14025.808999999999</v>
      </c>
      <c r="ER64" s="729" t="s">
        <v>557</v>
      </c>
      <c r="ES64" s="687">
        <v>3447870</v>
      </c>
      <c r="ET64" s="730">
        <f t="shared" si="54"/>
        <v>3447.87</v>
      </c>
      <c r="EW64" s="729" t="s">
        <v>548</v>
      </c>
      <c r="EX64" s="687">
        <v>0</v>
      </c>
      <c r="EY64" s="687">
        <v>15931552</v>
      </c>
      <c r="EZ64" s="687">
        <v>14946309</v>
      </c>
      <c r="FA64" s="687">
        <v>14946309</v>
      </c>
      <c r="FB64" s="687">
        <v>985243</v>
      </c>
      <c r="FC64" s="730">
        <f t="shared" si="55"/>
        <v>0</v>
      </c>
      <c r="FD64" s="730">
        <f t="shared" si="56"/>
        <v>15931.552</v>
      </c>
      <c r="FE64" s="730">
        <f t="shared" si="57"/>
        <v>14946.308999999999</v>
      </c>
      <c r="FF64" s="730">
        <f t="shared" si="58"/>
        <v>14946.308999999999</v>
      </c>
      <c r="FG64" s="730">
        <f t="shared" si="59"/>
        <v>985.24300000000005</v>
      </c>
      <c r="FJ64" s="731" t="s">
        <v>746</v>
      </c>
      <c r="FK64" s="730">
        <v>655571</v>
      </c>
      <c r="FL64" s="734">
        <f t="shared" si="60"/>
        <v>655.57100000000003</v>
      </c>
      <c r="FN64" s="735" t="s">
        <v>359</v>
      </c>
      <c r="FO64" s="736">
        <v>95805864</v>
      </c>
      <c r="FP64" s="736">
        <v>93922025</v>
      </c>
      <c r="FQ64" s="736">
        <v>93922025</v>
      </c>
      <c r="FR64" s="736">
        <f t="shared" si="61"/>
        <v>95805.864000000001</v>
      </c>
      <c r="FS64" s="736">
        <f t="shared" si="62"/>
        <v>93922.024999999994</v>
      </c>
      <c r="FT64" s="736">
        <f t="shared" si="63"/>
        <v>93922.024999999994</v>
      </c>
    </row>
    <row r="65" spans="1:176" ht="15" customHeight="1" x14ac:dyDescent="0.25">
      <c r="A65" s="728" t="s">
        <v>879</v>
      </c>
      <c r="B65" s="729" t="s">
        <v>362</v>
      </c>
      <c r="C65" s="687">
        <v>0</v>
      </c>
      <c r="D65" s="687">
        <v>20565000</v>
      </c>
      <c r="E65" s="687">
        <v>0</v>
      </c>
      <c r="F65" s="687">
        <v>20565000</v>
      </c>
      <c r="G65" s="687">
        <v>0</v>
      </c>
      <c r="H65" s="730">
        <f t="shared" si="10"/>
        <v>21428.73</v>
      </c>
      <c r="I65" s="730">
        <f t="shared" si="11"/>
        <v>0</v>
      </c>
      <c r="J65" s="730">
        <f t="shared" si="12"/>
        <v>21428.73</v>
      </c>
      <c r="K65" s="730">
        <f t="shared" si="13"/>
        <v>0</v>
      </c>
      <c r="O65" s="729" t="s">
        <v>563</v>
      </c>
      <c r="P65" s="687">
        <v>4462760</v>
      </c>
      <c r="Q65" s="730">
        <f t="shared" si="14"/>
        <v>4650.1959200000001</v>
      </c>
      <c r="S65" s="729" t="s">
        <v>362</v>
      </c>
      <c r="T65" s="687">
        <v>26882829</v>
      </c>
      <c r="U65" s="687">
        <v>6186334</v>
      </c>
      <c r="V65" s="687">
        <v>6186334</v>
      </c>
      <c r="W65" s="687">
        <v>20696495</v>
      </c>
      <c r="X65" s="730">
        <f t="shared" si="15"/>
        <v>28011.907818000003</v>
      </c>
      <c r="Y65" s="730">
        <f t="shared" si="16"/>
        <v>6446.1600280000002</v>
      </c>
      <c r="Z65" s="730">
        <f t="shared" si="17"/>
        <v>6446.1600280000002</v>
      </c>
      <c r="AA65" s="730">
        <f t="shared" si="18"/>
        <v>21565.747790000001</v>
      </c>
      <c r="AC65" s="729" t="s">
        <v>373</v>
      </c>
      <c r="AD65" s="687">
        <v>68350</v>
      </c>
      <c r="AE65" s="730">
        <f t="shared" si="19"/>
        <v>71.220699999999994</v>
      </c>
      <c r="AG65" s="732" t="s">
        <v>361</v>
      </c>
      <c r="AH65" s="687">
        <v>2535066000</v>
      </c>
      <c r="AI65" s="687">
        <v>519866611</v>
      </c>
      <c r="AJ65" s="687">
        <v>1696952500</v>
      </c>
      <c r="AK65" s="687">
        <v>838113500</v>
      </c>
      <c r="AL65" s="733">
        <f t="shared" si="20"/>
        <v>2641538.7719999999</v>
      </c>
      <c r="AM65" s="733">
        <f t="shared" si="21"/>
        <v>541701.00866199995</v>
      </c>
      <c r="AN65" s="733">
        <f t="shared" si="22"/>
        <v>1768224.5050000001</v>
      </c>
      <c r="AO65" s="733">
        <f t="shared" si="23"/>
        <v>873314.26699999999</v>
      </c>
      <c r="AR65" s="729" t="s">
        <v>380</v>
      </c>
      <c r="AS65" s="687">
        <v>1079997</v>
      </c>
      <c r="AT65" s="687">
        <f t="shared" si="24"/>
        <v>1125.3568740000001</v>
      </c>
      <c r="AV65" s="729" t="s">
        <v>361</v>
      </c>
      <c r="AW65" s="687">
        <v>2535066000</v>
      </c>
      <c r="AX65" s="687">
        <v>792320908</v>
      </c>
      <c r="AY65" s="687">
        <v>1650663195</v>
      </c>
      <c r="AZ65" s="687">
        <v>884402805</v>
      </c>
      <c r="BA65" s="730">
        <f t="shared" si="25"/>
        <v>2641538.7719999999</v>
      </c>
      <c r="BB65" s="730">
        <f t="shared" si="26"/>
        <v>825598.38613600004</v>
      </c>
      <c r="BC65" s="730">
        <f t="shared" si="27"/>
        <v>1719991.0491900002</v>
      </c>
      <c r="BD65" s="730">
        <f t="shared" si="28"/>
        <v>921547.72281000006</v>
      </c>
      <c r="BG65" s="754" t="s">
        <v>563</v>
      </c>
      <c r="BH65" s="687">
        <v>6477940</v>
      </c>
      <c r="BI65" s="755">
        <f t="shared" si="29"/>
        <v>6750.0134799999996</v>
      </c>
      <c r="BK65" s="754" t="s">
        <v>361</v>
      </c>
      <c r="BL65" s="687">
        <v>4624953000</v>
      </c>
      <c r="BM65" s="687">
        <v>1083696683</v>
      </c>
      <c r="BN65" s="687">
        <v>2587717806</v>
      </c>
      <c r="BO65" s="687">
        <v>2037235194</v>
      </c>
      <c r="BP65" s="687">
        <f t="shared" si="30"/>
        <v>4819201.0260000005</v>
      </c>
      <c r="BQ65" s="687">
        <f t="shared" si="31"/>
        <v>1129211.9436860001</v>
      </c>
      <c r="BR65" s="687">
        <f t="shared" si="32"/>
        <v>2696401.9538520002</v>
      </c>
      <c r="BS65" s="755">
        <f t="shared" si="33"/>
        <v>2122799.0721479999</v>
      </c>
      <c r="BV65" s="729" t="s">
        <v>370</v>
      </c>
      <c r="BW65" s="687">
        <v>7280921</v>
      </c>
      <c r="BX65" s="730">
        <f t="shared" si="34"/>
        <v>7586.7196820000008</v>
      </c>
      <c r="BZ65" s="729" t="s">
        <v>361</v>
      </c>
      <c r="CA65" s="687">
        <v>4625753000</v>
      </c>
      <c r="CB65" s="687">
        <v>1446273010</v>
      </c>
      <c r="CC65" s="687">
        <v>3153423312</v>
      </c>
      <c r="CD65" s="687">
        <v>1472329688</v>
      </c>
      <c r="CE65" s="687">
        <f t="shared" si="35"/>
        <v>4820034.6260000002</v>
      </c>
      <c r="CF65" s="687">
        <f t="shared" si="36"/>
        <v>1507016.47642</v>
      </c>
      <c r="CG65" s="687">
        <f t="shared" si="37"/>
        <v>3285867.0911039999</v>
      </c>
      <c r="CH65" s="687">
        <f t="shared" si="38"/>
        <v>1534167.5348960001</v>
      </c>
      <c r="CK65" s="731" t="s">
        <v>370</v>
      </c>
      <c r="CL65" s="730">
        <v>5341160</v>
      </c>
      <c r="CM65" s="730">
        <f t="shared" si="39"/>
        <v>5565.4887200000003</v>
      </c>
      <c r="CP65" s="731" t="s">
        <v>361</v>
      </c>
      <c r="CQ65" s="730">
        <v>4785753000</v>
      </c>
      <c r="CR65" s="730">
        <v>1966243881</v>
      </c>
      <c r="CS65" s="730">
        <v>3262998686</v>
      </c>
      <c r="CT65" s="730">
        <v>1522754314</v>
      </c>
      <c r="CU65" s="730">
        <f t="shared" si="64"/>
        <v>4986754.6260000002</v>
      </c>
      <c r="CV65" s="730">
        <f t="shared" si="65"/>
        <v>2048826.1240020001</v>
      </c>
      <c r="CW65" s="730">
        <f t="shared" si="66"/>
        <v>3400044.6308120005</v>
      </c>
      <c r="CX65" s="730">
        <f t="shared" si="67"/>
        <v>1586709.9951880001</v>
      </c>
      <c r="CZ65" s="731" t="s">
        <v>368</v>
      </c>
      <c r="DA65" s="730">
        <v>1099997</v>
      </c>
      <c r="DB65" s="730">
        <f t="shared" si="40"/>
        <v>1146.1968740000002</v>
      </c>
      <c r="DE65" s="729" t="s">
        <v>361</v>
      </c>
      <c r="DF65" s="687">
        <v>4785753000</v>
      </c>
      <c r="DG65" s="687">
        <v>2282500779</v>
      </c>
      <c r="DH65" s="687">
        <v>3484825427</v>
      </c>
      <c r="DI65" s="687">
        <v>1300927573</v>
      </c>
      <c r="DJ65" s="730">
        <f t="shared" si="41"/>
        <v>4986754.6260000002</v>
      </c>
      <c r="DK65" s="730">
        <f t="shared" si="42"/>
        <v>2378365.8117180001</v>
      </c>
      <c r="DL65" s="730">
        <f t="shared" si="43"/>
        <v>3631188.0949340002</v>
      </c>
      <c r="DM65" s="730">
        <f t="shared" si="44"/>
        <v>1355566.5310660002</v>
      </c>
      <c r="DP65" s="729" t="s">
        <v>375</v>
      </c>
      <c r="DQ65" s="687">
        <v>5465156</v>
      </c>
      <c r="DR65" s="730">
        <f t="shared" si="45"/>
        <v>5465.1559999999999</v>
      </c>
      <c r="DT65" s="729" t="s">
        <v>361</v>
      </c>
      <c r="DU65" s="687">
        <v>4565753000</v>
      </c>
      <c r="DV65" s="687">
        <v>2696870291</v>
      </c>
      <c r="DW65" s="687">
        <v>3717871967</v>
      </c>
      <c r="DX65" s="687">
        <v>847881033</v>
      </c>
      <c r="DY65" s="730">
        <f t="shared" si="46"/>
        <v>4565753</v>
      </c>
      <c r="DZ65" s="730">
        <f t="shared" si="47"/>
        <v>2696870.2910000002</v>
      </c>
      <c r="EA65" s="730">
        <f t="shared" si="48"/>
        <v>3717871.9670000002</v>
      </c>
      <c r="EB65" s="730">
        <f t="shared" si="49"/>
        <v>847881.03300000005</v>
      </c>
      <c r="EE65" s="731" t="s">
        <v>377</v>
      </c>
      <c r="EF65" s="730">
        <v>474317</v>
      </c>
      <c r="EG65" s="734">
        <f t="shared" si="50"/>
        <v>474.31700000000001</v>
      </c>
      <c r="EI65" s="731" t="s">
        <v>359</v>
      </c>
      <c r="EJ65" s="730">
        <v>82229453</v>
      </c>
      <c r="EK65" s="730">
        <v>81994177</v>
      </c>
      <c r="EL65" s="730">
        <v>81994177</v>
      </c>
      <c r="EM65" s="734">
        <f t="shared" si="51"/>
        <v>82229.452999999994</v>
      </c>
      <c r="EN65" s="734">
        <f t="shared" si="52"/>
        <v>81994.176999999996</v>
      </c>
      <c r="EO65" s="734">
        <f t="shared" si="53"/>
        <v>81994.176999999996</v>
      </c>
      <c r="ER65" s="729" t="s">
        <v>558</v>
      </c>
      <c r="ES65" s="687">
        <v>299718</v>
      </c>
      <c r="ET65" s="730">
        <f t="shared" si="54"/>
        <v>299.71800000000002</v>
      </c>
      <c r="EW65" s="729" t="s">
        <v>359</v>
      </c>
      <c r="EX65" s="687">
        <v>0</v>
      </c>
      <c r="EY65" s="687">
        <v>86229453</v>
      </c>
      <c r="EZ65" s="687">
        <v>85120995</v>
      </c>
      <c r="FA65" s="687">
        <v>85120995</v>
      </c>
      <c r="FB65" s="687">
        <v>1108458</v>
      </c>
      <c r="FC65" s="730">
        <f t="shared" si="55"/>
        <v>0</v>
      </c>
      <c r="FD65" s="730">
        <f t="shared" si="56"/>
        <v>86229.452999999994</v>
      </c>
      <c r="FE65" s="730">
        <f t="shared" si="57"/>
        <v>85120.994999999995</v>
      </c>
      <c r="FF65" s="730">
        <f t="shared" si="58"/>
        <v>85120.994999999995</v>
      </c>
      <c r="FG65" s="730">
        <f t="shared" si="59"/>
        <v>1108.4580000000001</v>
      </c>
      <c r="FJ65" s="731" t="s">
        <v>367</v>
      </c>
      <c r="FK65" s="730">
        <v>12967454</v>
      </c>
      <c r="FL65" s="734">
        <f t="shared" si="60"/>
        <v>12967.454</v>
      </c>
      <c r="FN65" s="735" t="s">
        <v>980</v>
      </c>
      <c r="FO65" s="736">
        <v>425301</v>
      </c>
      <c r="FP65" s="736">
        <v>425301</v>
      </c>
      <c r="FQ65" s="736">
        <v>425301</v>
      </c>
      <c r="FR65" s="736">
        <f t="shared" si="61"/>
        <v>425.30099999999999</v>
      </c>
      <c r="FS65" s="736">
        <f t="shared" si="62"/>
        <v>425.30099999999999</v>
      </c>
      <c r="FT65" s="736">
        <f t="shared" si="63"/>
        <v>425.30099999999999</v>
      </c>
    </row>
    <row r="66" spans="1:176" ht="15" customHeight="1" x14ac:dyDescent="0.25">
      <c r="A66" s="728" t="s">
        <v>880</v>
      </c>
      <c r="B66" s="729" t="s">
        <v>549</v>
      </c>
      <c r="C66" s="687">
        <v>0</v>
      </c>
      <c r="D66" s="687">
        <v>17115000</v>
      </c>
      <c r="E66" s="687">
        <v>0</v>
      </c>
      <c r="F66" s="687">
        <v>17115000</v>
      </c>
      <c r="G66" s="687">
        <v>0</v>
      </c>
      <c r="H66" s="730">
        <f t="shared" si="10"/>
        <v>17833.830000000002</v>
      </c>
      <c r="I66" s="730">
        <f t="shared" si="11"/>
        <v>0</v>
      </c>
      <c r="J66" s="730">
        <f t="shared" si="12"/>
        <v>17833.830000000002</v>
      </c>
      <c r="K66" s="730">
        <f t="shared" si="13"/>
        <v>0</v>
      </c>
      <c r="O66" s="729" t="s">
        <v>564</v>
      </c>
      <c r="P66" s="687">
        <v>1501975</v>
      </c>
      <c r="Q66" s="730">
        <f t="shared" si="14"/>
        <v>1565.0579499999999</v>
      </c>
      <c r="S66" s="729" t="s">
        <v>549</v>
      </c>
      <c r="T66" s="687">
        <v>17864700</v>
      </c>
      <c r="U66" s="687">
        <v>618205</v>
      </c>
      <c r="V66" s="687">
        <v>618205</v>
      </c>
      <c r="W66" s="687">
        <v>17246495</v>
      </c>
      <c r="X66" s="730">
        <f t="shared" si="15"/>
        <v>18615.017400000001</v>
      </c>
      <c r="Y66" s="730">
        <f t="shared" si="16"/>
        <v>644.16961000000003</v>
      </c>
      <c r="Z66" s="730">
        <f t="shared" si="17"/>
        <v>644.16961000000003</v>
      </c>
      <c r="AA66" s="730">
        <f t="shared" si="18"/>
        <v>17970.84779</v>
      </c>
      <c r="AC66" s="729" t="s">
        <v>374</v>
      </c>
      <c r="AD66" s="687">
        <v>878265</v>
      </c>
      <c r="AE66" s="730">
        <f t="shared" si="19"/>
        <v>915.15213000000006</v>
      </c>
      <c r="AG66" s="729" t="s">
        <v>362</v>
      </c>
      <c r="AH66" s="687">
        <v>27311229</v>
      </c>
      <c r="AI66" s="687">
        <v>6614734</v>
      </c>
      <c r="AJ66" s="687">
        <v>6614734</v>
      </c>
      <c r="AK66" s="687">
        <v>20696495</v>
      </c>
      <c r="AL66" s="687">
        <f t="shared" si="20"/>
        <v>28458.300618000001</v>
      </c>
      <c r="AM66" s="687">
        <f t="shared" si="21"/>
        <v>6892.5528280000008</v>
      </c>
      <c r="AN66" s="687">
        <f t="shared" si="22"/>
        <v>6892.5528280000008</v>
      </c>
      <c r="AO66" s="687">
        <f t="shared" si="23"/>
        <v>21565.747790000001</v>
      </c>
      <c r="AR66" s="729" t="s">
        <v>381</v>
      </c>
      <c r="AS66" s="687">
        <v>782497</v>
      </c>
      <c r="AT66" s="687">
        <f t="shared" si="24"/>
        <v>815.36187399999994</v>
      </c>
      <c r="AV66" s="729" t="s">
        <v>362</v>
      </c>
      <c r="AW66" s="687">
        <v>27311529</v>
      </c>
      <c r="AX66" s="687">
        <v>6745612</v>
      </c>
      <c r="AY66" s="687">
        <v>13749004</v>
      </c>
      <c r="AZ66" s="687">
        <v>13562525</v>
      </c>
      <c r="BA66" s="730">
        <f t="shared" si="25"/>
        <v>28458.613217999999</v>
      </c>
      <c r="BB66" s="730">
        <f t="shared" si="26"/>
        <v>7028.9277040000006</v>
      </c>
      <c r="BC66" s="730">
        <f t="shared" si="27"/>
        <v>14326.462168000002</v>
      </c>
      <c r="BD66" s="730">
        <f t="shared" si="28"/>
        <v>14132.15105</v>
      </c>
      <c r="BG66" s="754" t="s">
        <v>564</v>
      </c>
      <c r="BH66" s="687">
        <v>263762</v>
      </c>
      <c r="BI66" s="755">
        <f t="shared" si="29"/>
        <v>274.84000400000002</v>
      </c>
      <c r="BK66" s="754" t="s">
        <v>362</v>
      </c>
      <c r="BL66" s="687">
        <v>27311529</v>
      </c>
      <c r="BM66" s="687">
        <v>6745612</v>
      </c>
      <c r="BN66" s="687">
        <v>13749004</v>
      </c>
      <c r="BO66" s="687">
        <v>13562525</v>
      </c>
      <c r="BP66" s="687">
        <f t="shared" si="30"/>
        <v>28458.613217999999</v>
      </c>
      <c r="BQ66" s="687">
        <f t="shared" si="31"/>
        <v>7028.9277040000006</v>
      </c>
      <c r="BR66" s="687">
        <f t="shared" si="32"/>
        <v>14326.462168000002</v>
      </c>
      <c r="BS66" s="755">
        <f t="shared" si="33"/>
        <v>14132.15105</v>
      </c>
      <c r="BV66" s="729" t="s">
        <v>371</v>
      </c>
      <c r="BW66" s="687">
        <v>750335</v>
      </c>
      <c r="BX66" s="730">
        <f t="shared" si="34"/>
        <v>781.8490700000001</v>
      </c>
      <c r="BZ66" s="729" t="s">
        <v>362</v>
      </c>
      <c r="CA66" s="687">
        <v>32648798</v>
      </c>
      <c r="CB66" s="687">
        <v>14519767</v>
      </c>
      <c r="CC66" s="687">
        <v>19502773</v>
      </c>
      <c r="CD66" s="687">
        <v>13146025</v>
      </c>
      <c r="CE66" s="687">
        <f t="shared" si="35"/>
        <v>34020.047515999999</v>
      </c>
      <c r="CF66" s="687">
        <f t="shared" si="36"/>
        <v>15129.597214000001</v>
      </c>
      <c r="CG66" s="687">
        <f t="shared" si="37"/>
        <v>20321.889466000001</v>
      </c>
      <c r="CH66" s="687">
        <f t="shared" si="38"/>
        <v>13698.15805</v>
      </c>
      <c r="CK66" s="731" t="s">
        <v>371</v>
      </c>
      <c r="CL66" s="730">
        <v>1064312</v>
      </c>
      <c r="CM66" s="730">
        <f t="shared" si="39"/>
        <v>1109.0131039999999</v>
      </c>
      <c r="CP66" s="731" t="s">
        <v>362</v>
      </c>
      <c r="CQ66" s="730">
        <v>32648798</v>
      </c>
      <c r="CR66" s="730">
        <v>19086273</v>
      </c>
      <c r="CS66" s="730">
        <v>19502773</v>
      </c>
      <c r="CT66" s="730">
        <v>13146025</v>
      </c>
      <c r="CU66" s="730">
        <f t="shared" si="64"/>
        <v>34020.047515999999</v>
      </c>
      <c r="CV66" s="730">
        <f t="shared" si="65"/>
        <v>19887.896466000002</v>
      </c>
      <c r="CW66" s="730">
        <f t="shared" si="66"/>
        <v>20321.889466000001</v>
      </c>
      <c r="CX66" s="730">
        <f t="shared" si="67"/>
        <v>13698.15805</v>
      </c>
      <c r="CZ66" s="731" t="s">
        <v>369</v>
      </c>
      <c r="DA66" s="730">
        <v>67360</v>
      </c>
      <c r="DB66" s="730">
        <f t="shared" si="40"/>
        <v>70.189120000000003</v>
      </c>
      <c r="DE66" s="729" t="s">
        <v>362</v>
      </c>
      <c r="DF66" s="687">
        <v>32648798</v>
      </c>
      <c r="DG66" s="687">
        <v>19502773</v>
      </c>
      <c r="DH66" s="687">
        <v>19502773</v>
      </c>
      <c r="DI66" s="687">
        <v>13146025</v>
      </c>
      <c r="DJ66" s="730">
        <f t="shared" si="41"/>
        <v>34020.047515999999</v>
      </c>
      <c r="DK66" s="730">
        <f t="shared" si="42"/>
        <v>20321.889466000001</v>
      </c>
      <c r="DL66" s="730">
        <f t="shared" si="43"/>
        <v>20321.889466000001</v>
      </c>
      <c r="DM66" s="730">
        <f t="shared" si="44"/>
        <v>13698.15805</v>
      </c>
      <c r="DP66" s="729" t="s">
        <v>376</v>
      </c>
      <c r="DQ66" s="687">
        <v>629961</v>
      </c>
      <c r="DR66" s="730">
        <f t="shared" si="45"/>
        <v>629.96100000000001</v>
      </c>
      <c r="DT66" s="729" t="s">
        <v>362</v>
      </c>
      <c r="DU66" s="687">
        <v>32604107</v>
      </c>
      <c r="DV66" s="687">
        <v>19502773</v>
      </c>
      <c r="DW66" s="687">
        <v>27051114</v>
      </c>
      <c r="DX66" s="687">
        <v>5552993</v>
      </c>
      <c r="DY66" s="730">
        <f t="shared" si="46"/>
        <v>32604.107</v>
      </c>
      <c r="DZ66" s="730">
        <f t="shared" si="47"/>
        <v>19502.773000000001</v>
      </c>
      <c r="EA66" s="730">
        <f t="shared" si="48"/>
        <v>27051.114000000001</v>
      </c>
      <c r="EB66" s="730">
        <f t="shared" si="49"/>
        <v>5552.9930000000004</v>
      </c>
      <c r="EE66" s="731" t="s">
        <v>556</v>
      </c>
      <c r="EF66" s="730">
        <v>3135806</v>
      </c>
      <c r="EG66" s="734">
        <f t="shared" si="50"/>
        <v>3135.806</v>
      </c>
      <c r="EI66" s="731" t="s">
        <v>361</v>
      </c>
      <c r="EJ66" s="730">
        <v>4565753000</v>
      </c>
      <c r="EK66" s="730">
        <v>3840706375</v>
      </c>
      <c r="EL66" s="730">
        <v>3018330278</v>
      </c>
      <c r="EM66" s="734">
        <f t="shared" si="51"/>
        <v>4565753</v>
      </c>
      <c r="EN66" s="734">
        <f t="shared" si="52"/>
        <v>3840706.375</v>
      </c>
      <c r="EO66" s="734">
        <f t="shared" si="53"/>
        <v>3018330.2779999999</v>
      </c>
      <c r="ER66" s="729" t="s">
        <v>560</v>
      </c>
      <c r="ES66" s="687">
        <v>4888884</v>
      </c>
      <c r="ET66" s="730">
        <f t="shared" si="54"/>
        <v>4888.884</v>
      </c>
      <c r="EW66" s="729" t="s">
        <v>361</v>
      </c>
      <c r="EX66" s="687">
        <v>4565753000</v>
      </c>
      <c r="EY66" s="687">
        <v>4565753000</v>
      </c>
      <c r="EZ66" s="687">
        <v>3568488910</v>
      </c>
      <c r="FA66" s="687">
        <v>4187232295</v>
      </c>
      <c r="FB66" s="687">
        <v>378520705</v>
      </c>
      <c r="FC66" s="730">
        <f t="shared" si="55"/>
        <v>4565753</v>
      </c>
      <c r="FD66" s="730">
        <f t="shared" si="56"/>
        <v>4565753</v>
      </c>
      <c r="FE66" s="730">
        <f t="shared" si="57"/>
        <v>3568488.91</v>
      </c>
      <c r="FF66" s="730">
        <f t="shared" si="58"/>
        <v>4187232.2949999999</v>
      </c>
      <c r="FG66" s="730">
        <f t="shared" si="59"/>
        <v>378520.70500000002</v>
      </c>
      <c r="FJ66" s="731" t="s">
        <v>552</v>
      </c>
      <c r="FK66" s="730">
        <v>296072</v>
      </c>
      <c r="FL66" s="734">
        <f t="shared" si="60"/>
        <v>296.072</v>
      </c>
      <c r="FN66" s="735" t="s">
        <v>361</v>
      </c>
      <c r="FO66" s="736">
        <v>4415851000</v>
      </c>
      <c r="FP66" s="736">
        <v>4176196087</v>
      </c>
      <c r="FQ66" s="736">
        <v>4204420515</v>
      </c>
      <c r="FR66" s="736">
        <f t="shared" si="61"/>
        <v>4415851</v>
      </c>
      <c r="FS66" s="736">
        <f t="shared" si="62"/>
        <v>4176196.0869999998</v>
      </c>
      <c r="FT66" s="736">
        <f t="shared" si="63"/>
        <v>4204420.5149999997</v>
      </c>
    </row>
    <row r="67" spans="1:176" ht="15" customHeight="1" x14ac:dyDescent="0.25">
      <c r="A67" s="728" t="s">
        <v>880</v>
      </c>
      <c r="B67" s="729" t="s">
        <v>363</v>
      </c>
      <c r="C67" s="687">
        <v>0</v>
      </c>
      <c r="D67" s="687">
        <v>3450000</v>
      </c>
      <c r="E67" s="687">
        <v>0</v>
      </c>
      <c r="F67" s="687">
        <v>3450000</v>
      </c>
      <c r="G67" s="687">
        <v>0</v>
      </c>
      <c r="H67" s="730">
        <f t="shared" si="10"/>
        <v>3594.9</v>
      </c>
      <c r="I67" s="730">
        <f t="shared" si="11"/>
        <v>0</v>
      </c>
      <c r="J67" s="730">
        <f t="shared" si="12"/>
        <v>3594.9</v>
      </c>
      <c r="K67" s="730">
        <f t="shared" si="13"/>
        <v>0</v>
      </c>
      <c r="O67" s="729" t="s">
        <v>385</v>
      </c>
      <c r="P67" s="687">
        <v>2320500</v>
      </c>
      <c r="Q67" s="730">
        <f t="shared" si="14"/>
        <v>2417.9610000000002</v>
      </c>
      <c r="S67" s="729" t="s">
        <v>363</v>
      </c>
      <c r="T67" s="687">
        <v>9018129</v>
      </c>
      <c r="U67" s="687">
        <v>5568129</v>
      </c>
      <c r="V67" s="687">
        <v>5568129</v>
      </c>
      <c r="W67" s="687">
        <v>3450000</v>
      </c>
      <c r="X67" s="730">
        <f t="shared" si="15"/>
        <v>9396.8904180000009</v>
      </c>
      <c r="Y67" s="730">
        <f t="shared" si="16"/>
        <v>5801.9904180000003</v>
      </c>
      <c r="Z67" s="730">
        <f t="shared" si="17"/>
        <v>5801.9904180000003</v>
      </c>
      <c r="AA67" s="730">
        <f t="shared" si="18"/>
        <v>3594.9</v>
      </c>
      <c r="AC67" s="729" t="s">
        <v>375</v>
      </c>
      <c r="AD67" s="687">
        <v>5465146</v>
      </c>
      <c r="AE67" s="730">
        <f t="shared" si="19"/>
        <v>5694.6821319999999</v>
      </c>
      <c r="AG67" s="729" t="s">
        <v>549</v>
      </c>
      <c r="AH67" s="687">
        <v>18293100</v>
      </c>
      <c r="AI67" s="687">
        <v>1046605</v>
      </c>
      <c r="AJ67" s="687">
        <v>1046605</v>
      </c>
      <c r="AK67" s="687">
        <v>17246495</v>
      </c>
      <c r="AL67" s="687">
        <f t="shared" si="20"/>
        <v>19061.410199999998</v>
      </c>
      <c r="AM67" s="687">
        <f t="shared" si="21"/>
        <v>1090.56241</v>
      </c>
      <c r="AN67" s="687">
        <f t="shared" si="22"/>
        <v>1090.56241</v>
      </c>
      <c r="AO67" s="687">
        <f t="shared" si="23"/>
        <v>17970.84779</v>
      </c>
      <c r="AR67" s="729" t="s">
        <v>382</v>
      </c>
      <c r="AS67" s="687">
        <v>297500</v>
      </c>
      <c r="AT67" s="687">
        <f t="shared" si="24"/>
        <v>309.995</v>
      </c>
      <c r="AV67" s="729" t="s">
        <v>549</v>
      </c>
      <c r="AW67" s="687">
        <v>18293400</v>
      </c>
      <c r="AX67" s="687">
        <v>1177483</v>
      </c>
      <c r="AY67" s="687">
        <v>6781075</v>
      </c>
      <c r="AZ67" s="687">
        <v>11512325</v>
      </c>
      <c r="BA67" s="730">
        <f t="shared" si="25"/>
        <v>19061.722800000003</v>
      </c>
      <c r="BB67" s="730">
        <f t="shared" si="26"/>
        <v>1226.9372860000001</v>
      </c>
      <c r="BC67" s="730">
        <f t="shared" si="27"/>
        <v>7065.88015</v>
      </c>
      <c r="BD67" s="730">
        <f t="shared" si="28"/>
        <v>11995.842650000001</v>
      </c>
      <c r="BG67" s="754" t="s">
        <v>385</v>
      </c>
      <c r="BH67" s="687">
        <v>2342591</v>
      </c>
      <c r="BI67" s="755">
        <f t="shared" si="29"/>
        <v>2440.9798219999998</v>
      </c>
      <c r="BK67" s="754" t="s">
        <v>549</v>
      </c>
      <c r="BL67" s="687">
        <v>18293400</v>
      </c>
      <c r="BM67" s="687">
        <v>1177483</v>
      </c>
      <c r="BN67" s="687">
        <v>6781075</v>
      </c>
      <c r="BO67" s="687">
        <v>11512325</v>
      </c>
      <c r="BP67" s="687">
        <f t="shared" si="30"/>
        <v>19061.722800000003</v>
      </c>
      <c r="BQ67" s="687">
        <f t="shared" si="31"/>
        <v>1226.9372860000001</v>
      </c>
      <c r="BR67" s="687">
        <f t="shared" si="32"/>
        <v>7065.88015</v>
      </c>
      <c r="BS67" s="755">
        <f t="shared" si="33"/>
        <v>11995.842650000001</v>
      </c>
      <c r="BV67" s="729" t="s">
        <v>372</v>
      </c>
      <c r="BW67" s="687">
        <v>1186840</v>
      </c>
      <c r="BX67" s="730">
        <f t="shared" si="34"/>
        <v>1236.6872799999999</v>
      </c>
      <c r="BZ67" s="729" t="s">
        <v>549</v>
      </c>
      <c r="CA67" s="687">
        <v>21533651</v>
      </c>
      <c r="CB67" s="687">
        <v>7551838</v>
      </c>
      <c r="CC67" s="687">
        <v>10437826</v>
      </c>
      <c r="CD67" s="687">
        <v>11095825</v>
      </c>
      <c r="CE67" s="687">
        <f t="shared" si="35"/>
        <v>22438.064342000001</v>
      </c>
      <c r="CF67" s="687">
        <f t="shared" si="36"/>
        <v>7869.0151960000003</v>
      </c>
      <c r="CG67" s="687">
        <f t="shared" si="37"/>
        <v>10876.214692</v>
      </c>
      <c r="CH67" s="687">
        <f t="shared" si="38"/>
        <v>11561.849650000002</v>
      </c>
      <c r="CK67" s="731" t="s">
        <v>372</v>
      </c>
      <c r="CL67" s="730">
        <v>1069238</v>
      </c>
      <c r="CM67" s="730">
        <f t="shared" si="39"/>
        <v>1114.1459960000002</v>
      </c>
      <c r="CP67" s="731" t="s">
        <v>549</v>
      </c>
      <c r="CQ67" s="730">
        <v>21533651</v>
      </c>
      <c r="CR67" s="730">
        <v>10021326</v>
      </c>
      <c r="CS67" s="730">
        <v>10437826</v>
      </c>
      <c r="CT67" s="730">
        <v>11095825</v>
      </c>
      <c r="CU67" s="730">
        <f t="shared" ref="CU67:CU98" si="68">+CQ67/$CV$1*$CW$1</f>
        <v>22438.064342000001</v>
      </c>
      <c r="CV67" s="730">
        <f t="shared" ref="CV67:CV98" si="69">+CR67/$CV$1*$CW$1</f>
        <v>10442.221691999999</v>
      </c>
      <c r="CW67" s="730">
        <f t="shared" ref="CW67:CW98" si="70">+CS67/$CV$1*$CW$1</f>
        <v>10876.214692</v>
      </c>
      <c r="CX67" s="730">
        <f t="shared" ref="CX67:CX98" si="71">+CT67/$CV$1*$CW$1</f>
        <v>11561.849650000002</v>
      </c>
      <c r="CZ67" s="731" t="s">
        <v>370</v>
      </c>
      <c r="DA67" s="730">
        <v>5636356</v>
      </c>
      <c r="DB67" s="730">
        <f t="shared" si="40"/>
        <v>5873.0829519999998</v>
      </c>
      <c r="DE67" s="729" t="s">
        <v>549</v>
      </c>
      <c r="DF67" s="687">
        <v>21533651</v>
      </c>
      <c r="DG67" s="687">
        <v>10437826</v>
      </c>
      <c r="DH67" s="687">
        <v>10437826</v>
      </c>
      <c r="DI67" s="687">
        <v>11095825</v>
      </c>
      <c r="DJ67" s="730">
        <f t="shared" si="41"/>
        <v>22438.064342000001</v>
      </c>
      <c r="DK67" s="730">
        <f t="shared" si="42"/>
        <v>10876.214692</v>
      </c>
      <c r="DL67" s="730">
        <f t="shared" si="43"/>
        <v>10876.214692</v>
      </c>
      <c r="DM67" s="730">
        <f t="shared" si="44"/>
        <v>11561.849650000002</v>
      </c>
      <c r="DP67" s="729" t="s">
        <v>377</v>
      </c>
      <c r="DQ67" s="687">
        <v>474317</v>
      </c>
      <c r="DR67" s="730">
        <f t="shared" si="45"/>
        <v>474.31700000000001</v>
      </c>
      <c r="DT67" s="729" t="s">
        <v>549</v>
      </c>
      <c r="DU67" s="687">
        <v>21488960</v>
      </c>
      <c r="DV67" s="687">
        <v>10437826</v>
      </c>
      <c r="DW67" s="687">
        <v>17986167</v>
      </c>
      <c r="DX67" s="687">
        <v>3502793</v>
      </c>
      <c r="DY67" s="730">
        <f t="shared" si="46"/>
        <v>21488.959999999999</v>
      </c>
      <c r="DZ67" s="730">
        <f t="shared" si="47"/>
        <v>10437.825999999999</v>
      </c>
      <c r="EA67" s="730">
        <f t="shared" si="48"/>
        <v>17986.167000000001</v>
      </c>
      <c r="EB67" s="730">
        <f t="shared" si="49"/>
        <v>3502.7930000000001</v>
      </c>
      <c r="EE67" s="731" t="s">
        <v>378</v>
      </c>
      <c r="EF67" s="730">
        <v>20973006</v>
      </c>
      <c r="EG67" s="734">
        <f t="shared" si="50"/>
        <v>20973.006000000001</v>
      </c>
      <c r="EI67" s="731" t="s">
        <v>362</v>
      </c>
      <c r="EJ67" s="730">
        <v>32604107</v>
      </c>
      <c r="EK67" s="730">
        <v>28101623</v>
      </c>
      <c r="EL67" s="730">
        <v>27051114</v>
      </c>
      <c r="EM67" s="734">
        <f t="shared" si="51"/>
        <v>32604.107</v>
      </c>
      <c r="EN67" s="734">
        <f t="shared" si="52"/>
        <v>28101.623</v>
      </c>
      <c r="EO67" s="734">
        <f t="shared" si="53"/>
        <v>27051.114000000001</v>
      </c>
      <c r="ER67" s="729" t="s">
        <v>561</v>
      </c>
      <c r="ES67" s="687">
        <v>11276471</v>
      </c>
      <c r="ET67" s="730">
        <f t="shared" si="54"/>
        <v>11276.471</v>
      </c>
      <c r="EW67" s="729" t="s">
        <v>362</v>
      </c>
      <c r="EX67" s="687">
        <v>0</v>
      </c>
      <c r="EY67" s="687">
        <v>28101623</v>
      </c>
      <c r="EZ67" s="687">
        <v>28101623</v>
      </c>
      <c r="FA67" s="687">
        <v>28101623</v>
      </c>
      <c r="FB67" s="687">
        <v>0</v>
      </c>
      <c r="FC67" s="730">
        <f t="shared" si="55"/>
        <v>0</v>
      </c>
      <c r="FD67" s="730">
        <f t="shared" si="56"/>
        <v>28101.623</v>
      </c>
      <c r="FE67" s="730">
        <f t="shared" si="57"/>
        <v>28101.623</v>
      </c>
      <c r="FF67" s="730">
        <f t="shared" si="58"/>
        <v>28101.623</v>
      </c>
      <c r="FG67" s="730">
        <f t="shared" si="59"/>
        <v>0</v>
      </c>
      <c r="FJ67" s="731" t="s">
        <v>553</v>
      </c>
      <c r="FK67" s="730">
        <v>2663397</v>
      </c>
      <c r="FL67" s="734">
        <f t="shared" si="60"/>
        <v>2663.3969999999999</v>
      </c>
      <c r="FN67" s="735" t="s">
        <v>362</v>
      </c>
      <c r="FO67" s="736">
        <v>28101623</v>
      </c>
      <c r="FP67" s="736">
        <v>28101623</v>
      </c>
      <c r="FQ67" s="736">
        <v>28101623</v>
      </c>
      <c r="FR67" s="736">
        <f t="shared" si="61"/>
        <v>28101.623</v>
      </c>
      <c r="FS67" s="736">
        <f t="shared" si="62"/>
        <v>28101.623</v>
      </c>
      <c r="FT67" s="736">
        <f t="shared" si="63"/>
        <v>28101.623</v>
      </c>
    </row>
    <row r="68" spans="1:176" ht="15" customHeight="1" x14ac:dyDescent="0.25">
      <c r="A68" s="728" t="s">
        <v>879</v>
      </c>
      <c r="B68" s="729" t="s">
        <v>476</v>
      </c>
      <c r="C68" s="687">
        <v>0</v>
      </c>
      <c r="D68" s="687">
        <v>30000000</v>
      </c>
      <c r="E68" s="687">
        <v>0</v>
      </c>
      <c r="F68" s="687">
        <v>30000000</v>
      </c>
      <c r="G68" s="687">
        <v>0</v>
      </c>
      <c r="H68" s="730">
        <f t="shared" ref="H68:H131" si="72">+D68/$I$1*$J$1</f>
        <v>31260</v>
      </c>
      <c r="I68" s="730">
        <f t="shared" ref="I68:I131" si="73">+E68/$I$1*$J$1</f>
        <v>0</v>
      </c>
      <c r="J68" s="730">
        <f t="shared" ref="J68:J131" si="74">+F68/$I$1*$J$1</f>
        <v>31260</v>
      </c>
      <c r="K68" s="730">
        <f t="shared" ref="K68:K131" si="75">+G68/$I$1*$J$1</f>
        <v>0</v>
      </c>
      <c r="O68" s="729" t="s">
        <v>386</v>
      </c>
      <c r="P68" s="687">
        <v>55357715</v>
      </c>
      <c r="Q68" s="730">
        <f t="shared" ref="Q68:Q88" si="76">+P68/$P$1*$Q$1</f>
        <v>57682.739029999997</v>
      </c>
      <c r="S68" s="729" t="s">
        <v>476</v>
      </c>
      <c r="T68" s="687">
        <v>30000000</v>
      </c>
      <c r="U68" s="687">
        <v>0</v>
      </c>
      <c r="V68" s="687">
        <v>0</v>
      </c>
      <c r="W68" s="687">
        <v>30000000</v>
      </c>
      <c r="X68" s="730">
        <f t="shared" ref="X68:X131" si="77">+T68/$Z$1*$AA$1</f>
        <v>31260</v>
      </c>
      <c r="Y68" s="730">
        <f t="shared" ref="Y68:Y131" si="78">+U68/$Z$1*$AA$1</f>
        <v>0</v>
      </c>
      <c r="Z68" s="730">
        <f t="shared" ref="Z68:Z131" si="79">+V68/$Z$1*$AA$1</f>
        <v>0</v>
      </c>
      <c r="AA68" s="730">
        <f t="shared" ref="AA68:AA131" si="80">+W68/$Z$1*$AA$1</f>
        <v>31260</v>
      </c>
      <c r="AC68" s="729" t="s">
        <v>377</v>
      </c>
      <c r="AD68" s="687">
        <v>474317</v>
      </c>
      <c r="AE68" s="730">
        <f t="shared" ref="AE68:AE109" si="81">+AD68/$AD$1*$AE$1</f>
        <v>494.238314</v>
      </c>
      <c r="AG68" s="729" t="s">
        <v>363</v>
      </c>
      <c r="AH68" s="687">
        <v>9018129</v>
      </c>
      <c r="AI68" s="687">
        <v>5568129</v>
      </c>
      <c r="AJ68" s="687">
        <v>5568129</v>
      </c>
      <c r="AK68" s="687">
        <v>3450000</v>
      </c>
      <c r="AL68" s="687">
        <f t="shared" ref="AL68:AL131" si="82">+AH68/$AN$1*$AO$1</f>
        <v>9396.8904180000009</v>
      </c>
      <c r="AM68" s="687">
        <f t="shared" ref="AM68:AM131" si="83">+AI68/$AN$1*$AO$1</f>
        <v>5801.9904180000003</v>
      </c>
      <c r="AN68" s="687">
        <f t="shared" ref="AN68:AN131" si="84">+AJ68/$AN$1*$AO$1</f>
        <v>5801.9904180000003</v>
      </c>
      <c r="AO68" s="687">
        <f t="shared" ref="AO68:AO131" si="85">+AK68/$AN$1*$AO$1</f>
        <v>3594.9</v>
      </c>
      <c r="AR68" s="729" t="s">
        <v>383</v>
      </c>
      <c r="AS68" s="687">
        <v>49037086</v>
      </c>
      <c r="AT68" s="687">
        <f t="shared" ref="AT68:AT93" si="86">+AS68/$AS$1*$AT$1</f>
        <v>51096.643612000007</v>
      </c>
      <c r="AV68" s="729" t="s">
        <v>363</v>
      </c>
      <c r="AW68" s="687">
        <v>9018129</v>
      </c>
      <c r="AX68" s="687">
        <v>5568129</v>
      </c>
      <c r="AY68" s="687">
        <v>6967929</v>
      </c>
      <c r="AZ68" s="687">
        <v>2050200</v>
      </c>
      <c r="BA68" s="730">
        <f t="shared" ref="BA68:BA131" si="87">+AW68/$BC$1*$BD$1</f>
        <v>9396.8904180000009</v>
      </c>
      <c r="BB68" s="730">
        <f t="shared" ref="BB68:BB131" si="88">+AX68/$BC$1*$BD$1</f>
        <v>5801.9904180000003</v>
      </c>
      <c r="BC68" s="730">
        <f t="shared" ref="BC68:BC131" si="89">+AY68/$BC$1*$BD$1</f>
        <v>7260.5820180000001</v>
      </c>
      <c r="BD68" s="730">
        <f t="shared" ref="BD68:BD131" si="90">+AZ68/$BC$1*$BD$1</f>
        <v>2136.3083999999999</v>
      </c>
      <c r="BG68" s="754" t="s">
        <v>386</v>
      </c>
      <c r="BH68" s="687">
        <v>125817936</v>
      </c>
      <c r="BI68" s="755">
        <f t="shared" ref="BI68:BI83" si="91">+BH68/$BR$1*$BS$1</f>
        <v>131102.28931200001</v>
      </c>
      <c r="BK68" s="754" t="s">
        <v>363</v>
      </c>
      <c r="BL68" s="687">
        <v>9018129</v>
      </c>
      <c r="BM68" s="687">
        <v>5568129</v>
      </c>
      <c r="BN68" s="687">
        <v>6967929</v>
      </c>
      <c r="BO68" s="687">
        <v>2050200</v>
      </c>
      <c r="BP68" s="687">
        <f t="shared" ref="BP68:BP131" si="92">+BL68/$BR$1*$BS$1</f>
        <v>9396.8904180000009</v>
      </c>
      <c r="BQ68" s="687">
        <f t="shared" ref="BQ68:BQ131" si="93">+BM68/$BR$1*$BS$1</f>
        <v>5801.9904180000003</v>
      </c>
      <c r="BR68" s="687">
        <f t="shared" ref="BR68:BR131" si="94">+BN68/$BR$1*$BS$1</f>
        <v>7260.5820180000001</v>
      </c>
      <c r="BS68" s="755">
        <f t="shared" ref="BS68:BS131" si="95">+BO68/$BR$1*$BS$1</f>
        <v>2136.3083999999999</v>
      </c>
      <c r="BV68" s="729" t="s">
        <v>373</v>
      </c>
      <c r="BW68" s="687">
        <v>275500</v>
      </c>
      <c r="BX68" s="730">
        <f t="shared" ref="BX68:BX109" si="96">+BW68/$BW$1*$BX$1</f>
        <v>287.07100000000003</v>
      </c>
      <c r="BZ68" s="729" t="s">
        <v>363</v>
      </c>
      <c r="CA68" s="687">
        <v>11115147</v>
      </c>
      <c r="CB68" s="687">
        <v>6967929</v>
      </c>
      <c r="CC68" s="687">
        <v>9064947</v>
      </c>
      <c r="CD68" s="687">
        <v>2050200</v>
      </c>
      <c r="CE68" s="687">
        <f t="shared" ref="CE68:CE131" si="97">+CA68/$CG$1*$CH$1</f>
        <v>11581.983174000001</v>
      </c>
      <c r="CF68" s="687">
        <f t="shared" ref="CF68:CF131" si="98">+CB68/$CG$1*$CH$1</f>
        <v>7260.5820180000001</v>
      </c>
      <c r="CG68" s="687">
        <f t="shared" ref="CG68:CG131" si="99">+CC68/$CG$1*$CH$1</f>
        <v>9445.674774000001</v>
      </c>
      <c r="CH68" s="687">
        <f t="shared" ref="CH68:CH131" si="100">+CD68/$CG$1*$CH$1</f>
        <v>2136.3083999999999</v>
      </c>
      <c r="CK68" s="731" t="s">
        <v>373</v>
      </c>
      <c r="CL68" s="730">
        <v>294490</v>
      </c>
      <c r="CM68" s="730">
        <f t="shared" ref="CM68:CM119" si="101">+CL68/$CM$1*$CN$1</f>
        <v>306.85858000000002</v>
      </c>
      <c r="CP68" s="731" t="s">
        <v>363</v>
      </c>
      <c r="CQ68" s="730">
        <v>11115147</v>
      </c>
      <c r="CR68" s="730">
        <v>9064947</v>
      </c>
      <c r="CS68" s="730">
        <v>9064947</v>
      </c>
      <c r="CT68" s="730">
        <v>2050200</v>
      </c>
      <c r="CU68" s="730">
        <f t="shared" si="68"/>
        <v>11581.983174000001</v>
      </c>
      <c r="CV68" s="730">
        <f t="shared" si="69"/>
        <v>9445.674774000001</v>
      </c>
      <c r="CW68" s="730">
        <f t="shared" si="70"/>
        <v>9445.674774000001</v>
      </c>
      <c r="CX68" s="730">
        <f t="shared" si="71"/>
        <v>2136.3083999999999</v>
      </c>
      <c r="CZ68" s="731" t="s">
        <v>371</v>
      </c>
      <c r="DA68" s="730">
        <v>2084600</v>
      </c>
      <c r="DB68" s="730">
        <f t="shared" ref="DB68:DB110" si="102">+DA68/$DB$1*$DC$1</f>
        <v>2172.1532000000002</v>
      </c>
      <c r="DE68" s="729" t="s">
        <v>363</v>
      </c>
      <c r="DF68" s="687">
        <v>11115147</v>
      </c>
      <c r="DG68" s="687">
        <v>9064947</v>
      </c>
      <c r="DH68" s="687">
        <v>9064947</v>
      </c>
      <c r="DI68" s="687">
        <v>2050200</v>
      </c>
      <c r="DJ68" s="730">
        <f t="shared" ref="DJ68:DJ131" si="103">+DF68/$DL$1*$DM$1</f>
        <v>11581.983174000001</v>
      </c>
      <c r="DK68" s="730">
        <f t="shared" ref="DK68:DK131" si="104">+DG68/$DL$1*$DM$1</f>
        <v>9445.674774000001</v>
      </c>
      <c r="DL68" s="730">
        <f t="shared" ref="DL68:DL131" si="105">+DH68/$DL$1*$DM$1</f>
        <v>9445.674774000001</v>
      </c>
      <c r="DM68" s="730">
        <f t="shared" ref="DM68:DM131" si="106">+DI68/$DL$1*$DM$1</f>
        <v>2136.3083999999999</v>
      </c>
      <c r="DP68" s="729" t="s">
        <v>556</v>
      </c>
      <c r="DQ68" s="687">
        <v>10466518</v>
      </c>
      <c r="DR68" s="730">
        <f t="shared" ref="DR68:DR103" si="107">+DQ68/$DQ$1*$DR$1</f>
        <v>10466.518</v>
      </c>
      <c r="DT68" s="729" t="s">
        <v>363</v>
      </c>
      <c r="DU68" s="687">
        <v>11115147</v>
      </c>
      <c r="DV68" s="687">
        <v>9064947</v>
      </c>
      <c r="DW68" s="687">
        <v>9064947</v>
      </c>
      <c r="DX68" s="687">
        <v>2050200</v>
      </c>
      <c r="DY68" s="730">
        <f t="shared" ref="DY68:DY131" si="108">+DU68/$EA$1*$EB$1</f>
        <v>11115.147000000001</v>
      </c>
      <c r="DZ68" s="730">
        <f t="shared" ref="DZ68:DZ131" si="109">+DV68/$EA$1*$EB$1</f>
        <v>9064.9470000000001</v>
      </c>
      <c r="EA68" s="730">
        <f t="shared" ref="EA68:EA131" si="110">+DW68/$EA$1*$EB$1</f>
        <v>9064.9470000000001</v>
      </c>
      <c r="EB68" s="730">
        <f t="shared" ref="EB68:EB131" si="111">+DX68/$EA$1*$EB$1</f>
        <v>2050.1999999999998</v>
      </c>
      <c r="EE68" s="731" t="s">
        <v>557</v>
      </c>
      <c r="EF68" s="730">
        <v>17663477</v>
      </c>
      <c r="EG68" s="734">
        <f t="shared" ref="EG68:EG103" si="112">EF68/$EF$1*$EG$1</f>
        <v>17663.476999999999</v>
      </c>
      <c r="EI68" s="731" t="s">
        <v>549</v>
      </c>
      <c r="EJ68" s="730">
        <v>21488960</v>
      </c>
      <c r="EK68" s="730">
        <v>19036676</v>
      </c>
      <c r="EL68" s="730">
        <v>17986167</v>
      </c>
      <c r="EM68" s="734">
        <f t="shared" ref="EM68:EM131" si="113">EJ68/$EN$1*$EO$1</f>
        <v>21488.959999999999</v>
      </c>
      <c r="EN68" s="734">
        <f t="shared" ref="EN68:EN131" si="114">EK68/$EN$1*$EO$1</f>
        <v>19036.675999999999</v>
      </c>
      <c r="EO68" s="734">
        <f t="shared" ref="EO68:EO131" si="115">EL68/$EN$1*$EO$1</f>
        <v>17986.167000000001</v>
      </c>
      <c r="ER68" s="729" t="s">
        <v>380</v>
      </c>
      <c r="ES68" s="687">
        <v>486244</v>
      </c>
      <c r="ET68" s="730">
        <f t="shared" ref="ET68:ET104" si="116">+ES68/$ET$1*$EU$1</f>
        <v>486.24400000000003</v>
      </c>
      <c r="EW68" s="729" t="s">
        <v>549</v>
      </c>
      <c r="EX68" s="687">
        <v>0</v>
      </c>
      <c r="EY68" s="687">
        <v>19036676</v>
      </c>
      <c r="EZ68" s="687">
        <v>19036676</v>
      </c>
      <c r="FA68" s="687">
        <v>19036676</v>
      </c>
      <c r="FB68" s="687">
        <v>0</v>
      </c>
      <c r="FC68" s="730">
        <f t="shared" ref="FC68:FC75" si="117">+EX68/$FF$1*$FG$1</f>
        <v>0</v>
      </c>
      <c r="FD68" s="730">
        <f t="shared" ref="FD68:FD75" si="118">+EY68/$FF$1*$FG$1</f>
        <v>19036.675999999999</v>
      </c>
      <c r="FE68" s="730">
        <f t="shared" ref="FE68:FE75" si="119">+EZ68/$FF$1*$FG$1</f>
        <v>19036.675999999999</v>
      </c>
      <c r="FF68" s="730">
        <f t="shared" ref="FF68:FF75" si="120">+FA68/$FF$1*$FG$1</f>
        <v>19036.675999999999</v>
      </c>
      <c r="FG68" s="730">
        <f t="shared" ref="FG68:FG75" si="121">+FB68/$FF$1*$FG$1</f>
        <v>0</v>
      </c>
      <c r="FJ68" s="731" t="s">
        <v>554</v>
      </c>
      <c r="FK68" s="730">
        <v>497408</v>
      </c>
      <c r="FL68" s="734">
        <f t="shared" ref="FL68:FL126" si="122">+FK68/$FK$1*$FL$1</f>
        <v>497.40800000000002</v>
      </c>
      <c r="FN68" s="735" t="s">
        <v>549</v>
      </c>
      <c r="FO68" s="736">
        <v>19036676</v>
      </c>
      <c r="FP68" s="736">
        <v>19036676</v>
      </c>
      <c r="FQ68" s="736">
        <v>19036676</v>
      </c>
      <c r="FR68" s="736">
        <f t="shared" ref="FR68:FR131" si="123">+FO68/$FR$1*$FS$1</f>
        <v>19036.675999999999</v>
      </c>
      <c r="FS68" s="736">
        <f t="shared" ref="FS68:FS131" si="124">+FP68/$FR$1*$FS$1</f>
        <v>19036.675999999999</v>
      </c>
      <c r="FT68" s="736">
        <f t="shared" ref="FT68:FT131" si="125">+FQ68/$FR$1*$FS$1</f>
        <v>19036.675999999999</v>
      </c>
    </row>
    <row r="69" spans="1:176" ht="15" customHeight="1" x14ac:dyDescent="0.25">
      <c r="A69" s="728" t="s">
        <v>880</v>
      </c>
      <c r="B69" s="729" t="s">
        <v>477</v>
      </c>
      <c r="C69" s="687">
        <v>0</v>
      </c>
      <c r="D69" s="687">
        <v>30000000</v>
      </c>
      <c r="E69" s="687">
        <v>0</v>
      </c>
      <c r="F69" s="687">
        <v>30000000</v>
      </c>
      <c r="G69" s="687">
        <v>0</v>
      </c>
      <c r="H69" s="730">
        <f t="shared" si="72"/>
        <v>31260</v>
      </c>
      <c r="I69" s="730">
        <f t="shared" si="73"/>
        <v>0</v>
      </c>
      <c r="J69" s="730">
        <f t="shared" si="74"/>
        <v>31260</v>
      </c>
      <c r="K69" s="730">
        <f t="shared" si="75"/>
        <v>0</v>
      </c>
      <c r="O69" s="729" t="s">
        <v>387</v>
      </c>
      <c r="P69" s="687">
        <v>48051647</v>
      </c>
      <c r="Q69" s="730">
        <f t="shared" si="76"/>
        <v>50069.816174</v>
      </c>
      <c r="S69" s="729" t="s">
        <v>477</v>
      </c>
      <c r="T69" s="687">
        <v>30000000</v>
      </c>
      <c r="U69" s="687">
        <v>0</v>
      </c>
      <c r="V69" s="687">
        <v>0</v>
      </c>
      <c r="W69" s="687">
        <v>30000000</v>
      </c>
      <c r="X69" s="730">
        <f t="shared" si="77"/>
        <v>31260</v>
      </c>
      <c r="Y69" s="730">
        <f t="shared" si="78"/>
        <v>0</v>
      </c>
      <c r="Z69" s="730">
        <f t="shared" si="79"/>
        <v>0</v>
      </c>
      <c r="AA69" s="730">
        <f t="shared" si="80"/>
        <v>31260</v>
      </c>
      <c r="AC69" s="729" t="s">
        <v>556</v>
      </c>
      <c r="AD69" s="687">
        <v>6271612</v>
      </c>
      <c r="AE69" s="730">
        <f t="shared" si="81"/>
        <v>6535.0197040000003</v>
      </c>
      <c r="AG69" s="729" t="s">
        <v>476</v>
      </c>
      <c r="AH69" s="687">
        <v>24247918</v>
      </c>
      <c r="AI69" s="687">
        <v>0</v>
      </c>
      <c r="AJ69" s="687">
        <v>0</v>
      </c>
      <c r="AK69" s="687">
        <v>24247918</v>
      </c>
      <c r="AL69" s="687">
        <f t="shared" si="82"/>
        <v>25266.330556000001</v>
      </c>
      <c r="AM69" s="687">
        <f t="shared" si="83"/>
        <v>0</v>
      </c>
      <c r="AN69" s="687">
        <f t="shared" si="84"/>
        <v>0</v>
      </c>
      <c r="AO69" s="687">
        <f t="shared" si="85"/>
        <v>25266.330556000001</v>
      </c>
      <c r="AR69" s="729" t="s">
        <v>384</v>
      </c>
      <c r="AS69" s="687">
        <v>5387052</v>
      </c>
      <c r="AT69" s="687">
        <f t="shared" si="86"/>
        <v>5613.3081839999995</v>
      </c>
      <c r="AV69" s="729" t="s">
        <v>476</v>
      </c>
      <c r="AW69" s="687">
        <v>0</v>
      </c>
      <c r="AX69" s="687">
        <v>0</v>
      </c>
      <c r="AY69" s="687">
        <v>0</v>
      </c>
      <c r="AZ69" s="687">
        <v>0</v>
      </c>
      <c r="BA69" s="730">
        <f t="shared" si="87"/>
        <v>0</v>
      </c>
      <c r="BB69" s="730">
        <f t="shared" si="88"/>
        <v>0</v>
      </c>
      <c r="BC69" s="730">
        <f t="shared" si="89"/>
        <v>0</v>
      </c>
      <c r="BD69" s="730">
        <f t="shared" si="90"/>
        <v>0</v>
      </c>
      <c r="BG69" s="754" t="s">
        <v>387</v>
      </c>
      <c r="BH69" s="687">
        <v>110517238</v>
      </c>
      <c r="BI69" s="755">
        <f t="shared" si="91"/>
        <v>115158.961996</v>
      </c>
      <c r="BK69" s="754" t="s">
        <v>476</v>
      </c>
      <c r="BL69" s="687">
        <v>0</v>
      </c>
      <c r="BM69" s="687">
        <v>0</v>
      </c>
      <c r="BN69" s="687">
        <v>0</v>
      </c>
      <c r="BO69" s="687">
        <v>0</v>
      </c>
      <c r="BP69" s="687">
        <f t="shared" si="92"/>
        <v>0</v>
      </c>
      <c r="BQ69" s="687">
        <f t="shared" si="93"/>
        <v>0</v>
      </c>
      <c r="BR69" s="687">
        <f t="shared" si="94"/>
        <v>0</v>
      </c>
      <c r="BS69" s="755">
        <f t="shared" si="95"/>
        <v>0</v>
      </c>
      <c r="BV69" s="729" t="s">
        <v>374</v>
      </c>
      <c r="BW69" s="687">
        <v>1458123</v>
      </c>
      <c r="BX69" s="730">
        <f t="shared" si="96"/>
        <v>1519.3641660000001</v>
      </c>
      <c r="BZ69" s="729" t="s">
        <v>476</v>
      </c>
      <c r="CA69" s="687">
        <v>30000000</v>
      </c>
      <c r="CB69" s="687">
        <v>30000000</v>
      </c>
      <c r="CC69" s="687">
        <v>30000000</v>
      </c>
      <c r="CD69" s="687">
        <v>0</v>
      </c>
      <c r="CE69" s="687">
        <f t="shared" si="97"/>
        <v>31260</v>
      </c>
      <c r="CF69" s="687">
        <f t="shared" si="98"/>
        <v>31260</v>
      </c>
      <c r="CG69" s="687">
        <f t="shared" si="99"/>
        <v>31260</v>
      </c>
      <c r="CH69" s="687">
        <f t="shared" si="100"/>
        <v>0</v>
      </c>
      <c r="CK69" s="731" t="s">
        <v>374</v>
      </c>
      <c r="CL69" s="730">
        <v>775183</v>
      </c>
      <c r="CM69" s="730">
        <f t="shared" si="101"/>
        <v>807.74068599999998</v>
      </c>
      <c r="CP69" s="731" t="s">
        <v>476</v>
      </c>
      <c r="CQ69" s="730">
        <v>30000000</v>
      </c>
      <c r="CR69" s="730">
        <v>30000000</v>
      </c>
      <c r="CS69" s="730">
        <v>30000000</v>
      </c>
      <c r="CT69" s="730">
        <v>0</v>
      </c>
      <c r="CU69" s="730">
        <f t="shared" si="68"/>
        <v>31260</v>
      </c>
      <c r="CV69" s="730">
        <f t="shared" si="69"/>
        <v>31260</v>
      </c>
      <c r="CW69" s="730">
        <f t="shared" si="70"/>
        <v>31260</v>
      </c>
      <c r="CX69" s="730">
        <f t="shared" si="71"/>
        <v>0</v>
      </c>
      <c r="CZ69" s="731" t="s">
        <v>372</v>
      </c>
      <c r="DA69" s="730">
        <v>1228493</v>
      </c>
      <c r="DB69" s="730">
        <f t="shared" si="102"/>
        <v>1280.089706</v>
      </c>
      <c r="DE69" s="729" t="s">
        <v>476</v>
      </c>
      <c r="DF69" s="687">
        <v>30000000</v>
      </c>
      <c r="DG69" s="687">
        <v>30000000</v>
      </c>
      <c r="DH69" s="687">
        <v>30000000</v>
      </c>
      <c r="DI69" s="687">
        <v>0</v>
      </c>
      <c r="DJ69" s="730">
        <f t="shared" si="103"/>
        <v>31260</v>
      </c>
      <c r="DK69" s="730">
        <f t="shared" si="104"/>
        <v>31260</v>
      </c>
      <c r="DL69" s="730">
        <f t="shared" si="105"/>
        <v>31260</v>
      </c>
      <c r="DM69" s="730">
        <f t="shared" si="106"/>
        <v>0</v>
      </c>
      <c r="DP69" s="729" t="s">
        <v>378</v>
      </c>
      <c r="DQ69" s="687">
        <v>967695</v>
      </c>
      <c r="DR69" s="730">
        <f t="shared" si="107"/>
        <v>967.69500000000005</v>
      </c>
      <c r="DT69" s="729" t="s">
        <v>476</v>
      </c>
      <c r="DU69" s="687">
        <v>30000000</v>
      </c>
      <c r="DV69" s="687">
        <v>30000000</v>
      </c>
      <c r="DW69" s="687">
        <v>30000000</v>
      </c>
      <c r="DX69" s="687">
        <v>0</v>
      </c>
      <c r="DY69" s="730">
        <f t="shared" si="108"/>
        <v>30000</v>
      </c>
      <c r="DZ69" s="730">
        <f t="shared" si="109"/>
        <v>30000</v>
      </c>
      <c r="EA69" s="730">
        <f t="shared" si="110"/>
        <v>30000</v>
      </c>
      <c r="EB69" s="730">
        <f t="shared" si="111"/>
        <v>0</v>
      </c>
      <c r="EE69" s="731" t="s">
        <v>558</v>
      </c>
      <c r="EF69" s="730">
        <v>1849733</v>
      </c>
      <c r="EG69" s="734">
        <f t="shared" si="112"/>
        <v>1849.7329999999999</v>
      </c>
      <c r="EI69" s="731" t="s">
        <v>363</v>
      </c>
      <c r="EJ69" s="730">
        <v>11115147</v>
      </c>
      <c r="EK69" s="730">
        <v>9064947</v>
      </c>
      <c r="EL69" s="730">
        <v>9064947</v>
      </c>
      <c r="EM69" s="734">
        <f t="shared" si="113"/>
        <v>11115.147000000001</v>
      </c>
      <c r="EN69" s="734">
        <f t="shared" si="114"/>
        <v>9064.9470000000001</v>
      </c>
      <c r="EO69" s="734">
        <f t="shared" si="115"/>
        <v>9064.9470000000001</v>
      </c>
      <c r="ER69" s="729" t="s">
        <v>381</v>
      </c>
      <c r="ES69" s="687">
        <v>486244</v>
      </c>
      <c r="ET69" s="730">
        <f t="shared" si="116"/>
        <v>486.24400000000003</v>
      </c>
      <c r="EW69" s="729" t="s">
        <v>363</v>
      </c>
      <c r="EX69" s="687">
        <v>0</v>
      </c>
      <c r="EY69" s="687">
        <v>9064947</v>
      </c>
      <c r="EZ69" s="687">
        <v>9064947</v>
      </c>
      <c r="FA69" s="687">
        <v>9064947</v>
      </c>
      <c r="FB69" s="687">
        <v>0</v>
      </c>
      <c r="FC69" s="730">
        <f t="shared" si="117"/>
        <v>0</v>
      </c>
      <c r="FD69" s="730">
        <f t="shared" si="118"/>
        <v>9064.9470000000001</v>
      </c>
      <c r="FE69" s="730">
        <f t="shared" si="119"/>
        <v>9064.9470000000001</v>
      </c>
      <c r="FF69" s="730">
        <f t="shared" si="120"/>
        <v>9064.9470000000001</v>
      </c>
      <c r="FG69" s="730">
        <f t="shared" si="121"/>
        <v>0</v>
      </c>
      <c r="FJ69" s="731" t="s">
        <v>555</v>
      </c>
      <c r="FK69" s="730">
        <v>70000</v>
      </c>
      <c r="FL69" s="734">
        <f t="shared" si="122"/>
        <v>70</v>
      </c>
      <c r="FN69" s="735" t="s">
        <v>363</v>
      </c>
      <c r="FO69" s="736">
        <v>9064947</v>
      </c>
      <c r="FP69" s="736">
        <v>9064947</v>
      </c>
      <c r="FQ69" s="736">
        <v>9064947</v>
      </c>
      <c r="FR69" s="736">
        <f t="shared" si="123"/>
        <v>9064.9470000000001</v>
      </c>
      <c r="FS69" s="736">
        <f t="shared" si="124"/>
        <v>9064.9470000000001</v>
      </c>
      <c r="FT69" s="736">
        <f t="shared" si="125"/>
        <v>9064.9470000000001</v>
      </c>
    </row>
    <row r="70" spans="1:176" ht="15" customHeight="1" x14ac:dyDescent="0.25">
      <c r="A70" s="728" t="s">
        <v>879</v>
      </c>
      <c r="B70" s="729" t="s">
        <v>364</v>
      </c>
      <c r="C70" s="687">
        <v>0</v>
      </c>
      <c r="D70" s="687">
        <v>58934061</v>
      </c>
      <c r="E70" s="687">
        <v>4638828</v>
      </c>
      <c r="F70" s="687">
        <v>54295233</v>
      </c>
      <c r="G70" s="687">
        <v>1254311</v>
      </c>
      <c r="H70" s="730">
        <f t="shared" si="72"/>
        <v>61409.291562000006</v>
      </c>
      <c r="I70" s="730">
        <f t="shared" si="73"/>
        <v>4833.6587760000002</v>
      </c>
      <c r="J70" s="730">
        <f t="shared" si="74"/>
        <v>56575.632786000002</v>
      </c>
      <c r="K70" s="730">
        <f t="shared" si="75"/>
        <v>1306.992062</v>
      </c>
      <c r="O70" s="729" t="s">
        <v>566</v>
      </c>
      <c r="P70" s="687">
        <v>7306068</v>
      </c>
      <c r="Q70" s="730">
        <f t="shared" si="76"/>
        <v>7612.9228560000001</v>
      </c>
      <c r="S70" s="729" t="s">
        <v>364</v>
      </c>
      <c r="T70" s="687">
        <v>54214173</v>
      </c>
      <c r="U70" s="687">
        <v>5480922</v>
      </c>
      <c r="V70" s="687">
        <v>14027500</v>
      </c>
      <c r="W70" s="687">
        <v>40186673</v>
      </c>
      <c r="X70" s="730">
        <f t="shared" si="77"/>
        <v>56491.168266000008</v>
      </c>
      <c r="Y70" s="730">
        <f t="shared" si="78"/>
        <v>5711.1207239999994</v>
      </c>
      <c r="Z70" s="730">
        <f t="shared" si="79"/>
        <v>14616.655000000001</v>
      </c>
      <c r="AA70" s="730">
        <f t="shared" si="80"/>
        <v>41874.513266000002</v>
      </c>
      <c r="AC70" s="729" t="s">
        <v>378</v>
      </c>
      <c r="AD70" s="687">
        <v>1596816</v>
      </c>
      <c r="AE70" s="730">
        <f t="shared" si="81"/>
        <v>1663.8822720000001</v>
      </c>
      <c r="AG70" s="729" t="s">
        <v>477</v>
      </c>
      <c r="AH70" s="687">
        <v>24247918</v>
      </c>
      <c r="AI70" s="687">
        <v>0</v>
      </c>
      <c r="AJ70" s="687">
        <v>0</v>
      </c>
      <c r="AK70" s="687">
        <v>24247918</v>
      </c>
      <c r="AL70" s="687">
        <f t="shared" si="82"/>
        <v>25266.330556000001</v>
      </c>
      <c r="AM70" s="687">
        <f t="shared" si="83"/>
        <v>0</v>
      </c>
      <c r="AN70" s="687">
        <f t="shared" si="84"/>
        <v>0</v>
      </c>
      <c r="AO70" s="687">
        <f t="shared" si="85"/>
        <v>25266.330556000001</v>
      </c>
      <c r="AR70" s="729" t="s">
        <v>468</v>
      </c>
      <c r="AS70" s="687">
        <v>833190</v>
      </c>
      <c r="AT70" s="687">
        <f t="shared" si="86"/>
        <v>868.18398000000013</v>
      </c>
      <c r="AV70" s="729" t="s">
        <v>477</v>
      </c>
      <c r="AW70" s="687">
        <v>0</v>
      </c>
      <c r="AX70" s="687">
        <v>0</v>
      </c>
      <c r="AY70" s="687">
        <v>0</v>
      </c>
      <c r="AZ70" s="687">
        <v>0</v>
      </c>
      <c r="BA70" s="730">
        <f t="shared" si="87"/>
        <v>0</v>
      </c>
      <c r="BB70" s="730">
        <f t="shared" si="88"/>
        <v>0</v>
      </c>
      <c r="BC70" s="730">
        <f t="shared" si="89"/>
        <v>0</v>
      </c>
      <c r="BD70" s="730">
        <f t="shared" si="90"/>
        <v>0</v>
      </c>
      <c r="BG70" s="754" t="s">
        <v>565</v>
      </c>
      <c r="BH70" s="687">
        <v>5922715</v>
      </c>
      <c r="BI70" s="755">
        <f t="shared" si="91"/>
        <v>6171.4690300000002</v>
      </c>
      <c r="BK70" s="754" t="s">
        <v>477</v>
      </c>
      <c r="BL70" s="687">
        <v>0</v>
      </c>
      <c r="BM70" s="687">
        <v>0</v>
      </c>
      <c r="BN70" s="687">
        <v>0</v>
      </c>
      <c r="BO70" s="687">
        <v>0</v>
      </c>
      <c r="BP70" s="687">
        <f t="shared" si="92"/>
        <v>0</v>
      </c>
      <c r="BQ70" s="687">
        <f t="shared" si="93"/>
        <v>0</v>
      </c>
      <c r="BR70" s="687">
        <f t="shared" si="94"/>
        <v>0</v>
      </c>
      <c r="BS70" s="755">
        <f t="shared" si="95"/>
        <v>0</v>
      </c>
      <c r="BV70" s="729" t="s">
        <v>377</v>
      </c>
      <c r="BW70" s="687">
        <v>474317</v>
      </c>
      <c r="BX70" s="730">
        <f t="shared" si="96"/>
        <v>494.238314</v>
      </c>
      <c r="BZ70" s="729" t="s">
        <v>477</v>
      </c>
      <c r="CA70" s="687">
        <v>30000000</v>
      </c>
      <c r="CB70" s="687">
        <v>30000000</v>
      </c>
      <c r="CC70" s="687">
        <v>30000000</v>
      </c>
      <c r="CD70" s="687">
        <v>0</v>
      </c>
      <c r="CE70" s="687">
        <f t="shared" si="97"/>
        <v>31260</v>
      </c>
      <c r="CF70" s="687">
        <f t="shared" si="98"/>
        <v>31260</v>
      </c>
      <c r="CG70" s="687">
        <f t="shared" si="99"/>
        <v>31260</v>
      </c>
      <c r="CH70" s="687">
        <f t="shared" si="100"/>
        <v>0</v>
      </c>
      <c r="CK70" s="731" t="s">
        <v>377</v>
      </c>
      <c r="CL70" s="730">
        <v>474317</v>
      </c>
      <c r="CM70" s="730">
        <f t="shared" si="101"/>
        <v>494.238314</v>
      </c>
      <c r="CP70" s="731" t="s">
        <v>477</v>
      </c>
      <c r="CQ70" s="730">
        <v>30000000</v>
      </c>
      <c r="CR70" s="730">
        <v>30000000</v>
      </c>
      <c r="CS70" s="730">
        <v>30000000</v>
      </c>
      <c r="CT70" s="730">
        <v>0</v>
      </c>
      <c r="CU70" s="730">
        <f t="shared" si="68"/>
        <v>31260</v>
      </c>
      <c r="CV70" s="730">
        <f t="shared" si="69"/>
        <v>31260</v>
      </c>
      <c r="CW70" s="730">
        <f t="shared" si="70"/>
        <v>31260</v>
      </c>
      <c r="CX70" s="730">
        <f t="shared" si="71"/>
        <v>0</v>
      </c>
      <c r="CZ70" s="731" t="s">
        <v>373</v>
      </c>
      <c r="DA70" s="730">
        <v>775054</v>
      </c>
      <c r="DB70" s="730">
        <f t="shared" si="102"/>
        <v>807.606268</v>
      </c>
      <c r="DE70" s="729" t="s">
        <v>477</v>
      </c>
      <c r="DF70" s="687">
        <v>30000000</v>
      </c>
      <c r="DG70" s="687">
        <v>30000000</v>
      </c>
      <c r="DH70" s="687">
        <v>30000000</v>
      </c>
      <c r="DI70" s="687">
        <v>0</v>
      </c>
      <c r="DJ70" s="730">
        <f t="shared" si="103"/>
        <v>31260</v>
      </c>
      <c r="DK70" s="730">
        <f t="shared" si="104"/>
        <v>31260</v>
      </c>
      <c r="DL70" s="730">
        <f t="shared" si="105"/>
        <v>31260</v>
      </c>
      <c r="DM70" s="730">
        <f t="shared" si="106"/>
        <v>0</v>
      </c>
      <c r="DP70" s="729" t="s">
        <v>557</v>
      </c>
      <c r="DQ70" s="687">
        <v>371280</v>
      </c>
      <c r="DR70" s="730">
        <f t="shared" si="107"/>
        <v>371.28</v>
      </c>
      <c r="DT70" s="729" t="s">
        <v>477</v>
      </c>
      <c r="DU70" s="687">
        <v>30000000</v>
      </c>
      <c r="DV70" s="687">
        <v>30000000</v>
      </c>
      <c r="DW70" s="687">
        <v>30000000</v>
      </c>
      <c r="DX70" s="687">
        <v>0</v>
      </c>
      <c r="DY70" s="730">
        <f t="shared" si="108"/>
        <v>30000</v>
      </c>
      <c r="DZ70" s="730">
        <f t="shared" si="109"/>
        <v>30000</v>
      </c>
      <c r="EA70" s="730">
        <f t="shared" si="110"/>
        <v>30000</v>
      </c>
      <c r="EB70" s="730">
        <f t="shared" si="111"/>
        <v>0</v>
      </c>
      <c r="EE70" s="731" t="s">
        <v>561</v>
      </c>
      <c r="EF70" s="730">
        <v>1174196</v>
      </c>
      <c r="EG70" s="734">
        <f t="shared" si="112"/>
        <v>1174.1959999999999</v>
      </c>
      <c r="EI70" s="731" t="s">
        <v>476</v>
      </c>
      <c r="EJ70" s="730">
        <v>30000000</v>
      </c>
      <c r="EK70" s="730">
        <v>30000000</v>
      </c>
      <c r="EL70" s="730">
        <v>30000000</v>
      </c>
      <c r="EM70" s="734">
        <f t="shared" si="113"/>
        <v>30000</v>
      </c>
      <c r="EN70" s="734">
        <f t="shared" si="114"/>
        <v>30000</v>
      </c>
      <c r="EO70" s="734">
        <f t="shared" si="115"/>
        <v>30000</v>
      </c>
      <c r="ER70" s="729" t="s">
        <v>383</v>
      </c>
      <c r="ES70" s="687">
        <v>134955799</v>
      </c>
      <c r="ET70" s="730">
        <f t="shared" si="116"/>
        <v>134955.799</v>
      </c>
      <c r="EW70" s="729" t="s">
        <v>476</v>
      </c>
      <c r="EX70" s="687">
        <v>0</v>
      </c>
      <c r="EY70" s="687">
        <v>60000000</v>
      </c>
      <c r="EZ70" s="687">
        <v>60000000</v>
      </c>
      <c r="FA70" s="687">
        <v>60000000</v>
      </c>
      <c r="FB70" s="687">
        <v>0</v>
      </c>
      <c r="FC70" s="730">
        <f t="shared" si="117"/>
        <v>0</v>
      </c>
      <c r="FD70" s="730">
        <f t="shared" si="118"/>
        <v>60000</v>
      </c>
      <c r="FE70" s="730">
        <f t="shared" si="119"/>
        <v>60000</v>
      </c>
      <c r="FF70" s="730">
        <f t="shared" si="120"/>
        <v>60000</v>
      </c>
      <c r="FG70" s="730">
        <f t="shared" si="121"/>
        <v>0</v>
      </c>
      <c r="FJ70" s="731" t="s">
        <v>368</v>
      </c>
      <c r="FK70" s="730">
        <v>213393</v>
      </c>
      <c r="FL70" s="734">
        <f t="shared" si="122"/>
        <v>213.393</v>
      </c>
      <c r="FN70" s="735" t="s">
        <v>476</v>
      </c>
      <c r="FO70" s="736">
        <v>60000000</v>
      </c>
      <c r="FP70" s="736">
        <v>60000000</v>
      </c>
      <c r="FQ70" s="736">
        <v>60000000</v>
      </c>
      <c r="FR70" s="736">
        <f t="shared" si="123"/>
        <v>60000</v>
      </c>
      <c r="FS70" s="736">
        <f t="shared" si="124"/>
        <v>60000</v>
      </c>
      <c r="FT70" s="736">
        <f t="shared" si="125"/>
        <v>60000</v>
      </c>
    </row>
    <row r="71" spans="1:176" ht="15" customHeight="1" x14ac:dyDescent="0.25">
      <c r="A71" s="728" t="s">
        <v>880</v>
      </c>
      <c r="B71" s="729" t="s">
        <v>365</v>
      </c>
      <c r="C71" s="687">
        <v>0</v>
      </c>
      <c r="D71" s="687">
        <v>12000000</v>
      </c>
      <c r="E71" s="687">
        <v>1707078</v>
      </c>
      <c r="F71" s="687">
        <v>10292922</v>
      </c>
      <c r="G71" s="687">
        <v>1184311</v>
      </c>
      <c r="H71" s="730">
        <f t="shared" si="72"/>
        <v>12504</v>
      </c>
      <c r="I71" s="730">
        <f t="shared" si="73"/>
        <v>1778.7752760000001</v>
      </c>
      <c r="J71" s="730">
        <f t="shared" si="74"/>
        <v>10725.224724000002</v>
      </c>
      <c r="K71" s="730">
        <f t="shared" si="75"/>
        <v>1234.052062</v>
      </c>
      <c r="O71" s="729" t="s">
        <v>568</v>
      </c>
      <c r="P71" s="687">
        <v>25434590</v>
      </c>
      <c r="Q71" s="730">
        <f t="shared" si="76"/>
        <v>26502.842780000003</v>
      </c>
      <c r="S71" s="729" t="s">
        <v>365</v>
      </c>
      <c r="T71" s="687">
        <v>11107500</v>
      </c>
      <c r="U71" s="687">
        <v>1601097</v>
      </c>
      <c r="V71" s="687">
        <v>1707078</v>
      </c>
      <c r="W71" s="687">
        <v>9400422</v>
      </c>
      <c r="X71" s="730">
        <f t="shared" si="77"/>
        <v>11574.015000000001</v>
      </c>
      <c r="Y71" s="730">
        <f t="shared" si="78"/>
        <v>1668.3430740000001</v>
      </c>
      <c r="Z71" s="730">
        <f t="shared" si="79"/>
        <v>1778.7752760000001</v>
      </c>
      <c r="AA71" s="730">
        <f t="shared" si="80"/>
        <v>9795.2397240000009</v>
      </c>
      <c r="AC71" s="729" t="s">
        <v>558</v>
      </c>
      <c r="AD71" s="687">
        <v>1053325</v>
      </c>
      <c r="AE71" s="730">
        <f t="shared" si="81"/>
        <v>1097.56465</v>
      </c>
      <c r="AG71" s="729" t="s">
        <v>364</v>
      </c>
      <c r="AH71" s="687">
        <v>52955348</v>
      </c>
      <c r="AI71" s="687">
        <v>13429331</v>
      </c>
      <c r="AJ71" s="687">
        <v>18506469</v>
      </c>
      <c r="AK71" s="687">
        <v>34448879</v>
      </c>
      <c r="AL71" s="687">
        <f t="shared" si="82"/>
        <v>55179.472615999999</v>
      </c>
      <c r="AM71" s="687">
        <f t="shared" si="83"/>
        <v>13993.362902000001</v>
      </c>
      <c r="AN71" s="687">
        <f t="shared" si="84"/>
        <v>19283.740698000001</v>
      </c>
      <c r="AO71" s="687">
        <f t="shared" si="85"/>
        <v>35895.731918000005</v>
      </c>
      <c r="AR71" s="729" t="s">
        <v>562</v>
      </c>
      <c r="AS71" s="687">
        <v>19471634</v>
      </c>
      <c r="AT71" s="687">
        <f t="shared" si="86"/>
        <v>20289.442627999997</v>
      </c>
      <c r="AV71" s="729" t="s">
        <v>364</v>
      </c>
      <c r="AW71" s="687">
        <v>47029334</v>
      </c>
      <c r="AX71" s="687">
        <v>16206672</v>
      </c>
      <c r="AY71" s="687">
        <v>21025428</v>
      </c>
      <c r="AZ71" s="687">
        <v>26003906</v>
      </c>
      <c r="BA71" s="730">
        <f t="shared" si="87"/>
        <v>49004.566028000001</v>
      </c>
      <c r="BB71" s="730">
        <f t="shared" si="88"/>
        <v>16887.352224000002</v>
      </c>
      <c r="BC71" s="730">
        <f t="shared" si="89"/>
        <v>21908.495976000002</v>
      </c>
      <c r="BD71" s="730">
        <f t="shared" si="90"/>
        <v>27096.070051999999</v>
      </c>
      <c r="BG71" s="754" t="s">
        <v>566</v>
      </c>
      <c r="BH71" s="687">
        <v>9377983</v>
      </c>
      <c r="BI71" s="755">
        <f t="shared" si="91"/>
        <v>9771.8582860000006</v>
      </c>
      <c r="BK71" s="754" t="s">
        <v>364</v>
      </c>
      <c r="BL71" s="687">
        <v>50751790</v>
      </c>
      <c r="BM71" s="687">
        <v>19066093</v>
      </c>
      <c r="BN71" s="687">
        <v>31431040</v>
      </c>
      <c r="BO71" s="687">
        <v>19320750</v>
      </c>
      <c r="BP71" s="687">
        <f t="shared" si="92"/>
        <v>52883.365180000001</v>
      </c>
      <c r="BQ71" s="687">
        <f t="shared" si="93"/>
        <v>19866.868906</v>
      </c>
      <c r="BR71" s="687">
        <f t="shared" si="94"/>
        <v>32751.143680000001</v>
      </c>
      <c r="BS71" s="755">
        <f t="shared" si="95"/>
        <v>20132.2215</v>
      </c>
      <c r="BV71" s="729" t="s">
        <v>556</v>
      </c>
      <c r="BW71" s="687">
        <v>3135806</v>
      </c>
      <c r="BX71" s="730">
        <f t="shared" si="96"/>
        <v>3267.5098520000001</v>
      </c>
      <c r="BZ71" s="729" t="s">
        <v>364</v>
      </c>
      <c r="CA71" s="687">
        <v>52307559</v>
      </c>
      <c r="CB71" s="687">
        <v>23304677</v>
      </c>
      <c r="CC71" s="687">
        <v>33502104</v>
      </c>
      <c r="CD71" s="687">
        <v>18805455</v>
      </c>
      <c r="CE71" s="687">
        <f t="shared" si="97"/>
        <v>54504.476478000004</v>
      </c>
      <c r="CF71" s="687">
        <f t="shared" si="98"/>
        <v>24283.473434</v>
      </c>
      <c r="CG71" s="687">
        <f t="shared" si="99"/>
        <v>34909.192368000004</v>
      </c>
      <c r="CH71" s="687">
        <f t="shared" si="100"/>
        <v>19595.284110000004</v>
      </c>
      <c r="CK71" s="731" t="s">
        <v>556</v>
      </c>
      <c r="CL71" s="730">
        <v>1663620</v>
      </c>
      <c r="CM71" s="730">
        <f t="shared" si="101"/>
        <v>1733.4920399999999</v>
      </c>
      <c r="CP71" s="731" t="s">
        <v>364</v>
      </c>
      <c r="CQ71" s="730">
        <v>57611529</v>
      </c>
      <c r="CR71" s="730">
        <v>31662836</v>
      </c>
      <c r="CS71" s="730">
        <v>43256240</v>
      </c>
      <c r="CT71" s="730">
        <v>14355289</v>
      </c>
      <c r="CU71" s="730">
        <f t="shared" si="68"/>
        <v>60031.213218000004</v>
      </c>
      <c r="CV71" s="730">
        <f t="shared" si="69"/>
        <v>32992.675111999997</v>
      </c>
      <c r="CW71" s="730">
        <f t="shared" si="70"/>
        <v>45073.002079999998</v>
      </c>
      <c r="CX71" s="730">
        <f t="shared" si="71"/>
        <v>14958.211138000001</v>
      </c>
      <c r="CZ71" s="731" t="s">
        <v>374</v>
      </c>
      <c r="DA71" s="730">
        <v>1073892</v>
      </c>
      <c r="DB71" s="730">
        <f t="shared" si="102"/>
        <v>1118.9954640000001</v>
      </c>
      <c r="DE71" s="729" t="s">
        <v>364</v>
      </c>
      <c r="DF71" s="687">
        <v>59229111</v>
      </c>
      <c r="DG71" s="687">
        <v>42167085</v>
      </c>
      <c r="DH71" s="687">
        <v>45638875</v>
      </c>
      <c r="DI71" s="687">
        <v>13590236</v>
      </c>
      <c r="DJ71" s="730">
        <f t="shared" si="103"/>
        <v>61716.733661999999</v>
      </c>
      <c r="DK71" s="730">
        <f t="shared" si="104"/>
        <v>43938.102570000003</v>
      </c>
      <c r="DL71" s="730">
        <f t="shared" si="105"/>
        <v>47555.707750000001</v>
      </c>
      <c r="DM71" s="730">
        <f t="shared" si="106"/>
        <v>14161.025912000001</v>
      </c>
      <c r="DP71" s="729" t="s">
        <v>558</v>
      </c>
      <c r="DQ71" s="687">
        <v>596415</v>
      </c>
      <c r="DR71" s="730">
        <f t="shared" si="107"/>
        <v>596.41499999999996</v>
      </c>
      <c r="DT71" s="729" t="s">
        <v>364</v>
      </c>
      <c r="DU71" s="687">
        <v>60366990</v>
      </c>
      <c r="DV71" s="687">
        <v>44002380</v>
      </c>
      <c r="DW71" s="687">
        <v>46776754</v>
      </c>
      <c r="DX71" s="687">
        <v>13590236</v>
      </c>
      <c r="DY71" s="730">
        <f t="shared" si="108"/>
        <v>60366.99</v>
      </c>
      <c r="DZ71" s="730">
        <f t="shared" si="109"/>
        <v>44002.38</v>
      </c>
      <c r="EA71" s="730">
        <f t="shared" si="110"/>
        <v>46776.754000000001</v>
      </c>
      <c r="EB71" s="730">
        <f t="shared" si="111"/>
        <v>13590.236000000001</v>
      </c>
      <c r="EE71" s="731" t="s">
        <v>379</v>
      </c>
      <c r="EF71" s="730">
        <v>285600</v>
      </c>
      <c r="EG71" s="734">
        <f t="shared" si="112"/>
        <v>285.60000000000002</v>
      </c>
      <c r="EI71" s="731" t="s">
        <v>477</v>
      </c>
      <c r="EJ71" s="730">
        <v>30000000</v>
      </c>
      <c r="EK71" s="730">
        <v>30000000</v>
      </c>
      <c r="EL71" s="730">
        <v>30000000</v>
      </c>
      <c r="EM71" s="734">
        <f t="shared" si="113"/>
        <v>30000</v>
      </c>
      <c r="EN71" s="734">
        <f t="shared" si="114"/>
        <v>30000</v>
      </c>
      <c r="EO71" s="734">
        <f t="shared" si="115"/>
        <v>30000</v>
      </c>
      <c r="ER71" s="729" t="s">
        <v>384</v>
      </c>
      <c r="ES71" s="687">
        <v>8445477</v>
      </c>
      <c r="ET71" s="730">
        <f t="shared" si="116"/>
        <v>8445.4770000000008</v>
      </c>
      <c r="EW71" s="729" t="s">
        <v>477</v>
      </c>
      <c r="EX71" s="687">
        <v>0</v>
      </c>
      <c r="EY71" s="687">
        <v>60000000</v>
      </c>
      <c r="EZ71" s="687">
        <v>60000000</v>
      </c>
      <c r="FA71" s="687">
        <v>60000000</v>
      </c>
      <c r="FB71" s="687">
        <v>0</v>
      </c>
      <c r="FC71" s="730">
        <f t="shared" si="117"/>
        <v>0</v>
      </c>
      <c r="FD71" s="730">
        <f t="shared" si="118"/>
        <v>60000</v>
      </c>
      <c r="FE71" s="730">
        <f t="shared" si="119"/>
        <v>60000</v>
      </c>
      <c r="FF71" s="730">
        <f t="shared" si="120"/>
        <v>60000</v>
      </c>
      <c r="FG71" s="730">
        <f t="shared" si="121"/>
        <v>0</v>
      </c>
      <c r="FJ71" s="731" t="s">
        <v>369</v>
      </c>
      <c r="FK71" s="730">
        <v>2753977</v>
      </c>
      <c r="FL71" s="734">
        <f t="shared" si="122"/>
        <v>2753.9769999999999</v>
      </c>
      <c r="FN71" s="735" t="s">
        <v>477</v>
      </c>
      <c r="FO71" s="736">
        <v>60000000</v>
      </c>
      <c r="FP71" s="736">
        <v>60000000</v>
      </c>
      <c r="FQ71" s="736">
        <v>60000000</v>
      </c>
      <c r="FR71" s="736">
        <f t="shared" si="123"/>
        <v>60000</v>
      </c>
      <c r="FS71" s="736">
        <f t="shared" si="124"/>
        <v>60000</v>
      </c>
      <c r="FT71" s="736">
        <f t="shared" si="125"/>
        <v>60000</v>
      </c>
    </row>
    <row r="72" spans="1:176" ht="15" customHeight="1" x14ac:dyDescent="0.25">
      <c r="A72" s="728" t="s">
        <v>880</v>
      </c>
      <c r="B72" s="729" t="s">
        <v>746</v>
      </c>
      <c r="C72" s="687">
        <v>0</v>
      </c>
      <c r="D72" s="687">
        <v>314160</v>
      </c>
      <c r="E72" s="687">
        <v>0</v>
      </c>
      <c r="F72" s="687">
        <v>314160</v>
      </c>
      <c r="G72" s="687">
        <v>0</v>
      </c>
      <c r="H72" s="730">
        <f t="shared" si="72"/>
        <v>327.35472000000004</v>
      </c>
      <c r="I72" s="730">
        <f t="shared" si="73"/>
        <v>0</v>
      </c>
      <c r="J72" s="730">
        <f t="shared" si="74"/>
        <v>327.35472000000004</v>
      </c>
      <c r="K72" s="730">
        <f t="shared" si="75"/>
        <v>0</v>
      </c>
      <c r="O72" s="729" t="s">
        <v>391</v>
      </c>
      <c r="P72" s="687">
        <v>2515680</v>
      </c>
      <c r="Q72" s="730">
        <f t="shared" si="76"/>
        <v>2621.3385600000001</v>
      </c>
      <c r="S72" s="729" t="s">
        <v>746</v>
      </c>
      <c r="T72" s="687">
        <v>314160</v>
      </c>
      <c r="U72" s="687">
        <v>314160</v>
      </c>
      <c r="V72" s="687">
        <v>314160</v>
      </c>
      <c r="W72" s="687">
        <v>0</v>
      </c>
      <c r="X72" s="730">
        <f t="shared" si="77"/>
        <v>327.35472000000004</v>
      </c>
      <c r="Y72" s="730">
        <f t="shared" si="78"/>
        <v>327.35472000000004</v>
      </c>
      <c r="Z72" s="730">
        <f t="shared" si="79"/>
        <v>327.35472000000004</v>
      </c>
      <c r="AA72" s="730">
        <f t="shared" si="80"/>
        <v>0</v>
      </c>
      <c r="AC72" s="729" t="s">
        <v>561</v>
      </c>
      <c r="AD72" s="687">
        <v>543491</v>
      </c>
      <c r="AE72" s="730">
        <f t="shared" si="81"/>
        <v>566.31762200000003</v>
      </c>
      <c r="AG72" s="729" t="s">
        <v>365</v>
      </c>
      <c r="AH72" s="687">
        <v>9642675</v>
      </c>
      <c r="AI72" s="687">
        <v>1601097</v>
      </c>
      <c r="AJ72" s="687">
        <v>1707078</v>
      </c>
      <c r="AK72" s="687">
        <v>7935597</v>
      </c>
      <c r="AL72" s="687">
        <f t="shared" si="82"/>
        <v>10047.66735</v>
      </c>
      <c r="AM72" s="687">
        <f t="shared" si="83"/>
        <v>1668.3430740000001</v>
      </c>
      <c r="AN72" s="687">
        <f t="shared" si="84"/>
        <v>1778.7752760000001</v>
      </c>
      <c r="AO72" s="687">
        <f t="shared" si="85"/>
        <v>8268.8920739999994</v>
      </c>
      <c r="AR72" s="729" t="s">
        <v>563</v>
      </c>
      <c r="AS72" s="687">
        <v>8382940</v>
      </c>
      <c r="AT72" s="687">
        <f t="shared" si="86"/>
        <v>8735.0234800000017</v>
      </c>
      <c r="AV72" s="729" t="s">
        <v>365</v>
      </c>
      <c r="AW72" s="687">
        <v>4001137</v>
      </c>
      <c r="AX72" s="687">
        <v>1601097</v>
      </c>
      <c r="AY72" s="687">
        <v>1707078</v>
      </c>
      <c r="AZ72" s="687">
        <v>2294059</v>
      </c>
      <c r="BA72" s="730">
        <f t="shared" si="87"/>
        <v>4169.1847539999999</v>
      </c>
      <c r="BB72" s="730">
        <f t="shared" si="88"/>
        <v>1668.3430740000001</v>
      </c>
      <c r="BC72" s="730">
        <f t="shared" si="89"/>
        <v>1778.7752760000001</v>
      </c>
      <c r="BD72" s="730">
        <f t="shared" si="90"/>
        <v>2390.4094780000005</v>
      </c>
      <c r="BG72" s="754" t="s">
        <v>568</v>
      </c>
      <c r="BH72" s="687">
        <v>111837101</v>
      </c>
      <c r="BI72" s="755">
        <f t="shared" si="91"/>
        <v>116534.259242</v>
      </c>
      <c r="BK72" s="754" t="s">
        <v>365</v>
      </c>
      <c r="BL72" s="687">
        <v>5031765</v>
      </c>
      <c r="BM72" s="687">
        <v>1647215</v>
      </c>
      <c r="BN72" s="687">
        <v>4974395</v>
      </c>
      <c r="BO72" s="687">
        <v>57370</v>
      </c>
      <c r="BP72" s="687">
        <f t="shared" si="92"/>
        <v>5243.0991300000005</v>
      </c>
      <c r="BQ72" s="687">
        <f t="shared" si="93"/>
        <v>1716.3980300000001</v>
      </c>
      <c r="BR72" s="687">
        <f t="shared" si="94"/>
        <v>5183.319590000001</v>
      </c>
      <c r="BS72" s="755">
        <f t="shared" si="95"/>
        <v>59.779539999999997</v>
      </c>
      <c r="BV72" s="729" t="s">
        <v>378</v>
      </c>
      <c r="BW72" s="687">
        <v>1340432</v>
      </c>
      <c r="BX72" s="730">
        <f t="shared" si="96"/>
        <v>1396.7301440000001</v>
      </c>
      <c r="BZ72" s="729" t="s">
        <v>365</v>
      </c>
      <c r="CA72" s="687">
        <v>4976821</v>
      </c>
      <c r="CB72" s="687">
        <v>1647215</v>
      </c>
      <c r="CC72" s="687">
        <v>4974395</v>
      </c>
      <c r="CD72" s="687">
        <v>2426</v>
      </c>
      <c r="CE72" s="687">
        <f t="shared" si="97"/>
        <v>5185.8474820000001</v>
      </c>
      <c r="CF72" s="687">
        <f t="shared" si="98"/>
        <v>1716.3980300000001</v>
      </c>
      <c r="CG72" s="687">
        <f t="shared" si="99"/>
        <v>5183.319590000001</v>
      </c>
      <c r="CH72" s="687">
        <f t="shared" si="100"/>
        <v>2.5278920000000005</v>
      </c>
      <c r="CK72" s="731" t="s">
        <v>378</v>
      </c>
      <c r="CL72" s="730">
        <v>3508462</v>
      </c>
      <c r="CM72" s="730">
        <f t="shared" si="101"/>
        <v>3655.8174039999999</v>
      </c>
      <c r="CP72" s="731" t="s">
        <v>365</v>
      </c>
      <c r="CQ72" s="730">
        <v>5629536</v>
      </c>
      <c r="CR72" s="730">
        <v>5177814</v>
      </c>
      <c r="CS72" s="730">
        <v>5627110</v>
      </c>
      <c r="CT72" s="730">
        <v>2426</v>
      </c>
      <c r="CU72" s="730">
        <f t="shared" si="68"/>
        <v>5865.9765120000002</v>
      </c>
      <c r="CV72" s="730">
        <f t="shared" si="69"/>
        <v>5395.2821880000001</v>
      </c>
      <c r="CW72" s="730">
        <f t="shared" si="70"/>
        <v>5863.4486200000001</v>
      </c>
      <c r="CX72" s="730">
        <f t="shared" si="71"/>
        <v>2.5278920000000005</v>
      </c>
      <c r="CZ72" s="731" t="s">
        <v>377</v>
      </c>
      <c r="DA72" s="730">
        <v>474317</v>
      </c>
      <c r="DB72" s="730">
        <f t="shared" si="102"/>
        <v>494.238314</v>
      </c>
      <c r="DE72" s="729" t="s">
        <v>365</v>
      </c>
      <c r="DF72" s="687">
        <v>5629536</v>
      </c>
      <c r="DG72" s="687">
        <v>4348735</v>
      </c>
      <c r="DH72" s="687">
        <v>5627110</v>
      </c>
      <c r="DI72" s="687">
        <v>2426</v>
      </c>
      <c r="DJ72" s="730">
        <f t="shared" si="103"/>
        <v>5865.9765120000002</v>
      </c>
      <c r="DK72" s="730">
        <f t="shared" si="104"/>
        <v>4531.3818700000002</v>
      </c>
      <c r="DL72" s="730">
        <f t="shared" si="105"/>
        <v>5863.4486200000001</v>
      </c>
      <c r="DM72" s="730">
        <f t="shared" si="106"/>
        <v>2.5278920000000005</v>
      </c>
      <c r="DP72" s="729" t="s">
        <v>380</v>
      </c>
      <c r="DQ72" s="687">
        <v>65494006</v>
      </c>
      <c r="DR72" s="730">
        <f t="shared" si="107"/>
        <v>65494.006000000001</v>
      </c>
      <c r="DT72" s="729" t="s">
        <v>365</v>
      </c>
      <c r="DU72" s="687">
        <v>5629536</v>
      </c>
      <c r="DV72" s="687">
        <v>4454716</v>
      </c>
      <c r="DW72" s="687">
        <v>5627110</v>
      </c>
      <c r="DX72" s="687">
        <v>2426</v>
      </c>
      <c r="DY72" s="730">
        <f t="shared" si="108"/>
        <v>5629.5360000000001</v>
      </c>
      <c r="DZ72" s="730">
        <f t="shared" si="109"/>
        <v>4454.7160000000003</v>
      </c>
      <c r="EA72" s="730">
        <f t="shared" si="110"/>
        <v>5627.11</v>
      </c>
      <c r="EB72" s="730">
        <f t="shared" si="111"/>
        <v>2.4260000000000002</v>
      </c>
      <c r="EE72" s="731" t="s">
        <v>380</v>
      </c>
      <c r="EF72" s="730">
        <v>1838707</v>
      </c>
      <c r="EG72" s="734">
        <f t="shared" si="112"/>
        <v>1838.7070000000001</v>
      </c>
      <c r="EI72" s="731" t="s">
        <v>364</v>
      </c>
      <c r="EJ72" s="730">
        <v>62472532</v>
      </c>
      <c r="EK72" s="730">
        <v>51301679</v>
      </c>
      <c r="EL72" s="730">
        <v>46418753</v>
      </c>
      <c r="EM72" s="734">
        <f t="shared" si="113"/>
        <v>62472.531999999999</v>
      </c>
      <c r="EN72" s="734">
        <f t="shared" si="114"/>
        <v>51301.678999999996</v>
      </c>
      <c r="EO72" s="734">
        <f t="shared" si="115"/>
        <v>46418.752999999997</v>
      </c>
      <c r="ER72" s="729" t="s">
        <v>468</v>
      </c>
      <c r="ES72" s="687">
        <v>3926180</v>
      </c>
      <c r="ET72" s="730">
        <f t="shared" si="116"/>
        <v>3926.18</v>
      </c>
      <c r="EW72" s="729" t="s">
        <v>364</v>
      </c>
      <c r="EX72" s="687">
        <v>0</v>
      </c>
      <c r="EY72" s="687">
        <v>95047327</v>
      </c>
      <c r="EZ72" s="687">
        <v>61045480</v>
      </c>
      <c r="FA72" s="687">
        <v>78222721</v>
      </c>
      <c r="FB72" s="687">
        <v>16824606</v>
      </c>
      <c r="FC72" s="730">
        <f t="shared" si="117"/>
        <v>0</v>
      </c>
      <c r="FD72" s="730">
        <f t="shared" si="118"/>
        <v>95047.327000000005</v>
      </c>
      <c r="FE72" s="730">
        <f t="shared" si="119"/>
        <v>61045.48</v>
      </c>
      <c r="FF72" s="730">
        <f t="shared" si="120"/>
        <v>78222.721000000005</v>
      </c>
      <c r="FG72" s="730">
        <f t="shared" si="121"/>
        <v>16824.606</v>
      </c>
      <c r="FJ72" s="731" t="s">
        <v>370</v>
      </c>
      <c r="FK72" s="730">
        <v>16521404</v>
      </c>
      <c r="FL72" s="734">
        <f t="shared" si="122"/>
        <v>16521.403999999999</v>
      </c>
      <c r="FN72" s="735" t="s">
        <v>364</v>
      </c>
      <c r="FO72" s="736">
        <v>96978515</v>
      </c>
      <c r="FP72" s="736">
        <v>82607721</v>
      </c>
      <c r="FQ72" s="736">
        <v>83214696</v>
      </c>
      <c r="FR72" s="736">
        <f t="shared" si="123"/>
        <v>96978.514999999999</v>
      </c>
      <c r="FS72" s="736">
        <f t="shared" si="124"/>
        <v>82607.721000000005</v>
      </c>
      <c r="FT72" s="736">
        <f t="shared" si="125"/>
        <v>83214.695999999996</v>
      </c>
    </row>
    <row r="73" spans="1:176" ht="15" customHeight="1" x14ac:dyDescent="0.25">
      <c r="A73" s="728" t="s">
        <v>880</v>
      </c>
      <c r="B73" s="729" t="s">
        <v>550</v>
      </c>
      <c r="C73" s="687">
        <v>0</v>
      </c>
      <c r="D73" s="687">
        <v>685840</v>
      </c>
      <c r="E73" s="687">
        <v>0</v>
      </c>
      <c r="F73" s="687">
        <v>685840</v>
      </c>
      <c r="G73" s="687">
        <v>0</v>
      </c>
      <c r="H73" s="730">
        <f t="shared" si="72"/>
        <v>714.64528000000007</v>
      </c>
      <c r="I73" s="730">
        <f t="shared" si="73"/>
        <v>0</v>
      </c>
      <c r="J73" s="730">
        <f t="shared" si="74"/>
        <v>714.64528000000007</v>
      </c>
      <c r="K73" s="730">
        <f t="shared" si="75"/>
        <v>0</v>
      </c>
      <c r="O73" s="729" t="s">
        <v>392</v>
      </c>
      <c r="P73" s="687">
        <v>22918910</v>
      </c>
      <c r="Q73" s="730">
        <f t="shared" si="76"/>
        <v>23881.504219999999</v>
      </c>
      <c r="S73" s="729" t="s">
        <v>550</v>
      </c>
      <c r="T73" s="687">
        <v>685840</v>
      </c>
      <c r="U73" s="687">
        <v>0</v>
      </c>
      <c r="V73" s="687">
        <v>0</v>
      </c>
      <c r="W73" s="687">
        <v>685840</v>
      </c>
      <c r="X73" s="730">
        <f t="shared" si="77"/>
        <v>714.64528000000007</v>
      </c>
      <c r="Y73" s="730">
        <f t="shared" si="78"/>
        <v>0</v>
      </c>
      <c r="Z73" s="730">
        <f t="shared" si="79"/>
        <v>0</v>
      </c>
      <c r="AA73" s="730">
        <f t="shared" si="80"/>
        <v>714.64528000000007</v>
      </c>
      <c r="AC73" s="729" t="s">
        <v>380</v>
      </c>
      <c r="AD73" s="687">
        <v>2429598</v>
      </c>
      <c r="AE73" s="730">
        <f t="shared" si="81"/>
        <v>2531.6411160000002</v>
      </c>
      <c r="AG73" s="729" t="s">
        <v>746</v>
      </c>
      <c r="AH73" s="687">
        <v>314160</v>
      </c>
      <c r="AI73" s="687">
        <v>314160</v>
      </c>
      <c r="AJ73" s="687">
        <v>314160</v>
      </c>
      <c r="AK73" s="687">
        <v>0</v>
      </c>
      <c r="AL73" s="687">
        <f t="shared" si="82"/>
        <v>327.35472000000004</v>
      </c>
      <c r="AM73" s="687">
        <f t="shared" si="83"/>
        <v>327.35472000000004</v>
      </c>
      <c r="AN73" s="687">
        <f t="shared" si="84"/>
        <v>327.35472000000004</v>
      </c>
      <c r="AO73" s="687">
        <f t="shared" si="85"/>
        <v>0</v>
      </c>
      <c r="AR73" s="729" t="s">
        <v>564</v>
      </c>
      <c r="AS73" s="687">
        <v>263761</v>
      </c>
      <c r="AT73" s="687">
        <f t="shared" si="86"/>
        <v>274.83896200000004</v>
      </c>
      <c r="AV73" s="729" t="s">
        <v>746</v>
      </c>
      <c r="AW73" s="687">
        <v>314160</v>
      </c>
      <c r="AX73" s="687">
        <v>314160</v>
      </c>
      <c r="AY73" s="687">
        <v>314160</v>
      </c>
      <c r="AZ73" s="687">
        <v>0</v>
      </c>
      <c r="BA73" s="730">
        <f t="shared" si="87"/>
        <v>327.35472000000004</v>
      </c>
      <c r="BB73" s="730">
        <f t="shared" si="88"/>
        <v>327.35472000000004</v>
      </c>
      <c r="BC73" s="730">
        <f t="shared" si="89"/>
        <v>327.35472000000004</v>
      </c>
      <c r="BD73" s="730">
        <f t="shared" si="90"/>
        <v>0</v>
      </c>
      <c r="BG73" s="754" t="s">
        <v>389</v>
      </c>
      <c r="BH73" s="687">
        <v>58000347</v>
      </c>
      <c r="BI73" s="755">
        <f t="shared" si="91"/>
        <v>60436.361574000002</v>
      </c>
      <c r="BK73" s="754" t="s">
        <v>366</v>
      </c>
      <c r="BL73" s="687">
        <v>159045</v>
      </c>
      <c r="BM73" s="687">
        <v>159040</v>
      </c>
      <c r="BN73" s="687">
        <v>159045</v>
      </c>
      <c r="BO73" s="687">
        <v>0</v>
      </c>
      <c r="BP73" s="687">
        <f t="shared" si="92"/>
        <v>165.72488999999999</v>
      </c>
      <c r="BQ73" s="687">
        <f t="shared" si="93"/>
        <v>165.71968000000001</v>
      </c>
      <c r="BR73" s="687">
        <f t="shared" si="94"/>
        <v>165.72488999999999</v>
      </c>
      <c r="BS73" s="755">
        <f t="shared" si="95"/>
        <v>0</v>
      </c>
      <c r="BV73" s="729" t="s">
        <v>558</v>
      </c>
      <c r="BW73" s="687">
        <v>796941</v>
      </c>
      <c r="BX73" s="730">
        <f t="shared" si="96"/>
        <v>830.41252200000008</v>
      </c>
      <c r="BZ73" s="729" t="s">
        <v>366</v>
      </c>
      <c r="CA73" s="687">
        <v>159045</v>
      </c>
      <c r="CB73" s="687">
        <v>159040</v>
      </c>
      <c r="CC73" s="687">
        <v>159045</v>
      </c>
      <c r="CD73" s="687">
        <v>0</v>
      </c>
      <c r="CE73" s="687">
        <f t="shared" si="97"/>
        <v>165.72488999999999</v>
      </c>
      <c r="CF73" s="687">
        <f t="shared" si="98"/>
        <v>165.71968000000001</v>
      </c>
      <c r="CG73" s="687">
        <f t="shared" si="99"/>
        <v>165.72488999999999</v>
      </c>
      <c r="CH73" s="687">
        <f t="shared" si="100"/>
        <v>0</v>
      </c>
      <c r="CK73" s="731" t="s">
        <v>557</v>
      </c>
      <c r="CL73" s="730">
        <v>2126800</v>
      </c>
      <c r="CM73" s="730">
        <f t="shared" si="101"/>
        <v>2216.1256000000003</v>
      </c>
      <c r="CP73" s="731" t="s">
        <v>366</v>
      </c>
      <c r="CQ73" s="730">
        <v>159045</v>
      </c>
      <c r="CR73" s="730">
        <v>159040</v>
      </c>
      <c r="CS73" s="730">
        <v>159045</v>
      </c>
      <c r="CT73" s="730">
        <v>0</v>
      </c>
      <c r="CU73" s="730">
        <f t="shared" si="68"/>
        <v>165.72488999999999</v>
      </c>
      <c r="CV73" s="730">
        <f t="shared" si="69"/>
        <v>165.71968000000001</v>
      </c>
      <c r="CW73" s="730">
        <f t="shared" si="70"/>
        <v>165.72488999999999</v>
      </c>
      <c r="CX73" s="730">
        <f t="shared" si="71"/>
        <v>0</v>
      </c>
      <c r="CZ73" s="731" t="s">
        <v>378</v>
      </c>
      <c r="DA73" s="730">
        <v>4399802</v>
      </c>
      <c r="DB73" s="730">
        <f t="shared" si="102"/>
        <v>4584.5936839999995</v>
      </c>
      <c r="DE73" s="729" t="s">
        <v>366</v>
      </c>
      <c r="DF73" s="687">
        <v>159045</v>
      </c>
      <c r="DG73" s="687">
        <v>159040</v>
      </c>
      <c r="DH73" s="687">
        <v>159040</v>
      </c>
      <c r="DI73" s="687">
        <v>5</v>
      </c>
      <c r="DJ73" s="730">
        <f t="shared" si="103"/>
        <v>165.72488999999999</v>
      </c>
      <c r="DK73" s="730">
        <f t="shared" si="104"/>
        <v>165.71968000000001</v>
      </c>
      <c r="DL73" s="730">
        <f t="shared" si="105"/>
        <v>165.71968000000001</v>
      </c>
      <c r="DM73" s="730">
        <f t="shared" si="106"/>
        <v>5.2100000000000002E-3</v>
      </c>
      <c r="DP73" s="729" t="s">
        <v>381</v>
      </c>
      <c r="DQ73" s="687">
        <v>64439666</v>
      </c>
      <c r="DR73" s="730">
        <f t="shared" si="107"/>
        <v>64439.665999999997</v>
      </c>
      <c r="DT73" s="729" t="s">
        <v>366</v>
      </c>
      <c r="DU73" s="687">
        <v>159045</v>
      </c>
      <c r="DV73" s="687">
        <v>159040</v>
      </c>
      <c r="DW73" s="687">
        <v>159040</v>
      </c>
      <c r="DX73" s="687">
        <v>5</v>
      </c>
      <c r="DY73" s="730">
        <f t="shared" si="108"/>
        <v>159.04499999999999</v>
      </c>
      <c r="DZ73" s="730">
        <f t="shared" si="109"/>
        <v>159.04</v>
      </c>
      <c r="EA73" s="730">
        <f t="shared" si="110"/>
        <v>159.04</v>
      </c>
      <c r="EB73" s="730">
        <f t="shared" si="111"/>
        <v>5.0000000000000001E-3</v>
      </c>
      <c r="EE73" s="731" t="s">
        <v>381</v>
      </c>
      <c r="EF73" s="730">
        <v>1838707</v>
      </c>
      <c r="EG73" s="734">
        <f t="shared" si="112"/>
        <v>1838.7070000000001</v>
      </c>
      <c r="EI73" s="731" t="s">
        <v>365</v>
      </c>
      <c r="EJ73" s="730">
        <v>5629536</v>
      </c>
      <c r="EK73" s="730">
        <v>5627110</v>
      </c>
      <c r="EL73" s="730">
        <v>4454716</v>
      </c>
      <c r="EM73" s="734">
        <f t="shared" si="113"/>
        <v>5629.5360000000001</v>
      </c>
      <c r="EN73" s="734">
        <f t="shared" si="114"/>
        <v>5627.11</v>
      </c>
      <c r="EO73" s="734">
        <f t="shared" si="115"/>
        <v>4454.7160000000003</v>
      </c>
      <c r="ER73" s="729" t="s">
        <v>562</v>
      </c>
      <c r="ES73" s="687">
        <v>16122639</v>
      </c>
      <c r="ET73" s="730">
        <f t="shared" si="116"/>
        <v>16122.638999999999</v>
      </c>
      <c r="EW73" s="729" t="s">
        <v>365</v>
      </c>
      <c r="EX73" s="687">
        <v>0</v>
      </c>
      <c r="EY73" s="687">
        <v>12329190</v>
      </c>
      <c r="EZ73" s="687">
        <v>12329190</v>
      </c>
      <c r="FA73" s="687">
        <v>12329190</v>
      </c>
      <c r="FB73" s="687">
        <v>0</v>
      </c>
      <c r="FC73" s="730">
        <f t="shared" si="117"/>
        <v>0</v>
      </c>
      <c r="FD73" s="730">
        <f t="shared" si="118"/>
        <v>12329.19</v>
      </c>
      <c r="FE73" s="730">
        <f t="shared" si="119"/>
        <v>12329.19</v>
      </c>
      <c r="FF73" s="730">
        <f t="shared" si="120"/>
        <v>12329.19</v>
      </c>
      <c r="FG73" s="730">
        <f t="shared" si="121"/>
        <v>0</v>
      </c>
      <c r="FJ73" s="731" t="s">
        <v>371</v>
      </c>
      <c r="FK73" s="730">
        <v>1297624</v>
      </c>
      <c r="FL73" s="734">
        <f t="shared" si="122"/>
        <v>1297.624</v>
      </c>
      <c r="FN73" s="735" t="s">
        <v>365</v>
      </c>
      <c r="FO73" s="736">
        <v>13774159</v>
      </c>
      <c r="FP73" s="736">
        <v>13774159</v>
      </c>
      <c r="FQ73" s="736">
        <v>13774159</v>
      </c>
      <c r="FR73" s="736">
        <f t="shared" si="123"/>
        <v>13774.159</v>
      </c>
      <c r="FS73" s="736">
        <f t="shared" si="124"/>
        <v>13774.159</v>
      </c>
      <c r="FT73" s="736">
        <f t="shared" si="125"/>
        <v>13774.159</v>
      </c>
    </row>
    <row r="74" spans="1:176" ht="15" customHeight="1" x14ac:dyDescent="0.25">
      <c r="A74" s="728" t="s">
        <v>880</v>
      </c>
      <c r="B74" s="729" t="s">
        <v>367</v>
      </c>
      <c r="C74" s="687">
        <v>0</v>
      </c>
      <c r="D74" s="687">
        <v>15000000</v>
      </c>
      <c r="E74" s="687">
        <v>0</v>
      </c>
      <c r="F74" s="687">
        <v>15000000</v>
      </c>
      <c r="G74" s="687">
        <v>0</v>
      </c>
      <c r="H74" s="730">
        <f t="shared" si="72"/>
        <v>15630</v>
      </c>
      <c r="I74" s="730">
        <f t="shared" si="73"/>
        <v>0</v>
      </c>
      <c r="J74" s="730">
        <f t="shared" si="74"/>
        <v>15630</v>
      </c>
      <c r="K74" s="730">
        <f t="shared" si="75"/>
        <v>0</v>
      </c>
      <c r="O74" s="729" t="s">
        <v>569</v>
      </c>
      <c r="P74" s="687">
        <v>273695</v>
      </c>
      <c r="Q74" s="730">
        <f t="shared" si="76"/>
        <v>285.19019000000003</v>
      </c>
      <c r="S74" s="729" t="s">
        <v>367</v>
      </c>
      <c r="T74" s="687">
        <v>15000000</v>
      </c>
      <c r="U74" s="687">
        <v>0</v>
      </c>
      <c r="V74" s="687">
        <v>2188124</v>
      </c>
      <c r="W74" s="687">
        <v>12811876</v>
      </c>
      <c r="X74" s="730">
        <f t="shared" si="77"/>
        <v>15630</v>
      </c>
      <c r="Y74" s="730">
        <f t="shared" si="78"/>
        <v>0</v>
      </c>
      <c r="Z74" s="730">
        <f t="shared" si="79"/>
        <v>2280.025208</v>
      </c>
      <c r="AA74" s="730">
        <f t="shared" si="80"/>
        <v>13349.974792000001</v>
      </c>
      <c r="AC74" s="729" t="s">
        <v>381</v>
      </c>
      <c r="AD74" s="687">
        <v>1848367</v>
      </c>
      <c r="AE74" s="730">
        <f t="shared" si="81"/>
        <v>1925.9984140000001</v>
      </c>
      <c r="AG74" s="729" t="s">
        <v>550</v>
      </c>
      <c r="AH74" s="687">
        <v>685840</v>
      </c>
      <c r="AI74" s="687">
        <v>0</v>
      </c>
      <c r="AJ74" s="687">
        <v>0</v>
      </c>
      <c r="AK74" s="687">
        <v>685840</v>
      </c>
      <c r="AL74" s="687">
        <f t="shared" si="82"/>
        <v>714.64528000000007</v>
      </c>
      <c r="AM74" s="687">
        <f t="shared" si="83"/>
        <v>0</v>
      </c>
      <c r="AN74" s="687">
        <f t="shared" si="84"/>
        <v>0</v>
      </c>
      <c r="AO74" s="687">
        <f t="shared" si="85"/>
        <v>714.64528000000007</v>
      </c>
      <c r="AR74" s="729" t="s">
        <v>385</v>
      </c>
      <c r="AS74" s="687">
        <v>14698509</v>
      </c>
      <c r="AT74" s="687">
        <f t="shared" si="86"/>
        <v>15315.846378</v>
      </c>
      <c r="AV74" s="729" t="s">
        <v>550</v>
      </c>
      <c r="AW74" s="687">
        <v>639722</v>
      </c>
      <c r="AX74" s="687">
        <v>0</v>
      </c>
      <c r="AY74" s="687">
        <v>0</v>
      </c>
      <c r="AZ74" s="687">
        <v>639722</v>
      </c>
      <c r="BA74" s="730">
        <f t="shared" si="87"/>
        <v>666.59032400000001</v>
      </c>
      <c r="BB74" s="730">
        <f t="shared" si="88"/>
        <v>0</v>
      </c>
      <c r="BC74" s="730">
        <f t="shared" si="89"/>
        <v>0</v>
      </c>
      <c r="BD74" s="730">
        <f t="shared" si="90"/>
        <v>666.59032400000001</v>
      </c>
      <c r="BG74" s="754" t="s">
        <v>391</v>
      </c>
      <c r="BH74" s="687">
        <v>53836754</v>
      </c>
      <c r="BI74" s="755">
        <f t="shared" si="91"/>
        <v>56097.897668000005</v>
      </c>
      <c r="BK74" s="754" t="s">
        <v>746</v>
      </c>
      <c r="BL74" s="687">
        <v>314160</v>
      </c>
      <c r="BM74" s="687">
        <v>314160</v>
      </c>
      <c r="BN74" s="687">
        <v>314160</v>
      </c>
      <c r="BO74" s="687">
        <v>0</v>
      </c>
      <c r="BP74" s="687">
        <f t="shared" si="92"/>
        <v>327.35472000000004</v>
      </c>
      <c r="BQ74" s="687">
        <f t="shared" si="93"/>
        <v>327.35472000000004</v>
      </c>
      <c r="BR74" s="687">
        <f t="shared" si="94"/>
        <v>327.35472000000004</v>
      </c>
      <c r="BS74" s="755">
        <f t="shared" si="95"/>
        <v>0</v>
      </c>
      <c r="BV74" s="729" t="s">
        <v>561</v>
      </c>
      <c r="BW74" s="687">
        <v>543491</v>
      </c>
      <c r="BX74" s="730">
        <f t="shared" si="96"/>
        <v>566.31762200000003</v>
      </c>
      <c r="BZ74" s="729" t="s">
        <v>746</v>
      </c>
      <c r="CA74" s="687">
        <v>314160</v>
      </c>
      <c r="CB74" s="687">
        <v>314160</v>
      </c>
      <c r="CC74" s="687">
        <v>314160</v>
      </c>
      <c r="CD74" s="687">
        <v>0</v>
      </c>
      <c r="CE74" s="687">
        <f t="shared" si="97"/>
        <v>327.35472000000004</v>
      </c>
      <c r="CF74" s="687">
        <f t="shared" si="98"/>
        <v>327.35472000000004</v>
      </c>
      <c r="CG74" s="687">
        <f t="shared" si="99"/>
        <v>327.35472000000004</v>
      </c>
      <c r="CH74" s="687">
        <f t="shared" si="100"/>
        <v>0</v>
      </c>
      <c r="CK74" s="731" t="s">
        <v>558</v>
      </c>
      <c r="CL74" s="730">
        <v>1381662</v>
      </c>
      <c r="CM74" s="730">
        <f t="shared" si="101"/>
        <v>1439.691804</v>
      </c>
      <c r="CP74" s="731" t="s">
        <v>746</v>
      </c>
      <c r="CQ74" s="730">
        <v>314160</v>
      </c>
      <c r="CR74" s="730">
        <v>314160</v>
      </c>
      <c r="CS74" s="730">
        <v>314160</v>
      </c>
      <c r="CT74" s="730">
        <v>0</v>
      </c>
      <c r="CU74" s="730">
        <f t="shared" si="68"/>
        <v>327.35472000000004</v>
      </c>
      <c r="CV74" s="730">
        <f t="shared" si="69"/>
        <v>327.35472000000004</v>
      </c>
      <c r="CW74" s="730">
        <f t="shared" si="70"/>
        <v>327.35472000000004</v>
      </c>
      <c r="CX74" s="730">
        <f t="shared" si="71"/>
        <v>0</v>
      </c>
      <c r="CZ74" s="731" t="s">
        <v>557</v>
      </c>
      <c r="DA74" s="730">
        <v>1404200</v>
      </c>
      <c r="DB74" s="730">
        <f t="shared" si="102"/>
        <v>1463.1764000000001</v>
      </c>
      <c r="DE74" s="729" t="s">
        <v>746</v>
      </c>
      <c r="DF74" s="687">
        <v>314160</v>
      </c>
      <c r="DG74" s="687">
        <v>314160</v>
      </c>
      <c r="DH74" s="687">
        <v>314160</v>
      </c>
      <c r="DI74" s="687">
        <v>0</v>
      </c>
      <c r="DJ74" s="730">
        <f t="shared" si="103"/>
        <v>327.35472000000004</v>
      </c>
      <c r="DK74" s="730">
        <f t="shared" si="104"/>
        <v>327.35472000000004</v>
      </c>
      <c r="DL74" s="730">
        <f t="shared" si="105"/>
        <v>327.35472000000004</v>
      </c>
      <c r="DM74" s="730">
        <f t="shared" si="106"/>
        <v>0</v>
      </c>
      <c r="DP74" s="729" t="s">
        <v>382</v>
      </c>
      <c r="DQ74" s="687">
        <v>1054340</v>
      </c>
      <c r="DR74" s="730">
        <f t="shared" si="107"/>
        <v>1054.3399999999999</v>
      </c>
      <c r="DT74" s="729" t="s">
        <v>746</v>
      </c>
      <c r="DU74" s="687">
        <v>314160</v>
      </c>
      <c r="DV74" s="687">
        <v>314160</v>
      </c>
      <c r="DW74" s="687">
        <v>314160</v>
      </c>
      <c r="DX74" s="687">
        <v>0</v>
      </c>
      <c r="DY74" s="730">
        <f t="shared" si="108"/>
        <v>314.16000000000003</v>
      </c>
      <c r="DZ74" s="730">
        <f t="shared" si="109"/>
        <v>314.16000000000003</v>
      </c>
      <c r="EA74" s="730">
        <f t="shared" si="110"/>
        <v>314.16000000000003</v>
      </c>
      <c r="EB74" s="730">
        <f t="shared" si="111"/>
        <v>0</v>
      </c>
      <c r="EE74" s="731" t="s">
        <v>383</v>
      </c>
      <c r="EF74" s="730">
        <v>83266029</v>
      </c>
      <c r="EG74" s="734">
        <f t="shared" si="112"/>
        <v>83266.028999999995</v>
      </c>
      <c r="EI74" s="731" t="s">
        <v>366</v>
      </c>
      <c r="EJ74" s="730">
        <v>159045</v>
      </c>
      <c r="EK74" s="730">
        <v>159040</v>
      </c>
      <c r="EL74" s="730">
        <v>159040</v>
      </c>
      <c r="EM74" s="734">
        <f t="shared" si="113"/>
        <v>159.04499999999999</v>
      </c>
      <c r="EN74" s="734">
        <f t="shared" si="114"/>
        <v>159.04</v>
      </c>
      <c r="EO74" s="734">
        <f t="shared" si="115"/>
        <v>159.04</v>
      </c>
      <c r="ER74" s="729" t="s">
        <v>563</v>
      </c>
      <c r="ES74" s="687">
        <v>6584995</v>
      </c>
      <c r="ET74" s="730">
        <f t="shared" si="116"/>
        <v>6584.9949999999999</v>
      </c>
      <c r="EW74" s="729" t="s">
        <v>366</v>
      </c>
      <c r="EX74" s="687">
        <v>0</v>
      </c>
      <c r="EY74" s="687">
        <v>159040</v>
      </c>
      <c r="EZ74" s="687">
        <v>159040</v>
      </c>
      <c r="FA74" s="687">
        <v>159040</v>
      </c>
      <c r="FB74" s="687">
        <v>0</v>
      </c>
      <c r="FC74" s="730">
        <f t="shared" si="117"/>
        <v>0</v>
      </c>
      <c r="FD74" s="730">
        <f t="shared" si="118"/>
        <v>159.04</v>
      </c>
      <c r="FE74" s="730">
        <f t="shared" si="119"/>
        <v>159.04</v>
      </c>
      <c r="FF74" s="730">
        <f t="shared" si="120"/>
        <v>159.04</v>
      </c>
      <c r="FG74" s="730">
        <f t="shared" si="121"/>
        <v>0</v>
      </c>
      <c r="FJ74" s="731" t="s">
        <v>372</v>
      </c>
      <c r="FK74" s="730">
        <v>2056604</v>
      </c>
      <c r="FL74" s="734">
        <f t="shared" si="122"/>
        <v>2056.6039999999998</v>
      </c>
      <c r="FN74" s="735" t="s">
        <v>982</v>
      </c>
      <c r="FO74" s="736">
        <v>391075</v>
      </c>
      <c r="FP74" s="736">
        <v>0</v>
      </c>
      <c r="FQ74" s="736">
        <v>0</v>
      </c>
      <c r="FR74" s="736">
        <f t="shared" si="123"/>
        <v>391.07499999999999</v>
      </c>
      <c r="FS74" s="736">
        <f t="shared" si="124"/>
        <v>0</v>
      </c>
      <c r="FT74" s="736">
        <f t="shared" si="125"/>
        <v>0</v>
      </c>
    </row>
    <row r="75" spans="1:176" ht="15" customHeight="1" x14ac:dyDescent="0.25">
      <c r="A75" s="728" t="s">
        <v>880</v>
      </c>
      <c r="B75" s="729" t="s">
        <v>552</v>
      </c>
      <c r="C75" s="687">
        <v>0</v>
      </c>
      <c r="D75" s="687">
        <v>10075000</v>
      </c>
      <c r="E75" s="687">
        <v>78718</v>
      </c>
      <c r="F75" s="687">
        <v>9996282</v>
      </c>
      <c r="G75" s="687">
        <v>0</v>
      </c>
      <c r="H75" s="730">
        <f t="shared" si="72"/>
        <v>10498.15</v>
      </c>
      <c r="I75" s="730">
        <f t="shared" si="73"/>
        <v>82.024156000000005</v>
      </c>
      <c r="J75" s="730">
        <f t="shared" si="74"/>
        <v>10416.125844</v>
      </c>
      <c r="K75" s="730">
        <f t="shared" si="75"/>
        <v>0</v>
      </c>
      <c r="O75" s="729" t="s">
        <v>393</v>
      </c>
      <c r="P75" s="687">
        <v>273695</v>
      </c>
      <c r="Q75" s="730">
        <f t="shared" si="76"/>
        <v>285.19019000000003</v>
      </c>
      <c r="S75" s="729" t="s">
        <v>552</v>
      </c>
      <c r="T75" s="687">
        <v>10075000</v>
      </c>
      <c r="U75" s="687">
        <v>78717</v>
      </c>
      <c r="V75" s="687">
        <v>78718</v>
      </c>
      <c r="W75" s="687">
        <v>9996282</v>
      </c>
      <c r="X75" s="730">
        <f t="shared" si="77"/>
        <v>10498.15</v>
      </c>
      <c r="Y75" s="730">
        <f t="shared" si="78"/>
        <v>82.023114000000007</v>
      </c>
      <c r="Z75" s="730">
        <f t="shared" si="79"/>
        <v>82.024156000000005</v>
      </c>
      <c r="AA75" s="730">
        <f t="shared" si="80"/>
        <v>10416.125844</v>
      </c>
      <c r="AC75" s="729" t="s">
        <v>382</v>
      </c>
      <c r="AD75" s="687">
        <v>581231</v>
      </c>
      <c r="AE75" s="730">
        <f t="shared" si="81"/>
        <v>605.64270199999999</v>
      </c>
      <c r="AG75" s="729" t="s">
        <v>367</v>
      </c>
      <c r="AH75" s="687">
        <v>15000000</v>
      </c>
      <c r="AI75" s="687">
        <v>3199851</v>
      </c>
      <c r="AJ75" s="687">
        <v>5387975</v>
      </c>
      <c r="AK75" s="687">
        <v>9612025</v>
      </c>
      <c r="AL75" s="687">
        <f t="shared" si="82"/>
        <v>15630</v>
      </c>
      <c r="AM75" s="687">
        <f t="shared" si="83"/>
        <v>3334.2447420000003</v>
      </c>
      <c r="AN75" s="687">
        <f t="shared" si="84"/>
        <v>5614.2699500000008</v>
      </c>
      <c r="AO75" s="687">
        <f t="shared" si="85"/>
        <v>10015.73005</v>
      </c>
      <c r="AR75" s="729" t="s">
        <v>386</v>
      </c>
      <c r="AS75" s="687">
        <v>57863687</v>
      </c>
      <c r="AT75" s="687">
        <f t="shared" si="86"/>
        <v>60293.961854000001</v>
      </c>
      <c r="AV75" s="729" t="s">
        <v>367</v>
      </c>
      <c r="AW75" s="687">
        <v>15000000</v>
      </c>
      <c r="AX75" s="687">
        <v>3199851</v>
      </c>
      <c r="AY75" s="687">
        <v>5387975</v>
      </c>
      <c r="AZ75" s="687">
        <v>9612025</v>
      </c>
      <c r="BA75" s="730">
        <f t="shared" si="87"/>
        <v>15630</v>
      </c>
      <c r="BB75" s="730">
        <f t="shared" si="88"/>
        <v>3334.2447420000003</v>
      </c>
      <c r="BC75" s="730">
        <f t="shared" si="89"/>
        <v>5614.2699500000008</v>
      </c>
      <c r="BD75" s="730">
        <f t="shared" si="90"/>
        <v>10015.73005</v>
      </c>
      <c r="BG75" s="754" t="s">
        <v>569</v>
      </c>
      <c r="BH75" s="687">
        <v>799021</v>
      </c>
      <c r="BI75" s="755">
        <f t="shared" si="91"/>
        <v>832.579882</v>
      </c>
      <c r="BK75" s="754" t="s">
        <v>550</v>
      </c>
      <c r="BL75" s="687">
        <v>639722</v>
      </c>
      <c r="BM75" s="687">
        <v>0</v>
      </c>
      <c r="BN75" s="687">
        <v>0</v>
      </c>
      <c r="BO75" s="687">
        <v>639722</v>
      </c>
      <c r="BP75" s="687">
        <f t="shared" si="92"/>
        <v>666.59032400000001</v>
      </c>
      <c r="BQ75" s="687">
        <f t="shared" si="93"/>
        <v>0</v>
      </c>
      <c r="BR75" s="687">
        <f t="shared" si="94"/>
        <v>0</v>
      </c>
      <c r="BS75" s="755">
        <f t="shared" si="95"/>
        <v>666.59032400000001</v>
      </c>
      <c r="BV75" s="729" t="s">
        <v>380</v>
      </c>
      <c r="BW75" s="687">
        <v>116766</v>
      </c>
      <c r="BX75" s="730">
        <f t="shared" si="96"/>
        <v>121.67017200000001</v>
      </c>
      <c r="BZ75" s="729" t="s">
        <v>550</v>
      </c>
      <c r="CA75" s="687">
        <v>639722</v>
      </c>
      <c r="CB75" s="687">
        <v>0</v>
      </c>
      <c r="CC75" s="687">
        <v>0</v>
      </c>
      <c r="CD75" s="687">
        <v>639722</v>
      </c>
      <c r="CE75" s="687">
        <f t="shared" si="97"/>
        <v>666.59032400000001</v>
      </c>
      <c r="CF75" s="687">
        <f t="shared" si="98"/>
        <v>0</v>
      </c>
      <c r="CG75" s="687">
        <f t="shared" si="99"/>
        <v>0</v>
      </c>
      <c r="CH75" s="687">
        <f t="shared" si="100"/>
        <v>666.59032400000001</v>
      </c>
      <c r="CK75" s="731" t="s">
        <v>380</v>
      </c>
      <c r="CL75" s="730">
        <v>34807763</v>
      </c>
      <c r="CM75" s="730">
        <f t="shared" si="101"/>
        <v>36269.689046</v>
      </c>
      <c r="CP75" s="731" t="s">
        <v>550</v>
      </c>
      <c r="CQ75" s="730">
        <v>639722</v>
      </c>
      <c r="CR75" s="730">
        <v>0</v>
      </c>
      <c r="CS75" s="730">
        <v>0</v>
      </c>
      <c r="CT75" s="730">
        <v>639722</v>
      </c>
      <c r="CU75" s="730">
        <f t="shared" si="68"/>
        <v>666.59032400000001</v>
      </c>
      <c r="CV75" s="730">
        <f t="shared" si="69"/>
        <v>0</v>
      </c>
      <c r="CW75" s="730">
        <f t="shared" si="70"/>
        <v>0</v>
      </c>
      <c r="CX75" s="730">
        <f t="shared" si="71"/>
        <v>666.59032400000001</v>
      </c>
      <c r="CZ75" s="731" t="s">
        <v>558</v>
      </c>
      <c r="DA75" s="730">
        <v>1937536</v>
      </c>
      <c r="DB75" s="730">
        <f t="shared" si="102"/>
        <v>2018.9125120000001</v>
      </c>
      <c r="DE75" s="729" t="s">
        <v>550</v>
      </c>
      <c r="DF75" s="687">
        <v>639722</v>
      </c>
      <c r="DG75" s="687">
        <v>0</v>
      </c>
      <c r="DH75" s="687">
        <v>0</v>
      </c>
      <c r="DI75" s="687">
        <v>639722</v>
      </c>
      <c r="DJ75" s="730">
        <f t="shared" si="103"/>
        <v>666.59032400000001</v>
      </c>
      <c r="DK75" s="730">
        <f t="shared" si="104"/>
        <v>0</v>
      </c>
      <c r="DL75" s="730">
        <f t="shared" si="105"/>
        <v>0</v>
      </c>
      <c r="DM75" s="730">
        <f t="shared" si="106"/>
        <v>666.59032400000001</v>
      </c>
      <c r="DP75" s="729" t="s">
        <v>383</v>
      </c>
      <c r="DQ75" s="687">
        <v>29949193</v>
      </c>
      <c r="DR75" s="730">
        <f t="shared" si="107"/>
        <v>29949.192999999999</v>
      </c>
      <c r="DT75" s="729" t="s">
        <v>550</v>
      </c>
      <c r="DU75" s="687">
        <v>639722</v>
      </c>
      <c r="DV75" s="687">
        <v>0</v>
      </c>
      <c r="DW75" s="687">
        <v>0</v>
      </c>
      <c r="DX75" s="687">
        <v>639722</v>
      </c>
      <c r="DY75" s="730">
        <f t="shared" si="108"/>
        <v>639.72199999999998</v>
      </c>
      <c r="DZ75" s="730">
        <f t="shared" si="109"/>
        <v>0</v>
      </c>
      <c r="EA75" s="730">
        <f t="shared" si="110"/>
        <v>0</v>
      </c>
      <c r="EB75" s="730">
        <f t="shared" si="111"/>
        <v>639.72199999999998</v>
      </c>
      <c r="EE75" s="731" t="s">
        <v>384</v>
      </c>
      <c r="EF75" s="730">
        <v>7206260</v>
      </c>
      <c r="EG75" s="734">
        <f t="shared" si="112"/>
        <v>7206.26</v>
      </c>
      <c r="EI75" s="731" t="s">
        <v>746</v>
      </c>
      <c r="EJ75" s="730">
        <v>314160</v>
      </c>
      <c r="EK75" s="730">
        <v>314160</v>
      </c>
      <c r="EL75" s="730">
        <v>314160</v>
      </c>
      <c r="EM75" s="734">
        <f t="shared" si="113"/>
        <v>314.16000000000003</v>
      </c>
      <c r="EN75" s="734">
        <f t="shared" si="114"/>
        <v>314.16000000000003</v>
      </c>
      <c r="EO75" s="734">
        <f t="shared" si="115"/>
        <v>314.16000000000003</v>
      </c>
      <c r="ER75" s="729" t="s">
        <v>385</v>
      </c>
      <c r="ES75" s="687">
        <v>99876508</v>
      </c>
      <c r="ET75" s="730">
        <f t="shared" si="116"/>
        <v>99876.508000000002</v>
      </c>
      <c r="EW75" s="729" t="s">
        <v>746</v>
      </c>
      <c r="EX75" s="687">
        <v>0</v>
      </c>
      <c r="EY75" s="687">
        <v>969731</v>
      </c>
      <c r="EZ75" s="687">
        <v>314160</v>
      </c>
      <c r="FA75" s="687">
        <v>314160</v>
      </c>
      <c r="FB75" s="687">
        <v>655571</v>
      </c>
      <c r="FC75" s="730">
        <f t="shared" si="117"/>
        <v>0</v>
      </c>
      <c r="FD75" s="730">
        <f t="shared" si="118"/>
        <v>969.73099999999999</v>
      </c>
      <c r="FE75" s="730">
        <f t="shared" si="119"/>
        <v>314.16000000000003</v>
      </c>
      <c r="FF75" s="730">
        <f t="shared" si="120"/>
        <v>314.16000000000003</v>
      </c>
      <c r="FG75" s="730">
        <f t="shared" si="121"/>
        <v>655.57100000000003</v>
      </c>
      <c r="FJ75" s="731" t="s">
        <v>373</v>
      </c>
      <c r="FK75" s="730">
        <v>174200</v>
      </c>
      <c r="FL75" s="734">
        <f t="shared" si="122"/>
        <v>174.2</v>
      </c>
      <c r="FN75" s="735" t="s">
        <v>366</v>
      </c>
      <c r="FO75" s="736">
        <v>159040</v>
      </c>
      <c r="FP75" s="736">
        <v>159040</v>
      </c>
      <c r="FQ75" s="736">
        <v>159040</v>
      </c>
      <c r="FR75" s="736">
        <f t="shared" si="123"/>
        <v>159.04</v>
      </c>
      <c r="FS75" s="736">
        <f t="shared" si="124"/>
        <v>159.04</v>
      </c>
      <c r="FT75" s="736">
        <f t="shared" si="125"/>
        <v>159.04</v>
      </c>
    </row>
    <row r="76" spans="1:176" ht="15" customHeight="1" x14ac:dyDescent="0.25">
      <c r="A76" s="728" t="s">
        <v>880</v>
      </c>
      <c r="B76" s="729" t="s">
        <v>553</v>
      </c>
      <c r="C76" s="687">
        <v>0</v>
      </c>
      <c r="D76" s="687">
        <v>10000000</v>
      </c>
      <c r="E76" s="687">
        <v>0</v>
      </c>
      <c r="F76" s="687">
        <v>10000000</v>
      </c>
      <c r="G76" s="687">
        <v>0</v>
      </c>
      <c r="H76" s="730">
        <f t="shared" si="72"/>
        <v>10420</v>
      </c>
      <c r="I76" s="730">
        <f t="shared" si="73"/>
        <v>0</v>
      </c>
      <c r="J76" s="730">
        <f t="shared" si="74"/>
        <v>10420</v>
      </c>
      <c r="K76" s="730">
        <f t="shared" si="75"/>
        <v>0</v>
      </c>
      <c r="O76" s="729" t="s">
        <v>395</v>
      </c>
      <c r="P76" s="687">
        <v>4036533</v>
      </c>
      <c r="Q76" s="730">
        <f t="shared" si="76"/>
        <v>4206.0673859999997</v>
      </c>
      <c r="S76" s="729" t="s">
        <v>553</v>
      </c>
      <c r="T76" s="687">
        <v>1500000</v>
      </c>
      <c r="U76" s="687">
        <v>0</v>
      </c>
      <c r="V76" s="687">
        <v>0</v>
      </c>
      <c r="W76" s="687">
        <v>1500000</v>
      </c>
      <c r="X76" s="730">
        <f t="shared" si="77"/>
        <v>1563</v>
      </c>
      <c r="Y76" s="730">
        <f t="shared" si="78"/>
        <v>0</v>
      </c>
      <c r="Z76" s="730">
        <f t="shared" si="79"/>
        <v>0</v>
      </c>
      <c r="AA76" s="730">
        <f t="shared" si="80"/>
        <v>1563</v>
      </c>
      <c r="AC76" s="729" t="s">
        <v>383</v>
      </c>
      <c r="AD76" s="687">
        <v>38229708</v>
      </c>
      <c r="AE76" s="730">
        <f t="shared" si="81"/>
        <v>39835.355735999998</v>
      </c>
      <c r="AG76" s="729" t="s">
        <v>552</v>
      </c>
      <c r="AH76" s="687">
        <v>10075000</v>
      </c>
      <c r="AI76" s="687">
        <v>1156130</v>
      </c>
      <c r="AJ76" s="687">
        <v>1156131</v>
      </c>
      <c r="AK76" s="687">
        <v>8918869</v>
      </c>
      <c r="AL76" s="687">
        <f t="shared" si="82"/>
        <v>10498.15</v>
      </c>
      <c r="AM76" s="687">
        <f t="shared" si="83"/>
        <v>1204.6874600000001</v>
      </c>
      <c r="AN76" s="687">
        <f t="shared" si="84"/>
        <v>1204.6885020000002</v>
      </c>
      <c r="AO76" s="687">
        <f t="shared" si="85"/>
        <v>9293.4614980000006</v>
      </c>
      <c r="AR76" s="729" t="s">
        <v>387</v>
      </c>
      <c r="AS76" s="687">
        <v>33780290</v>
      </c>
      <c r="AT76" s="687">
        <f t="shared" si="86"/>
        <v>35199.062180000001</v>
      </c>
      <c r="AV76" s="729" t="s">
        <v>552</v>
      </c>
      <c r="AW76" s="687">
        <v>10075000</v>
      </c>
      <c r="AX76" s="687">
        <v>1289410</v>
      </c>
      <c r="AY76" s="687">
        <v>2650771</v>
      </c>
      <c r="AZ76" s="687">
        <v>7424229</v>
      </c>
      <c r="BA76" s="730">
        <f t="shared" si="87"/>
        <v>10498.15</v>
      </c>
      <c r="BB76" s="730">
        <f t="shared" si="88"/>
        <v>1343.5652200000002</v>
      </c>
      <c r="BC76" s="730">
        <f t="shared" si="89"/>
        <v>2762.1033820000002</v>
      </c>
      <c r="BD76" s="730">
        <f t="shared" si="90"/>
        <v>7736.0466180000003</v>
      </c>
      <c r="BG76" s="754" t="s">
        <v>393</v>
      </c>
      <c r="BH76" s="687">
        <v>598120</v>
      </c>
      <c r="BI76" s="755">
        <f t="shared" si="91"/>
        <v>623.24104</v>
      </c>
      <c r="BK76" s="754" t="s">
        <v>367</v>
      </c>
      <c r="BL76" s="687">
        <v>15000000</v>
      </c>
      <c r="BM76" s="687">
        <v>3199851</v>
      </c>
      <c r="BN76" s="687">
        <v>8606651</v>
      </c>
      <c r="BO76" s="687">
        <v>6393349</v>
      </c>
      <c r="BP76" s="687">
        <f t="shared" si="92"/>
        <v>15630</v>
      </c>
      <c r="BQ76" s="687">
        <f t="shared" si="93"/>
        <v>3334.2447420000003</v>
      </c>
      <c r="BR76" s="687">
        <f t="shared" si="94"/>
        <v>8968.1303420000004</v>
      </c>
      <c r="BS76" s="755">
        <f t="shared" si="95"/>
        <v>6661.8696580000005</v>
      </c>
      <c r="BV76" s="729" t="s">
        <v>382</v>
      </c>
      <c r="BW76" s="687">
        <v>116766</v>
      </c>
      <c r="BX76" s="730">
        <f t="shared" si="96"/>
        <v>121.67017200000001</v>
      </c>
      <c r="BZ76" s="729" t="s">
        <v>367</v>
      </c>
      <c r="CA76" s="687">
        <v>14556817</v>
      </c>
      <c r="CB76" s="687">
        <v>3199851</v>
      </c>
      <c r="CC76" s="687">
        <v>8606651</v>
      </c>
      <c r="CD76" s="687">
        <v>5950166</v>
      </c>
      <c r="CE76" s="687">
        <f t="shared" si="97"/>
        <v>15168.203314</v>
      </c>
      <c r="CF76" s="687">
        <f t="shared" si="98"/>
        <v>3334.2447420000003</v>
      </c>
      <c r="CG76" s="687">
        <f t="shared" si="99"/>
        <v>8968.1303420000004</v>
      </c>
      <c r="CH76" s="687">
        <f t="shared" si="100"/>
        <v>6200.0729720000008</v>
      </c>
      <c r="CK76" s="731" t="s">
        <v>381</v>
      </c>
      <c r="CL76" s="730">
        <v>34698283</v>
      </c>
      <c r="CM76" s="730">
        <f t="shared" si="101"/>
        <v>36155.610886000002</v>
      </c>
      <c r="CP76" s="731" t="s">
        <v>367</v>
      </c>
      <c r="CQ76" s="730">
        <v>17333576</v>
      </c>
      <c r="CR76" s="730">
        <v>6418527</v>
      </c>
      <c r="CS76" s="730">
        <v>17333576</v>
      </c>
      <c r="CT76" s="730">
        <v>0</v>
      </c>
      <c r="CU76" s="730">
        <f t="shared" si="68"/>
        <v>18061.586192000002</v>
      </c>
      <c r="CV76" s="730">
        <f t="shared" si="69"/>
        <v>6688.1051340000004</v>
      </c>
      <c r="CW76" s="730">
        <f t="shared" si="70"/>
        <v>18061.586192000002</v>
      </c>
      <c r="CX76" s="730">
        <f t="shared" si="71"/>
        <v>0</v>
      </c>
      <c r="CZ76" s="731" t="s">
        <v>560</v>
      </c>
      <c r="DA76" s="730">
        <v>514575</v>
      </c>
      <c r="DB76" s="730">
        <f t="shared" si="102"/>
        <v>536.18715000000009</v>
      </c>
      <c r="DE76" s="729" t="s">
        <v>367</v>
      </c>
      <c r="DF76" s="687">
        <v>17333576</v>
      </c>
      <c r="DG76" s="687">
        <v>15145452</v>
      </c>
      <c r="DH76" s="687">
        <v>15145452</v>
      </c>
      <c r="DI76" s="687">
        <v>2188124</v>
      </c>
      <c r="DJ76" s="730">
        <f t="shared" si="103"/>
        <v>18061.586192000002</v>
      </c>
      <c r="DK76" s="730">
        <f t="shared" si="104"/>
        <v>15781.560984</v>
      </c>
      <c r="DL76" s="730">
        <f t="shared" si="105"/>
        <v>15781.560984</v>
      </c>
      <c r="DM76" s="730">
        <f t="shared" si="106"/>
        <v>2280.025208</v>
      </c>
      <c r="DP76" s="729" t="s">
        <v>384</v>
      </c>
      <c r="DQ76" s="687">
        <v>10287043</v>
      </c>
      <c r="DR76" s="730">
        <f t="shared" si="107"/>
        <v>10287.043</v>
      </c>
      <c r="DT76" s="729" t="s">
        <v>367</v>
      </c>
      <c r="DU76" s="687">
        <v>17333576</v>
      </c>
      <c r="DV76" s="687">
        <v>15145452</v>
      </c>
      <c r="DW76" s="687">
        <v>15145452</v>
      </c>
      <c r="DX76" s="687">
        <v>2188124</v>
      </c>
      <c r="DY76" s="730">
        <f t="shared" si="108"/>
        <v>17333.576000000001</v>
      </c>
      <c r="DZ76" s="730">
        <f t="shared" si="109"/>
        <v>15145.451999999999</v>
      </c>
      <c r="EA76" s="730">
        <f t="shared" si="110"/>
        <v>15145.451999999999</v>
      </c>
      <c r="EB76" s="730">
        <f t="shared" si="111"/>
        <v>2188.1239999999998</v>
      </c>
      <c r="EE76" s="731" t="s">
        <v>468</v>
      </c>
      <c r="EF76" s="730">
        <v>833190</v>
      </c>
      <c r="EG76" s="734">
        <f t="shared" si="112"/>
        <v>833.19</v>
      </c>
      <c r="EI76" s="731" t="s">
        <v>550</v>
      </c>
      <c r="EJ76" s="730">
        <v>639722</v>
      </c>
      <c r="EK76" s="730">
        <v>0</v>
      </c>
      <c r="EL76" s="730">
        <v>0</v>
      </c>
      <c r="EM76" s="734">
        <f t="shared" si="113"/>
        <v>639.72199999999998</v>
      </c>
      <c r="EN76" s="734">
        <f t="shared" si="114"/>
        <v>0</v>
      </c>
      <c r="EO76" s="734">
        <f t="shared" si="115"/>
        <v>0</v>
      </c>
      <c r="ER76" s="729" t="s">
        <v>386</v>
      </c>
      <c r="ES76" s="687">
        <v>49829193</v>
      </c>
      <c r="ET76" s="730">
        <f t="shared" si="116"/>
        <v>49829.192999999999</v>
      </c>
      <c r="EW76" s="729" t="s">
        <v>367</v>
      </c>
      <c r="EX76" s="687">
        <v>0</v>
      </c>
      <c r="EY76" s="687">
        <v>28121006</v>
      </c>
      <c r="EZ76" s="687">
        <v>15153552</v>
      </c>
      <c r="FA76" s="687">
        <v>28121006</v>
      </c>
      <c r="FB76" s="687">
        <v>0</v>
      </c>
      <c r="FC76" s="730">
        <f t="shared" ref="FC76:FC107" si="126">+EX76/$FF$1*$FG$1</f>
        <v>0</v>
      </c>
      <c r="FD76" s="730">
        <f t="shared" ref="FD76:FD107" si="127">+EY76/$FF$1*$FG$1</f>
        <v>28121.006000000001</v>
      </c>
      <c r="FE76" s="730">
        <f t="shared" ref="FE76:FE107" si="128">+EZ76/$FF$1*$FG$1</f>
        <v>15153.552</v>
      </c>
      <c r="FF76" s="730">
        <f t="shared" ref="FF76:FF107" si="129">+FA76/$FF$1*$FG$1</f>
        <v>28121.006000000001</v>
      </c>
      <c r="FG76" s="730">
        <f t="shared" ref="FG76:FG107" si="130">+FB76/$FF$1*$FG$1</f>
        <v>0</v>
      </c>
      <c r="FJ76" s="731" t="s">
        <v>374</v>
      </c>
      <c r="FK76" s="730">
        <v>1985974</v>
      </c>
      <c r="FL76" s="734">
        <f t="shared" si="122"/>
        <v>1985.9739999999999</v>
      </c>
      <c r="FN76" s="735" t="s">
        <v>746</v>
      </c>
      <c r="FO76" s="736">
        <v>969731</v>
      </c>
      <c r="FP76" s="736">
        <v>969731</v>
      </c>
      <c r="FQ76" s="736">
        <v>969731</v>
      </c>
      <c r="FR76" s="736">
        <f t="shared" si="123"/>
        <v>969.73099999999999</v>
      </c>
      <c r="FS76" s="736">
        <f t="shared" si="124"/>
        <v>969.73099999999999</v>
      </c>
      <c r="FT76" s="736">
        <f t="shared" si="125"/>
        <v>969.73099999999999</v>
      </c>
    </row>
    <row r="77" spans="1:176" ht="15" customHeight="1" x14ac:dyDescent="0.25">
      <c r="A77" s="728" t="s">
        <v>880</v>
      </c>
      <c r="B77" s="729" t="s">
        <v>554</v>
      </c>
      <c r="C77" s="687">
        <v>0</v>
      </c>
      <c r="D77" s="687">
        <v>5000000</v>
      </c>
      <c r="E77" s="687">
        <v>0</v>
      </c>
      <c r="F77" s="687">
        <v>5000000</v>
      </c>
      <c r="G77" s="687">
        <v>0</v>
      </c>
      <c r="H77" s="730">
        <f t="shared" si="72"/>
        <v>5210</v>
      </c>
      <c r="I77" s="730">
        <f t="shared" si="73"/>
        <v>0</v>
      </c>
      <c r="J77" s="730">
        <f t="shared" si="74"/>
        <v>5210</v>
      </c>
      <c r="K77" s="730">
        <f t="shared" si="75"/>
        <v>0</v>
      </c>
      <c r="O77" s="729" t="s">
        <v>396</v>
      </c>
      <c r="P77" s="687">
        <v>4036533</v>
      </c>
      <c r="Q77" s="730">
        <f t="shared" si="76"/>
        <v>4206.0673859999997</v>
      </c>
      <c r="S77" s="729" t="s">
        <v>554</v>
      </c>
      <c r="T77" s="687">
        <v>5000000</v>
      </c>
      <c r="U77" s="687">
        <v>0</v>
      </c>
      <c r="V77" s="687">
        <v>0</v>
      </c>
      <c r="W77" s="687">
        <v>5000000</v>
      </c>
      <c r="X77" s="730">
        <f t="shared" si="77"/>
        <v>5210</v>
      </c>
      <c r="Y77" s="730">
        <f t="shared" si="78"/>
        <v>0</v>
      </c>
      <c r="Z77" s="730">
        <f t="shared" si="79"/>
        <v>0</v>
      </c>
      <c r="AA77" s="730">
        <f t="shared" si="80"/>
        <v>5210</v>
      </c>
      <c r="AC77" s="729" t="s">
        <v>384</v>
      </c>
      <c r="AD77" s="687">
        <v>6308091</v>
      </c>
      <c r="AE77" s="730">
        <f t="shared" si="81"/>
        <v>6573.0308220000006</v>
      </c>
      <c r="AG77" s="729" t="s">
        <v>553</v>
      </c>
      <c r="AH77" s="687">
        <v>1500000</v>
      </c>
      <c r="AI77" s="687">
        <v>0</v>
      </c>
      <c r="AJ77" s="687">
        <v>0</v>
      </c>
      <c r="AK77" s="687">
        <v>1500000</v>
      </c>
      <c r="AL77" s="687">
        <f t="shared" si="82"/>
        <v>1563</v>
      </c>
      <c r="AM77" s="687">
        <f t="shared" si="83"/>
        <v>0</v>
      </c>
      <c r="AN77" s="687">
        <f t="shared" si="84"/>
        <v>0</v>
      </c>
      <c r="AO77" s="687">
        <f t="shared" si="85"/>
        <v>1563</v>
      </c>
      <c r="AR77" s="729" t="s">
        <v>566</v>
      </c>
      <c r="AS77" s="687">
        <v>21694539</v>
      </c>
      <c r="AT77" s="687">
        <f t="shared" si="86"/>
        <v>22605.709638</v>
      </c>
      <c r="AV77" s="729" t="s">
        <v>553</v>
      </c>
      <c r="AW77" s="687">
        <v>1364000</v>
      </c>
      <c r="AX77" s="687">
        <v>0</v>
      </c>
      <c r="AY77" s="687">
        <v>0</v>
      </c>
      <c r="AZ77" s="687">
        <v>1364000</v>
      </c>
      <c r="BA77" s="730">
        <f t="shared" si="87"/>
        <v>1421.288</v>
      </c>
      <c r="BB77" s="730">
        <f t="shared" si="88"/>
        <v>0</v>
      </c>
      <c r="BC77" s="730">
        <f t="shared" si="89"/>
        <v>0</v>
      </c>
      <c r="BD77" s="730">
        <f t="shared" si="90"/>
        <v>1421.288</v>
      </c>
      <c r="BG77" s="754" t="s">
        <v>394</v>
      </c>
      <c r="BH77" s="687">
        <v>200901</v>
      </c>
      <c r="BI77" s="755">
        <f t="shared" si="91"/>
        <v>209.33884200000003</v>
      </c>
      <c r="BK77" s="754" t="s">
        <v>552</v>
      </c>
      <c r="BL77" s="687">
        <v>10821594</v>
      </c>
      <c r="BM77" s="687">
        <v>2650770</v>
      </c>
      <c r="BN77" s="687">
        <v>2650771</v>
      </c>
      <c r="BO77" s="687">
        <v>8170823</v>
      </c>
      <c r="BP77" s="687">
        <f t="shared" si="92"/>
        <v>11276.100947999999</v>
      </c>
      <c r="BQ77" s="687">
        <f t="shared" si="93"/>
        <v>2762.1023399999999</v>
      </c>
      <c r="BR77" s="687">
        <f t="shared" si="94"/>
        <v>2762.1033820000002</v>
      </c>
      <c r="BS77" s="755">
        <f t="shared" si="95"/>
        <v>8513.997566</v>
      </c>
      <c r="BV77" s="729" t="s">
        <v>383</v>
      </c>
      <c r="BW77" s="687">
        <v>120322385</v>
      </c>
      <c r="BX77" s="730">
        <f t="shared" si="96"/>
        <v>125375.92517</v>
      </c>
      <c r="BZ77" s="729" t="s">
        <v>552</v>
      </c>
      <c r="CA77" s="687">
        <v>12875490</v>
      </c>
      <c r="CB77" s="687">
        <v>3397364</v>
      </c>
      <c r="CC77" s="687">
        <v>4721835</v>
      </c>
      <c r="CD77" s="687">
        <v>8153655</v>
      </c>
      <c r="CE77" s="687">
        <f t="shared" si="97"/>
        <v>13416.26058</v>
      </c>
      <c r="CF77" s="687">
        <f t="shared" si="98"/>
        <v>3540.0532880000001</v>
      </c>
      <c r="CG77" s="687">
        <f t="shared" si="99"/>
        <v>4920.1520700000001</v>
      </c>
      <c r="CH77" s="687">
        <f t="shared" si="100"/>
        <v>8496.10851</v>
      </c>
      <c r="CK77" s="731" t="s">
        <v>382</v>
      </c>
      <c r="CL77" s="730">
        <v>109480</v>
      </c>
      <c r="CM77" s="730">
        <f t="shared" si="101"/>
        <v>114.07816000000001</v>
      </c>
      <c r="CP77" s="731" t="s">
        <v>552</v>
      </c>
      <c r="CQ77" s="730">
        <v>12875490</v>
      </c>
      <c r="CR77" s="730">
        <v>4721834</v>
      </c>
      <c r="CS77" s="730">
        <v>4721835</v>
      </c>
      <c r="CT77" s="730">
        <v>8153655</v>
      </c>
      <c r="CU77" s="730">
        <f t="shared" si="68"/>
        <v>13416.26058</v>
      </c>
      <c r="CV77" s="730">
        <f t="shared" si="69"/>
        <v>4920.1510280000002</v>
      </c>
      <c r="CW77" s="730">
        <f t="shared" si="70"/>
        <v>4920.1520700000001</v>
      </c>
      <c r="CX77" s="730">
        <f t="shared" si="71"/>
        <v>8496.10851</v>
      </c>
      <c r="CZ77" s="731" t="s">
        <v>561</v>
      </c>
      <c r="DA77" s="730">
        <v>543491</v>
      </c>
      <c r="DB77" s="730">
        <f t="shared" si="102"/>
        <v>566.31762200000003</v>
      </c>
      <c r="DE77" s="729" t="s">
        <v>552</v>
      </c>
      <c r="DF77" s="687">
        <v>13275490</v>
      </c>
      <c r="DG77" s="687">
        <v>5378218</v>
      </c>
      <c r="DH77" s="687">
        <v>6742462</v>
      </c>
      <c r="DI77" s="687">
        <v>6533028</v>
      </c>
      <c r="DJ77" s="730">
        <f t="shared" si="103"/>
        <v>13833.060579999999</v>
      </c>
      <c r="DK77" s="730">
        <f t="shared" si="104"/>
        <v>5604.1031560000001</v>
      </c>
      <c r="DL77" s="730">
        <f t="shared" si="105"/>
        <v>7025.6454040000008</v>
      </c>
      <c r="DM77" s="730">
        <f t="shared" si="106"/>
        <v>6807.4151760000004</v>
      </c>
      <c r="DP77" s="729" t="s">
        <v>468</v>
      </c>
      <c r="DQ77" s="687">
        <v>833190</v>
      </c>
      <c r="DR77" s="730">
        <f t="shared" si="107"/>
        <v>833.19</v>
      </c>
      <c r="DT77" s="729" t="s">
        <v>552</v>
      </c>
      <c r="DU77" s="687">
        <v>13501590</v>
      </c>
      <c r="DV77" s="687">
        <v>6968561</v>
      </c>
      <c r="DW77" s="687">
        <v>6968562</v>
      </c>
      <c r="DX77" s="687">
        <v>6533028</v>
      </c>
      <c r="DY77" s="730">
        <f t="shared" si="108"/>
        <v>13501.59</v>
      </c>
      <c r="DZ77" s="730">
        <f t="shared" si="109"/>
        <v>6968.5609999999997</v>
      </c>
      <c r="EA77" s="730">
        <f t="shared" si="110"/>
        <v>6968.5619999999999</v>
      </c>
      <c r="EB77" s="730">
        <f t="shared" si="111"/>
        <v>6533.0280000000002</v>
      </c>
      <c r="EE77" s="731" t="s">
        <v>562</v>
      </c>
      <c r="EF77" s="730">
        <v>14866347</v>
      </c>
      <c r="EG77" s="734">
        <f t="shared" si="112"/>
        <v>14866.347</v>
      </c>
      <c r="EI77" s="731" t="s">
        <v>367</v>
      </c>
      <c r="EJ77" s="730">
        <v>16208033</v>
      </c>
      <c r="EK77" s="730">
        <v>15153552</v>
      </c>
      <c r="EL77" s="730">
        <v>15153552</v>
      </c>
      <c r="EM77" s="734">
        <f t="shared" si="113"/>
        <v>16208.032999999999</v>
      </c>
      <c r="EN77" s="734">
        <f t="shared" si="114"/>
        <v>15153.552</v>
      </c>
      <c r="EO77" s="734">
        <f t="shared" si="115"/>
        <v>15153.552</v>
      </c>
      <c r="ER77" s="729" t="s">
        <v>387</v>
      </c>
      <c r="ES77" s="687">
        <v>33601291</v>
      </c>
      <c r="ET77" s="730">
        <f t="shared" si="116"/>
        <v>33601.290999999997</v>
      </c>
      <c r="EW77" s="729" t="s">
        <v>551</v>
      </c>
      <c r="EX77" s="687">
        <v>0</v>
      </c>
      <c r="EY77" s="687">
        <v>384982</v>
      </c>
      <c r="EZ77" s="687">
        <v>384982</v>
      </c>
      <c r="FA77" s="687">
        <v>384982</v>
      </c>
      <c r="FB77" s="687">
        <v>0</v>
      </c>
      <c r="FC77" s="730">
        <f t="shared" si="126"/>
        <v>0</v>
      </c>
      <c r="FD77" s="730">
        <f t="shared" si="127"/>
        <v>384.98200000000003</v>
      </c>
      <c r="FE77" s="730">
        <f t="shared" si="128"/>
        <v>384.98200000000003</v>
      </c>
      <c r="FF77" s="730">
        <f t="shared" si="129"/>
        <v>384.98200000000003</v>
      </c>
      <c r="FG77" s="730">
        <f t="shared" si="130"/>
        <v>0</v>
      </c>
      <c r="FJ77" s="731" t="s">
        <v>375</v>
      </c>
      <c r="FK77" s="730">
        <v>5465156</v>
      </c>
      <c r="FL77" s="734">
        <f t="shared" si="122"/>
        <v>5465.1559999999999</v>
      </c>
      <c r="FN77" s="735" t="s">
        <v>367</v>
      </c>
      <c r="FO77" s="736">
        <v>28121006</v>
      </c>
      <c r="FP77" s="736">
        <v>28121006</v>
      </c>
      <c r="FQ77" s="736">
        <v>28121006</v>
      </c>
      <c r="FR77" s="736">
        <f t="shared" si="123"/>
        <v>28121.006000000001</v>
      </c>
      <c r="FS77" s="736">
        <f t="shared" si="124"/>
        <v>28121.006000000001</v>
      </c>
      <c r="FT77" s="736">
        <f t="shared" si="125"/>
        <v>28121.006000000001</v>
      </c>
    </row>
    <row r="78" spans="1:176" ht="15" customHeight="1" x14ac:dyDescent="0.25">
      <c r="A78" s="728" t="s">
        <v>880</v>
      </c>
      <c r="B78" s="729" t="s">
        <v>555</v>
      </c>
      <c r="C78" s="687">
        <v>0</v>
      </c>
      <c r="D78" s="687">
        <v>70000</v>
      </c>
      <c r="E78" s="687">
        <v>70000</v>
      </c>
      <c r="F78" s="687">
        <v>0</v>
      </c>
      <c r="G78" s="687">
        <v>70000</v>
      </c>
      <c r="H78" s="730">
        <f t="shared" si="72"/>
        <v>72.94</v>
      </c>
      <c r="I78" s="730">
        <f t="shared" si="73"/>
        <v>72.94</v>
      </c>
      <c r="J78" s="730">
        <f t="shared" si="74"/>
        <v>0</v>
      </c>
      <c r="K78" s="730">
        <f t="shared" si="75"/>
        <v>72.94</v>
      </c>
      <c r="O78" s="729" t="s">
        <v>499</v>
      </c>
      <c r="P78" s="687">
        <v>4036533</v>
      </c>
      <c r="Q78" s="730">
        <f t="shared" si="76"/>
        <v>4206.0673859999997</v>
      </c>
      <c r="S78" s="729" t="s">
        <v>555</v>
      </c>
      <c r="T78" s="687">
        <v>70000</v>
      </c>
      <c r="U78" s="687">
        <v>70000</v>
      </c>
      <c r="V78" s="687">
        <v>70000</v>
      </c>
      <c r="W78" s="687">
        <v>0</v>
      </c>
      <c r="X78" s="730">
        <f t="shared" si="77"/>
        <v>72.94</v>
      </c>
      <c r="Y78" s="730">
        <f t="shared" si="78"/>
        <v>72.94</v>
      </c>
      <c r="Z78" s="730">
        <f t="shared" si="79"/>
        <v>72.94</v>
      </c>
      <c r="AA78" s="730">
        <f t="shared" si="80"/>
        <v>0</v>
      </c>
      <c r="AC78" s="729" t="s">
        <v>468</v>
      </c>
      <c r="AD78" s="687">
        <v>2310252</v>
      </c>
      <c r="AE78" s="730">
        <f t="shared" si="81"/>
        <v>2407.282584</v>
      </c>
      <c r="AG78" s="729" t="s">
        <v>554</v>
      </c>
      <c r="AH78" s="687">
        <v>5000000</v>
      </c>
      <c r="AI78" s="687">
        <v>0</v>
      </c>
      <c r="AJ78" s="687">
        <v>0</v>
      </c>
      <c r="AK78" s="687">
        <v>5000000</v>
      </c>
      <c r="AL78" s="687">
        <f t="shared" si="82"/>
        <v>5210</v>
      </c>
      <c r="AM78" s="687">
        <f t="shared" si="83"/>
        <v>0</v>
      </c>
      <c r="AN78" s="687">
        <f t="shared" si="84"/>
        <v>0</v>
      </c>
      <c r="AO78" s="687">
        <f t="shared" si="85"/>
        <v>5210</v>
      </c>
      <c r="AR78" s="729" t="s">
        <v>469</v>
      </c>
      <c r="AS78" s="687">
        <v>2388858</v>
      </c>
      <c r="AT78" s="687">
        <f t="shared" si="86"/>
        <v>2489.1900360000004</v>
      </c>
      <c r="AV78" s="729" t="s">
        <v>554</v>
      </c>
      <c r="AW78" s="687">
        <v>5333182</v>
      </c>
      <c r="AX78" s="687">
        <v>0</v>
      </c>
      <c r="AY78" s="687">
        <v>1024319</v>
      </c>
      <c r="AZ78" s="687">
        <v>4308863</v>
      </c>
      <c r="BA78" s="730">
        <f t="shared" si="87"/>
        <v>5557.1756439999999</v>
      </c>
      <c r="BB78" s="730">
        <f t="shared" si="88"/>
        <v>0</v>
      </c>
      <c r="BC78" s="730">
        <f t="shared" si="89"/>
        <v>1067.3403980000001</v>
      </c>
      <c r="BD78" s="730">
        <f t="shared" si="90"/>
        <v>4489.8352460000006</v>
      </c>
      <c r="BG78" s="754" t="s">
        <v>395</v>
      </c>
      <c r="BH78" s="687">
        <v>5347041</v>
      </c>
      <c r="BI78" s="755">
        <f t="shared" si="91"/>
        <v>5571.6167220000007</v>
      </c>
      <c r="BK78" s="754" t="s">
        <v>553</v>
      </c>
      <c r="BL78" s="687">
        <v>1364000</v>
      </c>
      <c r="BM78" s="687">
        <v>0</v>
      </c>
      <c r="BN78" s="687">
        <v>0</v>
      </c>
      <c r="BO78" s="687">
        <v>1364000</v>
      </c>
      <c r="BP78" s="687">
        <f t="shared" si="92"/>
        <v>1421.288</v>
      </c>
      <c r="BQ78" s="687">
        <f t="shared" si="93"/>
        <v>0</v>
      </c>
      <c r="BR78" s="687">
        <f t="shared" si="94"/>
        <v>0</v>
      </c>
      <c r="BS78" s="755">
        <f t="shared" si="95"/>
        <v>1421.288</v>
      </c>
      <c r="BV78" s="729" t="s">
        <v>384</v>
      </c>
      <c r="BW78" s="687">
        <v>7105934</v>
      </c>
      <c r="BX78" s="730">
        <f t="shared" si="96"/>
        <v>7404.3832280000006</v>
      </c>
      <c r="BZ78" s="729" t="s">
        <v>553</v>
      </c>
      <c r="CA78" s="687">
        <v>1364000</v>
      </c>
      <c r="CB78" s="687">
        <v>0</v>
      </c>
      <c r="CC78" s="687">
        <v>0</v>
      </c>
      <c r="CD78" s="687">
        <v>1364000</v>
      </c>
      <c r="CE78" s="687">
        <f t="shared" si="97"/>
        <v>1421.288</v>
      </c>
      <c r="CF78" s="687">
        <f t="shared" si="98"/>
        <v>0</v>
      </c>
      <c r="CG78" s="687">
        <f t="shared" si="99"/>
        <v>0</v>
      </c>
      <c r="CH78" s="687">
        <f t="shared" si="100"/>
        <v>1421.288</v>
      </c>
      <c r="CK78" s="731" t="s">
        <v>383</v>
      </c>
      <c r="CL78" s="730">
        <v>169821073</v>
      </c>
      <c r="CM78" s="730">
        <f t="shared" si="101"/>
        <v>176953.558066</v>
      </c>
      <c r="CP78" s="731" t="s">
        <v>553</v>
      </c>
      <c r="CQ78" s="730">
        <v>1364000</v>
      </c>
      <c r="CR78" s="730">
        <v>0</v>
      </c>
      <c r="CS78" s="730">
        <v>0</v>
      </c>
      <c r="CT78" s="730">
        <v>1364000</v>
      </c>
      <c r="CU78" s="730">
        <f t="shared" si="68"/>
        <v>1421.288</v>
      </c>
      <c r="CV78" s="730">
        <f t="shared" si="69"/>
        <v>0</v>
      </c>
      <c r="CW78" s="730">
        <f t="shared" si="70"/>
        <v>0</v>
      </c>
      <c r="CX78" s="730">
        <f t="shared" si="71"/>
        <v>1421.288</v>
      </c>
      <c r="CZ78" s="731" t="s">
        <v>380</v>
      </c>
      <c r="DA78" s="730">
        <v>3445562</v>
      </c>
      <c r="DB78" s="730">
        <f t="shared" si="102"/>
        <v>3590.2756039999999</v>
      </c>
      <c r="DE78" s="729" t="s">
        <v>553</v>
      </c>
      <c r="DF78" s="687">
        <v>1364000</v>
      </c>
      <c r="DG78" s="687">
        <v>692580</v>
      </c>
      <c r="DH78" s="687">
        <v>692580</v>
      </c>
      <c r="DI78" s="687">
        <v>671420</v>
      </c>
      <c r="DJ78" s="730">
        <f t="shared" si="103"/>
        <v>1421.288</v>
      </c>
      <c r="DK78" s="730">
        <f t="shared" si="104"/>
        <v>721.66836000000012</v>
      </c>
      <c r="DL78" s="730">
        <f t="shared" si="105"/>
        <v>721.66836000000012</v>
      </c>
      <c r="DM78" s="730">
        <f t="shared" si="106"/>
        <v>699.61964</v>
      </c>
      <c r="DP78" s="729" t="s">
        <v>562</v>
      </c>
      <c r="DQ78" s="687">
        <v>9065497</v>
      </c>
      <c r="DR78" s="730">
        <f t="shared" si="107"/>
        <v>9065.4969999999994</v>
      </c>
      <c r="DT78" s="729" t="s">
        <v>553</v>
      </c>
      <c r="DU78" s="687">
        <v>1364000</v>
      </c>
      <c r="DV78" s="687">
        <v>692580</v>
      </c>
      <c r="DW78" s="687">
        <v>692580</v>
      </c>
      <c r="DX78" s="687">
        <v>671420</v>
      </c>
      <c r="DY78" s="730">
        <f t="shared" si="108"/>
        <v>1364</v>
      </c>
      <c r="DZ78" s="730">
        <f t="shared" si="109"/>
        <v>692.58</v>
      </c>
      <c r="EA78" s="730">
        <f t="shared" si="110"/>
        <v>692.58</v>
      </c>
      <c r="EB78" s="730">
        <f t="shared" si="111"/>
        <v>671.42</v>
      </c>
      <c r="EE78" s="731" t="s">
        <v>563</v>
      </c>
      <c r="EF78" s="730">
        <v>7418331</v>
      </c>
      <c r="EG78" s="734">
        <f t="shared" si="112"/>
        <v>7418.3310000000001</v>
      </c>
      <c r="EI78" s="731" t="s">
        <v>551</v>
      </c>
      <c r="EJ78" s="730">
        <v>384982</v>
      </c>
      <c r="EK78" s="730">
        <v>384982</v>
      </c>
      <c r="EL78" s="730">
        <v>0</v>
      </c>
      <c r="EM78" s="734">
        <f t="shared" si="113"/>
        <v>384.98200000000003</v>
      </c>
      <c r="EN78" s="734">
        <f t="shared" si="114"/>
        <v>384.98200000000003</v>
      </c>
      <c r="EO78" s="734">
        <f t="shared" si="115"/>
        <v>0</v>
      </c>
      <c r="ER78" s="729" t="s">
        <v>565</v>
      </c>
      <c r="ES78" s="687">
        <v>1919971</v>
      </c>
      <c r="ET78" s="730">
        <f t="shared" si="116"/>
        <v>1919.971</v>
      </c>
      <c r="EW78" s="729" t="s">
        <v>552</v>
      </c>
      <c r="EX78" s="687">
        <v>0</v>
      </c>
      <c r="EY78" s="687">
        <v>21747930</v>
      </c>
      <c r="EZ78" s="687">
        <v>7875181</v>
      </c>
      <c r="FA78" s="687">
        <v>8171253</v>
      </c>
      <c r="FB78" s="687">
        <v>13576677</v>
      </c>
      <c r="FC78" s="730">
        <f t="shared" si="126"/>
        <v>0</v>
      </c>
      <c r="FD78" s="730">
        <f t="shared" si="127"/>
        <v>21747.93</v>
      </c>
      <c r="FE78" s="730">
        <f t="shared" si="128"/>
        <v>7875.1809999999996</v>
      </c>
      <c r="FF78" s="730">
        <f t="shared" si="129"/>
        <v>8171.2529999999997</v>
      </c>
      <c r="FG78" s="730">
        <f t="shared" si="130"/>
        <v>13576.677</v>
      </c>
      <c r="FJ78" s="731" t="s">
        <v>556</v>
      </c>
      <c r="FK78" s="730">
        <v>5541846</v>
      </c>
      <c r="FL78" s="734">
        <f t="shared" si="122"/>
        <v>5541.8459999999995</v>
      </c>
      <c r="FN78" s="735" t="s">
        <v>551</v>
      </c>
      <c r="FO78" s="736">
        <v>384982</v>
      </c>
      <c r="FP78" s="736">
        <v>384982</v>
      </c>
      <c r="FQ78" s="736">
        <v>384982</v>
      </c>
      <c r="FR78" s="736">
        <f t="shared" si="123"/>
        <v>384.98200000000003</v>
      </c>
      <c r="FS78" s="736">
        <f t="shared" si="124"/>
        <v>384.98200000000003</v>
      </c>
      <c r="FT78" s="736">
        <f t="shared" si="125"/>
        <v>384.98200000000003</v>
      </c>
    </row>
    <row r="79" spans="1:176" ht="15" customHeight="1" x14ac:dyDescent="0.25">
      <c r="A79" s="728" t="s">
        <v>880</v>
      </c>
      <c r="B79" s="729" t="s">
        <v>368</v>
      </c>
      <c r="C79" s="687">
        <v>0</v>
      </c>
      <c r="D79" s="687">
        <v>5789061</v>
      </c>
      <c r="E79" s="687">
        <v>2783032</v>
      </c>
      <c r="F79" s="687">
        <v>3006029</v>
      </c>
      <c r="G79" s="687">
        <v>0</v>
      </c>
      <c r="H79" s="730">
        <f t="shared" si="72"/>
        <v>6032.2015620000002</v>
      </c>
      <c r="I79" s="730">
        <f t="shared" si="73"/>
        <v>2899.9193440000004</v>
      </c>
      <c r="J79" s="730">
        <f t="shared" si="74"/>
        <v>3132.2822180000003</v>
      </c>
      <c r="K79" s="730">
        <f t="shared" si="75"/>
        <v>0</v>
      </c>
      <c r="O79" s="729" t="s">
        <v>594</v>
      </c>
      <c r="P79" s="687">
        <v>14217105</v>
      </c>
      <c r="Q79" s="730">
        <f t="shared" si="76"/>
        <v>14814.223410000001</v>
      </c>
      <c r="S79" s="729" t="s">
        <v>368</v>
      </c>
      <c r="T79" s="687">
        <v>9569173</v>
      </c>
      <c r="U79" s="687">
        <v>3416948</v>
      </c>
      <c r="V79" s="687">
        <v>8776920</v>
      </c>
      <c r="W79" s="687">
        <v>792253</v>
      </c>
      <c r="X79" s="730">
        <f t="shared" si="77"/>
        <v>9971.0782660000004</v>
      </c>
      <c r="Y79" s="730">
        <f t="shared" si="78"/>
        <v>3560.459816</v>
      </c>
      <c r="Z79" s="730">
        <f t="shared" si="79"/>
        <v>9145.5506400000013</v>
      </c>
      <c r="AA79" s="730">
        <f t="shared" si="80"/>
        <v>825.52762600000005</v>
      </c>
      <c r="AC79" s="729" t="s">
        <v>562</v>
      </c>
      <c r="AD79" s="687">
        <v>21408738</v>
      </c>
      <c r="AE79" s="730">
        <f t="shared" si="81"/>
        <v>22307.904996000001</v>
      </c>
      <c r="AG79" s="729" t="s">
        <v>555</v>
      </c>
      <c r="AH79" s="687">
        <v>70000</v>
      </c>
      <c r="AI79" s="687">
        <v>70000</v>
      </c>
      <c r="AJ79" s="687">
        <v>70000</v>
      </c>
      <c r="AK79" s="687">
        <v>0</v>
      </c>
      <c r="AL79" s="687">
        <f t="shared" si="82"/>
        <v>72.94</v>
      </c>
      <c r="AM79" s="687">
        <f t="shared" si="83"/>
        <v>72.94</v>
      </c>
      <c r="AN79" s="687">
        <f t="shared" si="84"/>
        <v>72.94</v>
      </c>
      <c r="AO79" s="687">
        <f t="shared" si="85"/>
        <v>0</v>
      </c>
      <c r="AR79" s="729" t="s">
        <v>568</v>
      </c>
      <c r="AS79" s="687">
        <v>150669570</v>
      </c>
      <c r="AT79" s="687">
        <f t="shared" si="86"/>
        <v>156997.69194000002</v>
      </c>
      <c r="AV79" s="729" t="s">
        <v>555</v>
      </c>
      <c r="AW79" s="687">
        <v>338583</v>
      </c>
      <c r="AX79" s="687">
        <v>70000</v>
      </c>
      <c r="AY79" s="687">
        <v>70000</v>
      </c>
      <c r="AZ79" s="687">
        <v>268583</v>
      </c>
      <c r="BA79" s="730">
        <f t="shared" si="87"/>
        <v>352.80348600000002</v>
      </c>
      <c r="BB79" s="730">
        <f t="shared" si="88"/>
        <v>72.94</v>
      </c>
      <c r="BC79" s="730">
        <f t="shared" si="89"/>
        <v>72.94</v>
      </c>
      <c r="BD79" s="730">
        <f t="shared" si="90"/>
        <v>279.86348600000002</v>
      </c>
      <c r="BG79" s="754" t="s">
        <v>396</v>
      </c>
      <c r="BH79" s="687">
        <v>5347041</v>
      </c>
      <c r="BI79" s="755">
        <f t="shared" si="91"/>
        <v>5571.6167220000007</v>
      </c>
      <c r="BK79" s="754" t="s">
        <v>554</v>
      </c>
      <c r="BL79" s="687">
        <v>3413182</v>
      </c>
      <c r="BM79" s="687">
        <v>1024320</v>
      </c>
      <c r="BN79" s="687">
        <v>1024320</v>
      </c>
      <c r="BO79" s="687">
        <v>2388862</v>
      </c>
      <c r="BP79" s="687">
        <f t="shared" si="92"/>
        <v>3556.535644</v>
      </c>
      <c r="BQ79" s="687">
        <f t="shared" si="93"/>
        <v>1067.3414399999999</v>
      </c>
      <c r="BR79" s="687">
        <f t="shared" si="94"/>
        <v>1067.3414399999999</v>
      </c>
      <c r="BS79" s="755">
        <f t="shared" si="95"/>
        <v>2489.1942040000004</v>
      </c>
      <c r="BV79" s="729" t="s">
        <v>468</v>
      </c>
      <c r="BW79" s="687">
        <v>833190</v>
      </c>
      <c r="BX79" s="730">
        <f t="shared" si="96"/>
        <v>868.18398000000013</v>
      </c>
      <c r="BZ79" s="729" t="s">
        <v>554</v>
      </c>
      <c r="CA79" s="687">
        <v>3413182</v>
      </c>
      <c r="CB79" s="687">
        <v>1024320</v>
      </c>
      <c r="CC79" s="687">
        <v>1024320</v>
      </c>
      <c r="CD79" s="687">
        <v>2388862</v>
      </c>
      <c r="CE79" s="687">
        <f t="shared" si="97"/>
        <v>3556.535644</v>
      </c>
      <c r="CF79" s="687">
        <f t="shared" si="98"/>
        <v>1067.3414399999999</v>
      </c>
      <c r="CG79" s="687">
        <f t="shared" si="99"/>
        <v>1067.3414399999999</v>
      </c>
      <c r="CH79" s="687">
        <f t="shared" si="100"/>
        <v>2489.1942040000004</v>
      </c>
      <c r="CK79" s="731" t="s">
        <v>384</v>
      </c>
      <c r="CL79" s="730">
        <v>8697216</v>
      </c>
      <c r="CM79" s="730">
        <f t="shared" si="101"/>
        <v>9062.4990720000005</v>
      </c>
      <c r="CP79" s="731" t="s">
        <v>554</v>
      </c>
      <c r="CQ79" s="730">
        <v>3503264</v>
      </c>
      <c r="CR79" s="730">
        <v>1024320</v>
      </c>
      <c r="CS79" s="730">
        <v>1114402</v>
      </c>
      <c r="CT79" s="730">
        <v>2388862</v>
      </c>
      <c r="CU79" s="730">
        <f t="shared" si="68"/>
        <v>3650.4010880000001</v>
      </c>
      <c r="CV79" s="730">
        <f t="shared" si="69"/>
        <v>1067.3414399999999</v>
      </c>
      <c r="CW79" s="730">
        <f t="shared" si="70"/>
        <v>1161.2068840000002</v>
      </c>
      <c r="CX79" s="730">
        <f t="shared" si="71"/>
        <v>2489.1942040000004</v>
      </c>
      <c r="CZ79" s="731" t="s">
        <v>381</v>
      </c>
      <c r="DA79" s="730">
        <v>3445562</v>
      </c>
      <c r="DB79" s="730">
        <f t="shared" si="102"/>
        <v>3590.2756039999999</v>
      </c>
      <c r="DE79" s="729" t="s">
        <v>554</v>
      </c>
      <c r="DF79" s="687">
        <v>3503264</v>
      </c>
      <c r="DG79" s="687">
        <v>1114402</v>
      </c>
      <c r="DH79" s="687">
        <v>1114402</v>
      </c>
      <c r="DI79" s="687">
        <v>2388862</v>
      </c>
      <c r="DJ79" s="730">
        <f t="shared" si="103"/>
        <v>3650.4010880000001</v>
      </c>
      <c r="DK79" s="730">
        <f t="shared" si="104"/>
        <v>1161.2068840000002</v>
      </c>
      <c r="DL79" s="730">
        <f t="shared" si="105"/>
        <v>1161.2068840000002</v>
      </c>
      <c r="DM79" s="730">
        <f t="shared" si="106"/>
        <v>2489.1942040000004</v>
      </c>
      <c r="DP79" s="729" t="s">
        <v>563</v>
      </c>
      <c r="DQ79" s="687">
        <v>7084982</v>
      </c>
      <c r="DR79" s="730">
        <f t="shared" si="107"/>
        <v>7084.982</v>
      </c>
      <c r="DT79" s="729" t="s">
        <v>554</v>
      </c>
      <c r="DU79" s="687">
        <v>3503264</v>
      </c>
      <c r="DV79" s="687">
        <v>1114402</v>
      </c>
      <c r="DW79" s="687">
        <v>1114402</v>
      </c>
      <c r="DX79" s="687">
        <v>2388862</v>
      </c>
      <c r="DY79" s="730">
        <f t="shared" si="108"/>
        <v>3503.2640000000001</v>
      </c>
      <c r="DZ79" s="730">
        <f t="shared" si="109"/>
        <v>1114.402</v>
      </c>
      <c r="EA79" s="730">
        <f t="shared" si="110"/>
        <v>1114.402</v>
      </c>
      <c r="EB79" s="730">
        <f t="shared" si="111"/>
        <v>2388.8620000000001</v>
      </c>
      <c r="EE79" s="731" t="s">
        <v>385</v>
      </c>
      <c r="EF79" s="730">
        <v>52941901</v>
      </c>
      <c r="EG79" s="734">
        <f t="shared" si="112"/>
        <v>52941.900999999998</v>
      </c>
      <c r="EI79" s="731" t="s">
        <v>552</v>
      </c>
      <c r="EJ79" s="730">
        <v>13501590</v>
      </c>
      <c r="EK79" s="730">
        <v>7401424</v>
      </c>
      <c r="EL79" s="730">
        <v>7401418</v>
      </c>
      <c r="EM79" s="734">
        <f t="shared" si="113"/>
        <v>13501.59</v>
      </c>
      <c r="EN79" s="734">
        <f t="shared" si="114"/>
        <v>7401.424</v>
      </c>
      <c r="EO79" s="734">
        <f t="shared" si="115"/>
        <v>7401.4179999999997</v>
      </c>
      <c r="ER79" s="729" t="s">
        <v>566</v>
      </c>
      <c r="ES79" s="687">
        <v>9530215</v>
      </c>
      <c r="ET79" s="730">
        <f t="shared" si="116"/>
        <v>9530.2150000000001</v>
      </c>
      <c r="EW79" s="729" t="s">
        <v>553</v>
      </c>
      <c r="EX79" s="687">
        <v>0</v>
      </c>
      <c r="EY79" s="687">
        <v>3564253</v>
      </c>
      <c r="EZ79" s="687">
        <v>2167061</v>
      </c>
      <c r="FA79" s="687">
        <v>3230503</v>
      </c>
      <c r="FB79" s="687">
        <v>333750</v>
      </c>
      <c r="FC79" s="730">
        <f t="shared" si="126"/>
        <v>0</v>
      </c>
      <c r="FD79" s="730">
        <f t="shared" si="127"/>
        <v>3564.2530000000002</v>
      </c>
      <c r="FE79" s="730">
        <f t="shared" si="128"/>
        <v>2167.0610000000001</v>
      </c>
      <c r="FF79" s="730">
        <f t="shared" si="129"/>
        <v>3230.5030000000002</v>
      </c>
      <c r="FG79" s="730">
        <f t="shared" si="130"/>
        <v>333.75</v>
      </c>
      <c r="FJ79" s="731" t="s">
        <v>378</v>
      </c>
      <c r="FK79" s="730">
        <v>4216196</v>
      </c>
      <c r="FL79" s="734">
        <f t="shared" si="122"/>
        <v>4216.1959999999999</v>
      </c>
      <c r="FN79" s="735" t="s">
        <v>552</v>
      </c>
      <c r="FO79" s="736">
        <v>21543997</v>
      </c>
      <c r="FP79" s="736">
        <v>8171253</v>
      </c>
      <c r="FQ79" s="736">
        <v>8171253</v>
      </c>
      <c r="FR79" s="736">
        <f t="shared" si="123"/>
        <v>21543.996999999999</v>
      </c>
      <c r="FS79" s="736">
        <f t="shared" si="124"/>
        <v>8171.2529999999997</v>
      </c>
      <c r="FT79" s="736">
        <f t="shared" si="125"/>
        <v>8171.2529999999997</v>
      </c>
    </row>
    <row r="80" spans="1:176" ht="15" customHeight="1" x14ac:dyDescent="0.25">
      <c r="A80" s="728" t="s">
        <v>879</v>
      </c>
      <c r="B80" s="729" t="s">
        <v>370</v>
      </c>
      <c r="C80" s="687">
        <v>0</v>
      </c>
      <c r="D80" s="687">
        <v>168085000</v>
      </c>
      <c r="E80" s="687">
        <v>102146292</v>
      </c>
      <c r="F80" s="687">
        <v>65938708</v>
      </c>
      <c r="G80" s="687">
        <v>9250912</v>
      </c>
      <c r="H80" s="730">
        <f t="shared" si="72"/>
        <v>175144.57</v>
      </c>
      <c r="I80" s="730">
        <f t="shared" si="73"/>
        <v>106436.436264</v>
      </c>
      <c r="J80" s="730">
        <f t="shared" si="74"/>
        <v>68708.133736000003</v>
      </c>
      <c r="K80" s="730">
        <f t="shared" si="75"/>
        <v>9639.450304</v>
      </c>
      <c r="O80" s="729" t="s">
        <v>595</v>
      </c>
      <c r="P80" s="687">
        <v>14217105</v>
      </c>
      <c r="Q80" s="730">
        <f t="shared" si="76"/>
        <v>14814.223410000001</v>
      </c>
      <c r="S80" s="729" t="s">
        <v>369</v>
      </c>
      <c r="T80" s="687">
        <v>892500</v>
      </c>
      <c r="U80" s="687">
        <v>0</v>
      </c>
      <c r="V80" s="687">
        <v>892500</v>
      </c>
      <c r="W80" s="687">
        <v>0</v>
      </c>
      <c r="X80" s="730">
        <f t="shared" si="77"/>
        <v>929.98500000000001</v>
      </c>
      <c r="Y80" s="730">
        <f t="shared" si="78"/>
        <v>0</v>
      </c>
      <c r="Z80" s="730">
        <f t="shared" si="79"/>
        <v>929.98500000000001</v>
      </c>
      <c r="AA80" s="730">
        <f t="shared" si="80"/>
        <v>0</v>
      </c>
      <c r="AC80" s="729" t="s">
        <v>563</v>
      </c>
      <c r="AD80" s="687">
        <v>3707940</v>
      </c>
      <c r="AE80" s="730">
        <f t="shared" si="81"/>
        <v>3863.6734800000004</v>
      </c>
      <c r="AG80" s="729" t="s">
        <v>368</v>
      </c>
      <c r="AH80" s="687">
        <v>9775173</v>
      </c>
      <c r="AI80" s="687">
        <v>6195593</v>
      </c>
      <c r="AJ80" s="687">
        <v>8978625</v>
      </c>
      <c r="AK80" s="687">
        <v>796548</v>
      </c>
      <c r="AL80" s="687">
        <f t="shared" si="82"/>
        <v>10185.730266</v>
      </c>
      <c r="AM80" s="687">
        <f t="shared" si="83"/>
        <v>6455.807906</v>
      </c>
      <c r="AN80" s="687">
        <f t="shared" si="84"/>
        <v>9355.7272499999999</v>
      </c>
      <c r="AO80" s="687">
        <f t="shared" si="85"/>
        <v>830.003016</v>
      </c>
      <c r="AR80" s="729" t="s">
        <v>391</v>
      </c>
      <c r="AS80" s="687">
        <v>145977570</v>
      </c>
      <c r="AT80" s="687">
        <f t="shared" si="86"/>
        <v>152108.62794000001</v>
      </c>
      <c r="AV80" s="729" t="s">
        <v>368</v>
      </c>
      <c r="AW80" s="687">
        <v>9071050</v>
      </c>
      <c r="AX80" s="687">
        <v>8839654</v>
      </c>
      <c r="AY80" s="687">
        <v>8978625</v>
      </c>
      <c r="AZ80" s="687">
        <v>92425</v>
      </c>
      <c r="BA80" s="730">
        <f t="shared" si="87"/>
        <v>9452.0340999999989</v>
      </c>
      <c r="BB80" s="730">
        <f t="shared" si="88"/>
        <v>9210.9194680000001</v>
      </c>
      <c r="BC80" s="730">
        <f t="shared" si="89"/>
        <v>9355.7272499999999</v>
      </c>
      <c r="BD80" s="730">
        <f t="shared" si="90"/>
        <v>96.306849999999997</v>
      </c>
      <c r="BG80" s="754" t="s">
        <v>499</v>
      </c>
      <c r="BH80" s="687">
        <v>5347041</v>
      </c>
      <c r="BI80" s="755">
        <f t="shared" si="91"/>
        <v>5571.6167220000007</v>
      </c>
      <c r="BK80" s="754" t="s">
        <v>555</v>
      </c>
      <c r="BL80" s="687">
        <v>338583</v>
      </c>
      <c r="BM80" s="687">
        <v>338583</v>
      </c>
      <c r="BN80" s="687">
        <v>338583</v>
      </c>
      <c r="BO80" s="687">
        <v>0</v>
      </c>
      <c r="BP80" s="687">
        <f t="shared" si="92"/>
        <v>352.80348600000002</v>
      </c>
      <c r="BQ80" s="687">
        <f t="shared" si="93"/>
        <v>352.80348600000002</v>
      </c>
      <c r="BR80" s="687">
        <f t="shared" si="94"/>
        <v>352.80348600000002</v>
      </c>
      <c r="BS80" s="755">
        <f t="shared" si="95"/>
        <v>0</v>
      </c>
      <c r="BV80" s="729" t="s">
        <v>562</v>
      </c>
      <c r="BW80" s="687">
        <v>17669215</v>
      </c>
      <c r="BX80" s="730">
        <f t="shared" si="96"/>
        <v>18411.322029999999</v>
      </c>
      <c r="BZ80" s="729" t="s">
        <v>555</v>
      </c>
      <c r="CA80" s="687">
        <v>338583</v>
      </c>
      <c r="CB80" s="687">
        <v>338583</v>
      </c>
      <c r="CC80" s="687">
        <v>338583</v>
      </c>
      <c r="CD80" s="687">
        <v>0</v>
      </c>
      <c r="CE80" s="687">
        <f t="shared" si="97"/>
        <v>352.80348600000002</v>
      </c>
      <c r="CF80" s="687">
        <f t="shared" si="98"/>
        <v>352.80348600000002</v>
      </c>
      <c r="CG80" s="687">
        <f t="shared" si="99"/>
        <v>352.80348600000002</v>
      </c>
      <c r="CH80" s="687">
        <f t="shared" si="100"/>
        <v>0</v>
      </c>
      <c r="CK80" s="731" t="s">
        <v>468</v>
      </c>
      <c r="CL80" s="730">
        <v>833190</v>
      </c>
      <c r="CM80" s="730">
        <f t="shared" si="101"/>
        <v>868.18398000000013</v>
      </c>
      <c r="CP80" s="731" t="s">
        <v>555</v>
      </c>
      <c r="CQ80" s="730">
        <v>622997</v>
      </c>
      <c r="CR80" s="730">
        <v>622997</v>
      </c>
      <c r="CS80" s="730">
        <v>622997</v>
      </c>
      <c r="CT80" s="730">
        <v>0</v>
      </c>
      <c r="CU80" s="730">
        <f t="shared" si="68"/>
        <v>649.16287399999999</v>
      </c>
      <c r="CV80" s="730">
        <f t="shared" si="69"/>
        <v>649.16287399999999</v>
      </c>
      <c r="CW80" s="730">
        <f t="shared" si="70"/>
        <v>649.16287399999999</v>
      </c>
      <c r="CX80" s="730">
        <f t="shared" si="71"/>
        <v>0</v>
      </c>
      <c r="CZ80" s="731" t="s">
        <v>383</v>
      </c>
      <c r="DA80" s="730">
        <v>48623049</v>
      </c>
      <c r="DB80" s="730">
        <f t="shared" si="102"/>
        <v>50665.217058000002</v>
      </c>
      <c r="DE80" s="729" t="s">
        <v>555</v>
      </c>
      <c r="DF80" s="687">
        <v>1313197</v>
      </c>
      <c r="DG80" s="687">
        <v>622997</v>
      </c>
      <c r="DH80" s="687">
        <v>1313197</v>
      </c>
      <c r="DI80" s="687">
        <v>0</v>
      </c>
      <c r="DJ80" s="730">
        <f t="shared" si="103"/>
        <v>1368.3512739999999</v>
      </c>
      <c r="DK80" s="730">
        <f t="shared" si="104"/>
        <v>649.16287399999999</v>
      </c>
      <c r="DL80" s="730">
        <f t="shared" si="105"/>
        <v>1368.3512739999999</v>
      </c>
      <c r="DM80" s="730">
        <f t="shared" si="106"/>
        <v>0</v>
      </c>
      <c r="DP80" s="729" t="s">
        <v>564</v>
      </c>
      <c r="DQ80" s="687">
        <v>131881</v>
      </c>
      <c r="DR80" s="730">
        <f t="shared" si="107"/>
        <v>131.881</v>
      </c>
      <c r="DT80" s="729" t="s">
        <v>555</v>
      </c>
      <c r="DU80" s="687">
        <v>1313197</v>
      </c>
      <c r="DV80" s="687">
        <v>622997</v>
      </c>
      <c r="DW80" s="687">
        <v>1313197</v>
      </c>
      <c r="DX80" s="687">
        <v>0</v>
      </c>
      <c r="DY80" s="730">
        <f t="shared" si="108"/>
        <v>1313.1969999999999</v>
      </c>
      <c r="DZ80" s="730">
        <f t="shared" si="109"/>
        <v>622.99699999999996</v>
      </c>
      <c r="EA80" s="730">
        <f t="shared" si="110"/>
        <v>1313.1969999999999</v>
      </c>
      <c r="EB80" s="730">
        <f t="shared" si="111"/>
        <v>0</v>
      </c>
      <c r="EE80" s="731" t="s">
        <v>386</v>
      </c>
      <c r="EF80" s="730">
        <v>54470191</v>
      </c>
      <c r="EG80" s="734">
        <f t="shared" si="112"/>
        <v>54470.190999999999</v>
      </c>
      <c r="EI80" s="731" t="s">
        <v>553</v>
      </c>
      <c r="EJ80" s="730">
        <v>2497643</v>
      </c>
      <c r="EK80" s="730">
        <v>2167061</v>
      </c>
      <c r="EL80" s="730">
        <v>692580</v>
      </c>
      <c r="EM80" s="734">
        <f t="shared" si="113"/>
        <v>2497.643</v>
      </c>
      <c r="EN80" s="734">
        <f t="shared" si="114"/>
        <v>2167.0610000000001</v>
      </c>
      <c r="EO80" s="734">
        <f t="shared" si="115"/>
        <v>692.58</v>
      </c>
      <c r="ER80" s="729" t="s">
        <v>469</v>
      </c>
      <c r="ES80" s="687">
        <v>4777716</v>
      </c>
      <c r="ET80" s="730">
        <f t="shared" si="116"/>
        <v>4777.7160000000003</v>
      </c>
      <c r="EW80" s="729" t="s">
        <v>554</v>
      </c>
      <c r="EX80" s="687">
        <v>0</v>
      </c>
      <c r="EY80" s="687">
        <v>4391011</v>
      </c>
      <c r="EZ80" s="687">
        <v>2251403</v>
      </c>
      <c r="FA80" s="687">
        <v>2251403</v>
      </c>
      <c r="FB80" s="687">
        <v>2139608</v>
      </c>
      <c r="FC80" s="730">
        <f t="shared" si="126"/>
        <v>0</v>
      </c>
      <c r="FD80" s="730">
        <f t="shared" si="127"/>
        <v>4391.0110000000004</v>
      </c>
      <c r="FE80" s="730">
        <f t="shared" si="128"/>
        <v>2251.4029999999998</v>
      </c>
      <c r="FF80" s="730">
        <f t="shared" si="129"/>
        <v>2251.4029999999998</v>
      </c>
      <c r="FG80" s="730">
        <f t="shared" si="130"/>
        <v>2139.6080000000002</v>
      </c>
      <c r="FJ80" s="731" t="s">
        <v>557</v>
      </c>
      <c r="FK80" s="730">
        <v>2337715</v>
      </c>
      <c r="FL80" s="734">
        <f t="shared" si="122"/>
        <v>2337.7150000000001</v>
      </c>
      <c r="FN80" s="735" t="s">
        <v>553</v>
      </c>
      <c r="FO80" s="736">
        <v>5287517</v>
      </c>
      <c r="FP80" s="736">
        <v>4830458</v>
      </c>
      <c r="FQ80" s="736">
        <v>5287517</v>
      </c>
      <c r="FR80" s="736">
        <f t="shared" si="123"/>
        <v>5287.5169999999998</v>
      </c>
      <c r="FS80" s="736">
        <f t="shared" si="124"/>
        <v>4830.4579999999996</v>
      </c>
      <c r="FT80" s="736">
        <f t="shared" si="125"/>
        <v>5287.5169999999998</v>
      </c>
    </row>
    <row r="81" spans="1:176" ht="15" customHeight="1" x14ac:dyDescent="0.25">
      <c r="A81" s="728" t="s">
        <v>880</v>
      </c>
      <c r="B81" s="729" t="s">
        <v>371</v>
      </c>
      <c r="C81" s="687">
        <v>0</v>
      </c>
      <c r="D81" s="687">
        <v>12410000</v>
      </c>
      <c r="E81" s="687">
        <v>10210000</v>
      </c>
      <c r="F81" s="687">
        <v>2200000</v>
      </c>
      <c r="G81" s="687">
        <v>501600</v>
      </c>
      <c r="H81" s="730">
        <f t="shared" si="72"/>
        <v>12931.220000000001</v>
      </c>
      <c r="I81" s="730">
        <f t="shared" si="73"/>
        <v>10638.82</v>
      </c>
      <c r="J81" s="730">
        <f t="shared" si="74"/>
        <v>2292.4</v>
      </c>
      <c r="K81" s="730">
        <f t="shared" si="75"/>
        <v>522.66720000000009</v>
      </c>
      <c r="O81" s="729" t="s">
        <v>844</v>
      </c>
      <c r="P81" s="687">
        <v>14217105</v>
      </c>
      <c r="Q81" s="730">
        <f t="shared" si="76"/>
        <v>14814.223410000001</v>
      </c>
      <c r="S81" s="729" t="s">
        <v>370</v>
      </c>
      <c r="T81" s="687">
        <v>168325000</v>
      </c>
      <c r="U81" s="687">
        <v>18907248</v>
      </c>
      <c r="V81" s="687">
        <v>125168952</v>
      </c>
      <c r="W81" s="687">
        <v>43156048</v>
      </c>
      <c r="X81" s="730">
        <f t="shared" si="77"/>
        <v>175394.65</v>
      </c>
      <c r="Y81" s="730">
        <f t="shared" si="78"/>
        <v>19701.352416000002</v>
      </c>
      <c r="Z81" s="730">
        <f t="shared" si="79"/>
        <v>130426.047984</v>
      </c>
      <c r="AA81" s="730">
        <f t="shared" si="80"/>
        <v>44968.602016000004</v>
      </c>
      <c r="AC81" s="729" t="s">
        <v>564</v>
      </c>
      <c r="AD81" s="687">
        <v>95879</v>
      </c>
      <c r="AE81" s="730">
        <f t="shared" si="81"/>
        <v>99.905918000000014</v>
      </c>
      <c r="AG81" s="729" t="s">
        <v>369</v>
      </c>
      <c r="AH81" s="687">
        <v>892500</v>
      </c>
      <c r="AI81" s="687">
        <v>892500</v>
      </c>
      <c r="AJ81" s="687">
        <v>892500</v>
      </c>
      <c r="AK81" s="687">
        <v>0</v>
      </c>
      <c r="AL81" s="687">
        <f t="shared" si="82"/>
        <v>929.98500000000001</v>
      </c>
      <c r="AM81" s="687">
        <f t="shared" si="83"/>
        <v>929.98500000000001</v>
      </c>
      <c r="AN81" s="687">
        <f t="shared" si="84"/>
        <v>929.98500000000001</v>
      </c>
      <c r="AO81" s="687">
        <f t="shared" si="85"/>
        <v>0</v>
      </c>
      <c r="AR81" s="729" t="s">
        <v>392</v>
      </c>
      <c r="AS81" s="687">
        <v>4692000</v>
      </c>
      <c r="AT81" s="687">
        <f t="shared" si="86"/>
        <v>4889.0640000000003</v>
      </c>
      <c r="AV81" s="729" t="s">
        <v>369</v>
      </c>
      <c r="AW81" s="687">
        <v>892500</v>
      </c>
      <c r="AX81" s="687">
        <v>892500</v>
      </c>
      <c r="AY81" s="687">
        <v>892500</v>
      </c>
      <c r="AZ81" s="687">
        <v>0</v>
      </c>
      <c r="BA81" s="730">
        <f t="shared" si="87"/>
        <v>929.98500000000001</v>
      </c>
      <c r="BB81" s="730">
        <f t="shared" si="88"/>
        <v>929.98500000000001</v>
      </c>
      <c r="BC81" s="730">
        <f t="shared" si="89"/>
        <v>929.98500000000001</v>
      </c>
      <c r="BD81" s="730">
        <f t="shared" si="90"/>
        <v>0</v>
      </c>
      <c r="BG81" s="754" t="s">
        <v>594</v>
      </c>
      <c r="BH81" s="687">
        <v>106480196</v>
      </c>
      <c r="BI81" s="755">
        <f t="shared" si="91"/>
        <v>110952.36423200001</v>
      </c>
      <c r="BK81" s="754" t="s">
        <v>368</v>
      </c>
      <c r="BL81" s="687">
        <v>12563039</v>
      </c>
      <c r="BM81" s="687">
        <v>8839654</v>
      </c>
      <c r="BN81" s="687">
        <v>12470615</v>
      </c>
      <c r="BO81" s="687">
        <v>92424</v>
      </c>
      <c r="BP81" s="687">
        <f t="shared" si="92"/>
        <v>13090.686638000001</v>
      </c>
      <c r="BQ81" s="687">
        <f t="shared" si="93"/>
        <v>9210.9194680000001</v>
      </c>
      <c r="BR81" s="687">
        <f t="shared" si="94"/>
        <v>12994.38083</v>
      </c>
      <c r="BS81" s="755">
        <f t="shared" si="95"/>
        <v>96.305808000000013</v>
      </c>
      <c r="BV81" s="729" t="s">
        <v>563</v>
      </c>
      <c r="BW81" s="687">
        <v>6677940</v>
      </c>
      <c r="BX81" s="730">
        <f t="shared" si="96"/>
        <v>6958.4134800000002</v>
      </c>
      <c r="BZ81" s="729" t="s">
        <v>368</v>
      </c>
      <c r="CA81" s="687">
        <v>12563039</v>
      </c>
      <c r="CB81" s="687">
        <v>12331644</v>
      </c>
      <c r="CC81" s="687">
        <v>12470615</v>
      </c>
      <c r="CD81" s="687">
        <v>92424</v>
      </c>
      <c r="CE81" s="687">
        <f t="shared" si="97"/>
        <v>13090.686638000001</v>
      </c>
      <c r="CF81" s="687">
        <f t="shared" si="98"/>
        <v>12849.573048</v>
      </c>
      <c r="CG81" s="687">
        <f t="shared" si="99"/>
        <v>12994.38083</v>
      </c>
      <c r="CH81" s="687">
        <f t="shared" si="100"/>
        <v>96.305808000000013</v>
      </c>
      <c r="CK81" s="731" t="s">
        <v>562</v>
      </c>
      <c r="CL81" s="730">
        <v>15565859</v>
      </c>
      <c r="CM81" s="730">
        <f t="shared" si="101"/>
        <v>16219.625078000001</v>
      </c>
      <c r="CP81" s="731" t="s">
        <v>368</v>
      </c>
      <c r="CQ81" s="730">
        <v>14063039</v>
      </c>
      <c r="CR81" s="730">
        <v>12331644</v>
      </c>
      <c r="CS81" s="730">
        <v>12470615</v>
      </c>
      <c r="CT81" s="730">
        <v>1592424</v>
      </c>
      <c r="CU81" s="730">
        <f t="shared" si="68"/>
        <v>14653.686638000001</v>
      </c>
      <c r="CV81" s="730">
        <f t="shared" si="69"/>
        <v>12849.573048</v>
      </c>
      <c r="CW81" s="730">
        <f t="shared" si="70"/>
        <v>12994.38083</v>
      </c>
      <c r="CX81" s="730">
        <f t="shared" si="71"/>
        <v>1659.3058080000001</v>
      </c>
      <c r="CZ81" s="731" t="s">
        <v>384</v>
      </c>
      <c r="DA81" s="730">
        <v>6364199</v>
      </c>
      <c r="DB81" s="730">
        <f t="shared" si="102"/>
        <v>6631.4953580000001</v>
      </c>
      <c r="DE81" s="729" t="s">
        <v>368</v>
      </c>
      <c r="DF81" s="687">
        <v>14523061</v>
      </c>
      <c r="DG81" s="687">
        <v>13431641</v>
      </c>
      <c r="DH81" s="687">
        <v>13570612</v>
      </c>
      <c r="DI81" s="687">
        <v>952449</v>
      </c>
      <c r="DJ81" s="730">
        <f t="shared" si="103"/>
        <v>15133.029562</v>
      </c>
      <c r="DK81" s="730">
        <f t="shared" si="104"/>
        <v>13995.769921999999</v>
      </c>
      <c r="DL81" s="730">
        <f t="shared" si="105"/>
        <v>14140.577703999999</v>
      </c>
      <c r="DM81" s="730">
        <f t="shared" si="106"/>
        <v>992.45185800000002</v>
      </c>
      <c r="DP81" s="729" t="s">
        <v>385</v>
      </c>
      <c r="DQ81" s="687">
        <v>2546600</v>
      </c>
      <c r="DR81" s="730">
        <f t="shared" si="107"/>
        <v>2546.6</v>
      </c>
      <c r="DT81" s="729" t="s">
        <v>368</v>
      </c>
      <c r="DU81" s="687">
        <v>15268240</v>
      </c>
      <c r="DV81" s="687">
        <v>13570612</v>
      </c>
      <c r="DW81" s="687">
        <v>14315791</v>
      </c>
      <c r="DX81" s="687">
        <v>952449</v>
      </c>
      <c r="DY81" s="730">
        <f t="shared" si="108"/>
        <v>15268.24</v>
      </c>
      <c r="DZ81" s="730">
        <f t="shared" si="109"/>
        <v>13570.611999999999</v>
      </c>
      <c r="EA81" s="730">
        <f t="shared" si="110"/>
        <v>14315.790999999999</v>
      </c>
      <c r="EB81" s="730">
        <f t="shared" si="111"/>
        <v>952.44899999999996</v>
      </c>
      <c r="EE81" s="731" t="s">
        <v>387</v>
      </c>
      <c r="EF81" s="730">
        <v>40621712</v>
      </c>
      <c r="EG81" s="734">
        <f t="shared" si="112"/>
        <v>40621.712</v>
      </c>
      <c r="EI81" s="731" t="s">
        <v>554</v>
      </c>
      <c r="EJ81" s="730">
        <v>3503264</v>
      </c>
      <c r="EK81" s="730">
        <v>2251403</v>
      </c>
      <c r="EL81" s="730">
        <v>1487839</v>
      </c>
      <c r="EM81" s="734">
        <f t="shared" si="113"/>
        <v>3503.2640000000001</v>
      </c>
      <c r="EN81" s="734">
        <f t="shared" si="114"/>
        <v>2251.4029999999998</v>
      </c>
      <c r="EO81" s="734">
        <f t="shared" si="115"/>
        <v>1487.8389999999999</v>
      </c>
      <c r="ER81" s="729" t="s">
        <v>567</v>
      </c>
      <c r="ES81" s="687">
        <v>8141</v>
      </c>
      <c r="ET81" s="730">
        <f t="shared" si="116"/>
        <v>8.141</v>
      </c>
      <c r="EW81" s="729" t="s">
        <v>555</v>
      </c>
      <c r="EX81" s="687">
        <v>0</v>
      </c>
      <c r="EY81" s="687">
        <v>2396097</v>
      </c>
      <c r="EZ81" s="687">
        <v>2396097</v>
      </c>
      <c r="FA81" s="687">
        <v>2396097</v>
      </c>
      <c r="FB81" s="687">
        <v>0</v>
      </c>
      <c r="FC81" s="730">
        <f t="shared" si="126"/>
        <v>0</v>
      </c>
      <c r="FD81" s="730">
        <f t="shared" si="127"/>
        <v>2396.0970000000002</v>
      </c>
      <c r="FE81" s="730">
        <f t="shared" si="128"/>
        <v>2396.0970000000002</v>
      </c>
      <c r="FF81" s="730">
        <f t="shared" si="129"/>
        <v>2396.0970000000002</v>
      </c>
      <c r="FG81" s="730">
        <f t="shared" si="130"/>
        <v>0</v>
      </c>
      <c r="FJ81" s="731" t="s">
        <v>558</v>
      </c>
      <c r="FK81" s="730">
        <v>906590</v>
      </c>
      <c r="FL81" s="734">
        <f t="shared" si="122"/>
        <v>906.59</v>
      </c>
      <c r="FN81" s="735" t="s">
        <v>554</v>
      </c>
      <c r="FO81" s="736">
        <v>2898727</v>
      </c>
      <c r="FP81" s="736">
        <v>2748811</v>
      </c>
      <c r="FQ81" s="736">
        <v>2898727</v>
      </c>
      <c r="FR81" s="736">
        <f t="shared" si="123"/>
        <v>2898.7269999999999</v>
      </c>
      <c r="FS81" s="736">
        <f t="shared" si="124"/>
        <v>2748.8110000000001</v>
      </c>
      <c r="FT81" s="736">
        <f t="shared" si="125"/>
        <v>2898.7269999999999</v>
      </c>
    </row>
    <row r="82" spans="1:176" ht="15" customHeight="1" x14ac:dyDescent="0.25">
      <c r="A82" s="728" t="s">
        <v>880</v>
      </c>
      <c r="B82" s="729" t="s">
        <v>372</v>
      </c>
      <c r="C82" s="687">
        <v>0</v>
      </c>
      <c r="D82" s="687">
        <v>16715000</v>
      </c>
      <c r="E82" s="687">
        <v>13317491</v>
      </c>
      <c r="F82" s="687">
        <v>3397509</v>
      </c>
      <c r="G82" s="687">
        <v>148360</v>
      </c>
      <c r="H82" s="730">
        <f t="shared" si="72"/>
        <v>17417.03</v>
      </c>
      <c r="I82" s="730">
        <f t="shared" si="73"/>
        <v>13876.825622</v>
      </c>
      <c r="J82" s="730">
        <f t="shared" si="74"/>
        <v>3540.2043780000004</v>
      </c>
      <c r="K82" s="730">
        <f t="shared" si="75"/>
        <v>154.59112000000002</v>
      </c>
      <c r="O82" s="729" t="s">
        <v>577</v>
      </c>
      <c r="P82" s="687">
        <v>30556599</v>
      </c>
      <c r="Q82" s="730">
        <f t="shared" si="76"/>
        <v>31839.976157999998</v>
      </c>
      <c r="S82" s="729" t="s">
        <v>371</v>
      </c>
      <c r="T82" s="687">
        <v>12410000</v>
      </c>
      <c r="U82" s="687">
        <v>2229333</v>
      </c>
      <c r="V82" s="687">
        <v>11209600</v>
      </c>
      <c r="W82" s="687">
        <v>1200400</v>
      </c>
      <c r="X82" s="730">
        <f t="shared" si="77"/>
        <v>12931.220000000001</v>
      </c>
      <c r="Y82" s="730">
        <f t="shared" si="78"/>
        <v>2322.964986</v>
      </c>
      <c r="Z82" s="730">
        <f t="shared" si="79"/>
        <v>11680.403200000001</v>
      </c>
      <c r="AA82" s="730">
        <f t="shared" si="80"/>
        <v>1250.8168000000001</v>
      </c>
      <c r="AC82" s="729" t="s">
        <v>385</v>
      </c>
      <c r="AD82" s="687">
        <v>4398808</v>
      </c>
      <c r="AE82" s="730">
        <f t="shared" si="81"/>
        <v>4583.5579360000002</v>
      </c>
      <c r="AG82" s="729" t="s">
        <v>370</v>
      </c>
      <c r="AH82" s="687">
        <v>174077082</v>
      </c>
      <c r="AI82" s="687">
        <v>33820452</v>
      </c>
      <c r="AJ82" s="687">
        <v>125168952</v>
      </c>
      <c r="AK82" s="687">
        <v>48908130</v>
      </c>
      <c r="AL82" s="687">
        <f t="shared" si="82"/>
        <v>181388.31944399999</v>
      </c>
      <c r="AM82" s="687">
        <f t="shared" si="83"/>
        <v>35240.910984000002</v>
      </c>
      <c r="AN82" s="687">
        <f t="shared" si="84"/>
        <v>130426.047984</v>
      </c>
      <c r="AO82" s="687">
        <f t="shared" si="85"/>
        <v>50962.271459999996</v>
      </c>
      <c r="AR82" s="729" t="s">
        <v>569</v>
      </c>
      <c r="AS82" s="687">
        <v>1172307</v>
      </c>
      <c r="AT82" s="687">
        <f t="shared" si="86"/>
        <v>1221.5438940000001</v>
      </c>
      <c r="AV82" s="729" t="s">
        <v>370</v>
      </c>
      <c r="AW82" s="687">
        <v>174077082</v>
      </c>
      <c r="AX82" s="687">
        <v>40001463</v>
      </c>
      <c r="AY82" s="687">
        <v>125168952</v>
      </c>
      <c r="AZ82" s="687">
        <v>48908130</v>
      </c>
      <c r="BA82" s="730">
        <f t="shared" si="87"/>
        <v>181388.31944399999</v>
      </c>
      <c r="BB82" s="730">
        <f t="shared" si="88"/>
        <v>41681.524446000003</v>
      </c>
      <c r="BC82" s="730">
        <f t="shared" si="89"/>
        <v>130426.047984</v>
      </c>
      <c r="BD82" s="730">
        <f t="shared" si="90"/>
        <v>50962.271459999996</v>
      </c>
      <c r="BG82" s="754" t="s">
        <v>595</v>
      </c>
      <c r="BH82" s="687">
        <v>106480196</v>
      </c>
      <c r="BI82" s="755">
        <f t="shared" si="91"/>
        <v>110952.36423200001</v>
      </c>
      <c r="BK82" s="754" t="s">
        <v>369</v>
      </c>
      <c r="BL82" s="687">
        <v>1106700</v>
      </c>
      <c r="BM82" s="687">
        <v>892500</v>
      </c>
      <c r="BN82" s="687">
        <v>892500</v>
      </c>
      <c r="BO82" s="687">
        <v>214200</v>
      </c>
      <c r="BP82" s="687">
        <f>+BL82/$BR$1*$BS$1+800</f>
        <v>1953.1814000000002</v>
      </c>
      <c r="BQ82" s="687">
        <f t="shared" si="93"/>
        <v>929.98500000000001</v>
      </c>
      <c r="BR82" s="687">
        <f t="shared" si="94"/>
        <v>929.98500000000001</v>
      </c>
      <c r="BS82" s="755">
        <f t="shared" si="95"/>
        <v>223.19639999999998</v>
      </c>
      <c r="BV82" s="729" t="s">
        <v>385</v>
      </c>
      <c r="BW82" s="687">
        <v>88036106</v>
      </c>
      <c r="BX82" s="730">
        <f t="shared" si="96"/>
        <v>91733.622451999996</v>
      </c>
      <c r="BZ82" s="729" t="s">
        <v>369</v>
      </c>
      <c r="CA82" s="687">
        <v>1106700</v>
      </c>
      <c r="CB82" s="687">
        <v>892500</v>
      </c>
      <c r="CC82" s="687">
        <v>892500</v>
      </c>
      <c r="CD82" s="687">
        <v>214200</v>
      </c>
      <c r="CE82" s="687">
        <f t="shared" si="97"/>
        <v>1153.1814000000002</v>
      </c>
      <c r="CF82" s="687">
        <f t="shared" si="98"/>
        <v>929.98500000000001</v>
      </c>
      <c r="CG82" s="687">
        <f t="shared" si="99"/>
        <v>929.98500000000001</v>
      </c>
      <c r="CH82" s="687">
        <f t="shared" si="100"/>
        <v>223.19639999999998</v>
      </c>
      <c r="CK82" s="731" t="s">
        <v>563</v>
      </c>
      <c r="CL82" s="730">
        <v>5566862</v>
      </c>
      <c r="CM82" s="730">
        <f t="shared" si="101"/>
        <v>5800.670204</v>
      </c>
      <c r="CP82" s="731" t="s">
        <v>369</v>
      </c>
      <c r="CQ82" s="730">
        <v>1106700</v>
      </c>
      <c r="CR82" s="730">
        <v>892500</v>
      </c>
      <c r="CS82" s="730">
        <v>892500</v>
      </c>
      <c r="CT82" s="730">
        <v>214200</v>
      </c>
      <c r="CU82" s="730">
        <f t="shared" si="68"/>
        <v>1153.1814000000002</v>
      </c>
      <c r="CV82" s="730">
        <f t="shared" si="69"/>
        <v>929.98500000000001</v>
      </c>
      <c r="CW82" s="730">
        <f t="shared" si="70"/>
        <v>929.98500000000001</v>
      </c>
      <c r="CX82" s="730">
        <f t="shared" si="71"/>
        <v>223.19639999999998</v>
      </c>
      <c r="CZ82" s="731" t="s">
        <v>468</v>
      </c>
      <c r="DA82" s="730">
        <v>833190</v>
      </c>
      <c r="DB82" s="730">
        <f t="shared" si="102"/>
        <v>868.18398000000013</v>
      </c>
      <c r="DE82" s="729" t="s">
        <v>369</v>
      </c>
      <c r="DF82" s="687">
        <v>1174060</v>
      </c>
      <c r="DG82" s="687">
        <v>959860</v>
      </c>
      <c r="DH82" s="687">
        <v>959860</v>
      </c>
      <c r="DI82" s="687">
        <v>214200</v>
      </c>
      <c r="DJ82" s="730">
        <f t="shared" si="103"/>
        <v>1223.3705199999999</v>
      </c>
      <c r="DK82" s="730">
        <f t="shared" si="104"/>
        <v>1000.17412</v>
      </c>
      <c r="DL82" s="730">
        <f t="shared" si="105"/>
        <v>1000.17412</v>
      </c>
      <c r="DM82" s="730">
        <f t="shared" si="106"/>
        <v>223.19639999999998</v>
      </c>
      <c r="DP82" s="729" t="s">
        <v>386</v>
      </c>
      <c r="DQ82" s="687">
        <v>267682679</v>
      </c>
      <c r="DR82" s="730">
        <f t="shared" si="107"/>
        <v>267682.679</v>
      </c>
      <c r="DT82" s="729" t="s">
        <v>369</v>
      </c>
      <c r="DU82" s="687">
        <v>1340660</v>
      </c>
      <c r="DV82" s="687">
        <v>959860</v>
      </c>
      <c r="DW82" s="687">
        <v>1126460</v>
      </c>
      <c r="DX82" s="687">
        <v>214200</v>
      </c>
      <c r="DY82" s="730">
        <f t="shared" si="108"/>
        <v>1340.66</v>
      </c>
      <c r="DZ82" s="730">
        <f t="shared" si="109"/>
        <v>959.86</v>
      </c>
      <c r="EA82" s="730">
        <f t="shared" si="110"/>
        <v>1126.46</v>
      </c>
      <c r="EB82" s="730">
        <f t="shared" si="111"/>
        <v>214.2</v>
      </c>
      <c r="EE82" s="731" t="s">
        <v>565</v>
      </c>
      <c r="EF82" s="730">
        <v>2061618</v>
      </c>
      <c r="EG82" s="734">
        <f t="shared" si="112"/>
        <v>2061.6179999999999</v>
      </c>
      <c r="EI82" s="731" t="s">
        <v>555</v>
      </c>
      <c r="EJ82" s="730">
        <v>1321297</v>
      </c>
      <c r="EK82" s="730">
        <v>1313197</v>
      </c>
      <c r="EL82" s="730">
        <v>1313197</v>
      </c>
      <c r="EM82" s="734">
        <f t="shared" si="113"/>
        <v>1321.297</v>
      </c>
      <c r="EN82" s="734">
        <f t="shared" si="114"/>
        <v>1313.1969999999999</v>
      </c>
      <c r="EO82" s="734">
        <f t="shared" si="115"/>
        <v>1313.1969999999999</v>
      </c>
      <c r="ER82" s="729" t="s">
        <v>478</v>
      </c>
      <c r="ES82" s="687">
        <v>8141</v>
      </c>
      <c r="ET82" s="730">
        <f t="shared" si="116"/>
        <v>8.141</v>
      </c>
      <c r="EW82" s="729" t="s">
        <v>368</v>
      </c>
      <c r="EX82" s="687">
        <v>0</v>
      </c>
      <c r="EY82" s="687">
        <v>17101747</v>
      </c>
      <c r="EZ82" s="687">
        <v>16888354</v>
      </c>
      <c r="FA82" s="687">
        <v>17101747</v>
      </c>
      <c r="FB82" s="687">
        <v>0</v>
      </c>
      <c r="FC82" s="730">
        <f t="shared" si="126"/>
        <v>0</v>
      </c>
      <c r="FD82" s="730">
        <f t="shared" si="127"/>
        <v>17101.746999999999</v>
      </c>
      <c r="FE82" s="730">
        <f t="shared" si="128"/>
        <v>16888.353999999999</v>
      </c>
      <c r="FF82" s="730">
        <f t="shared" si="129"/>
        <v>17101.746999999999</v>
      </c>
      <c r="FG82" s="730">
        <f t="shared" si="130"/>
        <v>0</v>
      </c>
      <c r="FJ82" s="731" t="s">
        <v>560</v>
      </c>
      <c r="FK82" s="730">
        <v>428400</v>
      </c>
      <c r="FL82" s="734">
        <f t="shared" si="122"/>
        <v>428.4</v>
      </c>
      <c r="FN82" s="735" t="s">
        <v>555</v>
      </c>
      <c r="FO82" s="736">
        <v>2466097</v>
      </c>
      <c r="FP82" s="736">
        <v>2466097</v>
      </c>
      <c r="FQ82" s="736">
        <v>2466097</v>
      </c>
      <c r="FR82" s="736">
        <f t="shared" si="123"/>
        <v>2466.0970000000002</v>
      </c>
      <c r="FS82" s="736">
        <f t="shared" si="124"/>
        <v>2466.0970000000002</v>
      </c>
      <c r="FT82" s="736">
        <f t="shared" si="125"/>
        <v>2466.0970000000002</v>
      </c>
    </row>
    <row r="83" spans="1:176" ht="15" customHeight="1" x14ac:dyDescent="0.25">
      <c r="A83" s="728" t="s">
        <v>880</v>
      </c>
      <c r="B83" s="729" t="s">
        <v>373</v>
      </c>
      <c r="C83" s="687">
        <v>0</v>
      </c>
      <c r="D83" s="687">
        <v>2300000</v>
      </c>
      <c r="E83" s="687">
        <v>1600000</v>
      </c>
      <c r="F83" s="687">
        <v>700000</v>
      </c>
      <c r="G83" s="687">
        <v>0</v>
      </c>
      <c r="H83" s="730">
        <f t="shared" si="72"/>
        <v>2396.6</v>
      </c>
      <c r="I83" s="730">
        <f t="shared" si="73"/>
        <v>1667.2</v>
      </c>
      <c r="J83" s="730">
        <f t="shared" si="74"/>
        <v>729.4</v>
      </c>
      <c r="K83" s="730">
        <f t="shared" si="75"/>
        <v>0</v>
      </c>
      <c r="O83" s="729" t="s">
        <v>768</v>
      </c>
      <c r="P83" s="687">
        <v>22456599</v>
      </c>
      <c r="Q83" s="730">
        <f t="shared" si="76"/>
        <v>23399.776158000001</v>
      </c>
      <c r="S83" s="729" t="s">
        <v>372</v>
      </c>
      <c r="T83" s="687">
        <v>16715000</v>
      </c>
      <c r="U83" s="687">
        <v>1303424</v>
      </c>
      <c r="V83" s="687">
        <v>13317491</v>
      </c>
      <c r="W83" s="687">
        <v>3397509</v>
      </c>
      <c r="X83" s="730">
        <f t="shared" si="77"/>
        <v>17417.03</v>
      </c>
      <c r="Y83" s="730">
        <f t="shared" si="78"/>
        <v>1358.1678079999999</v>
      </c>
      <c r="Z83" s="730">
        <f t="shared" si="79"/>
        <v>13876.825622</v>
      </c>
      <c r="AA83" s="730">
        <f t="shared" si="80"/>
        <v>3540.2043780000004</v>
      </c>
      <c r="AC83" s="729" t="s">
        <v>386</v>
      </c>
      <c r="AD83" s="687">
        <v>58020648</v>
      </c>
      <c r="AE83" s="730">
        <f t="shared" si="81"/>
        <v>60457.515216</v>
      </c>
      <c r="AG83" s="729" t="s">
        <v>371</v>
      </c>
      <c r="AH83" s="687">
        <v>12410000</v>
      </c>
      <c r="AI83" s="687">
        <v>2900039</v>
      </c>
      <c r="AJ83" s="687">
        <v>11209600</v>
      </c>
      <c r="AK83" s="687">
        <v>1200400</v>
      </c>
      <c r="AL83" s="687">
        <f t="shared" si="82"/>
        <v>12931.220000000001</v>
      </c>
      <c r="AM83" s="687">
        <f t="shared" si="83"/>
        <v>3021.8406380000001</v>
      </c>
      <c r="AN83" s="687">
        <f t="shared" si="84"/>
        <v>11680.403200000001</v>
      </c>
      <c r="AO83" s="687">
        <f t="shared" si="85"/>
        <v>1250.8168000000001</v>
      </c>
      <c r="AR83" s="729" t="s">
        <v>393</v>
      </c>
      <c r="AS83" s="687">
        <v>1172307</v>
      </c>
      <c r="AT83" s="687">
        <f t="shared" si="86"/>
        <v>1221.5438940000001</v>
      </c>
      <c r="AV83" s="729" t="s">
        <v>371</v>
      </c>
      <c r="AW83" s="687">
        <v>12410000</v>
      </c>
      <c r="AX83" s="687">
        <v>3744456</v>
      </c>
      <c r="AY83" s="687">
        <v>11209600</v>
      </c>
      <c r="AZ83" s="687">
        <v>1200400</v>
      </c>
      <c r="BA83" s="730">
        <f t="shared" si="87"/>
        <v>12931.220000000001</v>
      </c>
      <c r="BB83" s="730">
        <f t="shared" si="88"/>
        <v>3901.7231520000005</v>
      </c>
      <c r="BC83" s="730">
        <f t="shared" si="89"/>
        <v>11680.403200000001</v>
      </c>
      <c r="BD83" s="730">
        <f t="shared" si="90"/>
        <v>1250.8168000000001</v>
      </c>
      <c r="BG83" s="756" t="s">
        <v>844</v>
      </c>
      <c r="BH83" s="757">
        <v>106480196</v>
      </c>
      <c r="BI83" s="758">
        <f t="shared" si="91"/>
        <v>110952.36423200001</v>
      </c>
      <c r="BK83" s="754" t="s">
        <v>370</v>
      </c>
      <c r="BL83" s="687">
        <v>170673836</v>
      </c>
      <c r="BM83" s="687">
        <v>46675776</v>
      </c>
      <c r="BN83" s="687">
        <v>125612901</v>
      </c>
      <c r="BO83" s="687">
        <v>45060935</v>
      </c>
      <c r="BP83" s="687">
        <f t="shared" si="92"/>
        <v>177842.13711200003</v>
      </c>
      <c r="BQ83" s="687">
        <f t="shared" si="93"/>
        <v>48636.158592</v>
      </c>
      <c r="BR83" s="687">
        <f t="shared" si="94"/>
        <v>130888.642842</v>
      </c>
      <c r="BS83" s="755">
        <f t="shared" si="95"/>
        <v>46953.494270000003</v>
      </c>
      <c r="BV83" s="729" t="s">
        <v>386</v>
      </c>
      <c r="BW83" s="687">
        <v>30815344</v>
      </c>
      <c r="BX83" s="730">
        <f t="shared" si="96"/>
        <v>32109.588448000002</v>
      </c>
      <c r="BZ83" s="729" t="s">
        <v>370</v>
      </c>
      <c r="CA83" s="687">
        <v>171823836</v>
      </c>
      <c r="CB83" s="687">
        <v>53956697</v>
      </c>
      <c r="CC83" s="687">
        <v>160580331</v>
      </c>
      <c r="CD83" s="687">
        <v>11243505</v>
      </c>
      <c r="CE83" s="687">
        <f t="shared" si="97"/>
        <v>179040.43711200001</v>
      </c>
      <c r="CF83" s="687">
        <f t="shared" si="98"/>
        <v>56222.878274000002</v>
      </c>
      <c r="CG83" s="687">
        <f t="shared" si="99"/>
        <v>167324.704902</v>
      </c>
      <c r="CH83" s="687">
        <f t="shared" si="100"/>
        <v>11715.73221</v>
      </c>
      <c r="CK83" s="731" t="s">
        <v>385</v>
      </c>
      <c r="CL83" s="730">
        <v>139157946</v>
      </c>
      <c r="CM83" s="730">
        <f t="shared" si="101"/>
        <v>145002.57973200001</v>
      </c>
      <c r="CP83" s="731" t="s">
        <v>370</v>
      </c>
      <c r="CQ83" s="730">
        <v>172882936</v>
      </c>
      <c r="CR83" s="730">
        <v>59297857</v>
      </c>
      <c r="CS83" s="730">
        <v>162604613</v>
      </c>
      <c r="CT83" s="730">
        <v>10278323</v>
      </c>
      <c r="CU83" s="730">
        <f t="shared" si="68"/>
        <v>180144.01931199999</v>
      </c>
      <c r="CV83" s="730">
        <f t="shared" si="69"/>
        <v>61788.366994000004</v>
      </c>
      <c r="CW83" s="730">
        <f t="shared" si="70"/>
        <v>169434.00674600003</v>
      </c>
      <c r="CX83" s="730">
        <f t="shared" si="71"/>
        <v>10710.012566000001</v>
      </c>
      <c r="CZ83" s="731" t="s">
        <v>562</v>
      </c>
      <c r="DA83" s="730">
        <v>10192367</v>
      </c>
      <c r="DB83" s="730">
        <f t="shared" si="102"/>
        <v>10620.446414</v>
      </c>
      <c r="DE83" s="729" t="s">
        <v>370</v>
      </c>
      <c r="DF83" s="687">
        <v>180154084</v>
      </c>
      <c r="DG83" s="687">
        <v>64934213</v>
      </c>
      <c r="DH83" s="687">
        <v>167004613</v>
      </c>
      <c r="DI83" s="687">
        <v>13149471</v>
      </c>
      <c r="DJ83" s="730">
        <f t="shared" si="103"/>
        <v>187720.555528</v>
      </c>
      <c r="DK83" s="730">
        <f t="shared" si="104"/>
        <v>67661.449946000008</v>
      </c>
      <c r="DL83" s="730">
        <f t="shared" si="105"/>
        <v>174018.80674600002</v>
      </c>
      <c r="DM83" s="730">
        <f t="shared" si="106"/>
        <v>13701.748782000001</v>
      </c>
      <c r="DP83" s="729" t="s">
        <v>387</v>
      </c>
      <c r="DQ83" s="687">
        <v>251659426</v>
      </c>
      <c r="DR83" s="730">
        <f t="shared" si="107"/>
        <v>251659.42600000001</v>
      </c>
      <c r="DT83" s="729" t="s">
        <v>370</v>
      </c>
      <c r="DU83" s="687">
        <v>181235015</v>
      </c>
      <c r="DV83" s="687">
        <v>85079877</v>
      </c>
      <c r="DW83" s="687">
        <v>165624249</v>
      </c>
      <c r="DX83" s="687">
        <v>15610766</v>
      </c>
      <c r="DY83" s="730">
        <f t="shared" si="108"/>
        <v>181235.01500000001</v>
      </c>
      <c r="DZ83" s="730">
        <f t="shared" si="109"/>
        <v>85079.876999999993</v>
      </c>
      <c r="EA83" s="730">
        <f t="shared" si="110"/>
        <v>165624.24900000001</v>
      </c>
      <c r="EB83" s="730">
        <f t="shared" si="111"/>
        <v>15610.766</v>
      </c>
      <c r="EE83" s="731" t="s">
        <v>566</v>
      </c>
      <c r="EF83" s="730">
        <v>9398003</v>
      </c>
      <c r="EG83" s="734">
        <f t="shared" si="112"/>
        <v>9398.0030000000006</v>
      </c>
      <c r="EI83" s="731" t="s">
        <v>368</v>
      </c>
      <c r="EJ83" s="730">
        <v>16972600</v>
      </c>
      <c r="EK83" s="730">
        <v>15403290</v>
      </c>
      <c r="EL83" s="730">
        <v>14315791</v>
      </c>
      <c r="EM83" s="734">
        <f t="shared" si="113"/>
        <v>16972.599999999999</v>
      </c>
      <c r="EN83" s="734">
        <f t="shared" si="114"/>
        <v>15403.29</v>
      </c>
      <c r="EO83" s="734">
        <f t="shared" si="115"/>
        <v>14315.790999999999</v>
      </c>
      <c r="ER83" s="729" t="s">
        <v>568</v>
      </c>
      <c r="ES83" s="687">
        <v>279321299</v>
      </c>
      <c r="ET83" s="730">
        <f t="shared" si="116"/>
        <v>279321.299</v>
      </c>
      <c r="EW83" s="729" t="s">
        <v>369</v>
      </c>
      <c r="EX83" s="687">
        <v>0</v>
      </c>
      <c r="EY83" s="687">
        <v>3882340</v>
      </c>
      <c r="EZ83" s="687">
        <v>1126460</v>
      </c>
      <c r="FA83" s="687">
        <v>3763340</v>
      </c>
      <c r="FB83" s="687">
        <v>119000</v>
      </c>
      <c r="FC83" s="730">
        <f t="shared" si="126"/>
        <v>0</v>
      </c>
      <c r="FD83" s="730">
        <f t="shared" si="127"/>
        <v>3882.34</v>
      </c>
      <c r="FE83" s="730">
        <f t="shared" si="128"/>
        <v>1126.46</v>
      </c>
      <c r="FF83" s="730">
        <f t="shared" si="129"/>
        <v>3763.34</v>
      </c>
      <c r="FG83" s="730">
        <f t="shared" si="130"/>
        <v>119</v>
      </c>
      <c r="FJ83" s="731" t="s">
        <v>561</v>
      </c>
      <c r="FK83" s="730">
        <v>543491</v>
      </c>
      <c r="FL83" s="734">
        <f t="shared" si="122"/>
        <v>543.49099999999999</v>
      </c>
      <c r="FN83" s="735" t="s">
        <v>368</v>
      </c>
      <c r="FO83" s="736">
        <v>17101747</v>
      </c>
      <c r="FP83" s="736">
        <v>17101747</v>
      </c>
      <c r="FQ83" s="736">
        <v>17101747</v>
      </c>
      <c r="FR83" s="736">
        <f t="shared" si="123"/>
        <v>17101.746999999999</v>
      </c>
      <c r="FS83" s="736">
        <f t="shared" si="124"/>
        <v>17101.746999999999</v>
      </c>
      <c r="FT83" s="736">
        <f t="shared" si="125"/>
        <v>17101.746999999999</v>
      </c>
    </row>
    <row r="84" spans="1:176" ht="15" customHeight="1" x14ac:dyDescent="0.25">
      <c r="A84" s="728" t="s">
        <v>880</v>
      </c>
      <c r="B84" s="729" t="s">
        <v>374</v>
      </c>
      <c r="C84" s="687">
        <v>0</v>
      </c>
      <c r="D84" s="687">
        <v>18000000</v>
      </c>
      <c r="E84" s="687">
        <v>0</v>
      </c>
      <c r="F84" s="687">
        <v>18000000</v>
      </c>
      <c r="G84" s="687">
        <v>0</v>
      </c>
      <c r="H84" s="730">
        <f t="shared" si="72"/>
        <v>18756</v>
      </c>
      <c r="I84" s="730">
        <f t="shared" si="73"/>
        <v>0</v>
      </c>
      <c r="J84" s="730">
        <f t="shared" si="74"/>
        <v>18756</v>
      </c>
      <c r="K84" s="730">
        <f t="shared" si="75"/>
        <v>0</v>
      </c>
      <c r="O84" s="729" t="s">
        <v>398</v>
      </c>
      <c r="P84" s="687">
        <v>8100000</v>
      </c>
      <c r="Q84" s="730">
        <f t="shared" si="76"/>
        <v>8440.2000000000007</v>
      </c>
      <c r="S84" s="729" t="s">
        <v>373</v>
      </c>
      <c r="T84" s="687">
        <v>2300000</v>
      </c>
      <c r="U84" s="687">
        <v>74800</v>
      </c>
      <c r="V84" s="687">
        <v>1600000</v>
      </c>
      <c r="W84" s="687">
        <v>700000</v>
      </c>
      <c r="X84" s="730">
        <f t="shared" si="77"/>
        <v>2396.6</v>
      </c>
      <c r="Y84" s="730">
        <f t="shared" si="78"/>
        <v>77.941599999999994</v>
      </c>
      <c r="Z84" s="730">
        <f t="shared" si="79"/>
        <v>1667.2</v>
      </c>
      <c r="AA84" s="730">
        <f t="shared" si="80"/>
        <v>729.4</v>
      </c>
      <c r="AC84" s="729" t="s">
        <v>387</v>
      </c>
      <c r="AD84" s="687">
        <v>50786046</v>
      </c>
      <c r="AE84" s="730">
        <f t="shared" si="81"/>
        <v>52919.059932000004</v>
      </c>
      <c r="AG84" s="729" t="s">
        <v>372</v>
      </c>
      <c r="AH84" s="687">
        <v>16715000</v>
      </c>
      <c r="AI84" s="687">
        <v>2388232</v>
      </c>
      <c r="AJ84" s="687">
        <v>13317491</v>
      </c>
      <c r="AK84" s="687">
        <v>3397509</v>
      </c>
      <c r="AL84" s="687">
        <f t="shared" si="82"/>
        <v>17417.03</v>
      </c>
      <c r="AM84" s="687">
        <f t="shared" si="83"/>
        <v>2488.5377440000002</v>
      </c>
      <c r="AN84" s="687">
        <f t="shared" si="84"/>
        <v>13876.825622</v>
      </c>
      <c r="AO84" s="687">
        <f t="shared" si="85"/>
        <v>3540.2043780000004</v>
      </c>
      <c r="AR84" s="729" t="s">
        <v>395</v>
      </c>
      <c r="AS84" s="687">
        <v>6311431</v>
      </c>
      <c r="AT84" s="687">
        <f t="shared" si="86"/>
        <v>6576.5111019999995</v>
      </c>
      <c r="AV84" s="729" t="s">
        <v>372</v>
      </c>
      <c r="AW84" s="687">
        <v>16715000</v>
      </c>
      <c r="AX84" s="687">
        <v>3411245</v>
      </c>
      <c r="AY84" s="687">
        <v>13317491</v>
      </c>
      <c r="AZ84" s="687">
        <v>3397509</v>
      </c>
      <c r="BA84" s="730">
        <f t="shared" si="87"/>
        <v>17417.03</v>
      </c>
      <c r="BB84" s="730">
        <f t="shared" si="88"/>
        <v>3554.5172900000002</v>
      </c>
      <c r="BC84" s="730">
        <f t="shared" si="89"/>
        <v>13876.825622</v>
      </c>
      <c r="BD84" s="730">
        <f t="shared" si="90"/>
        <v>3540.2043780000004</v>
      </c>
      <c r="BG84" s="759"/>
      <c r="BH84" s="761">
        <f>SUM(BH3:BH83)</f>
        <v>6456604025</v>
      </c>
      <c r="BI84" s="762">
        <f>SUM(BI3:BI83)</f>
        <v>6727781.3940499974</v>
      </c>
      <c r="BK84" s="754" t="s">
        <v>371</v>
      </c>
      <c r="BL84" s="687">
        <v>12410000</v>
      </c>
      <c r="BM84" s="687">
        <v>4655456</v>
      </c>
      <c r="BN84" s="687">
        <v>11209600</v>
      </c>
      <c r="BO84" s="687">
        <v>1200400</v>
      </c>
      <c r="BP84" s="687">
        <f t="shared" si="92"/>
        <v>12931.220000000001</v>
      </c>
      <c r="BQ84" s="687">
        <f t="shared" si="93"/>
        <v>4850.9851520000002</v>
      </c>
      <c r="BR84" s="687">
        <f t="shared" si="94"/>
        <v>11680.403200000001</v>
      </c>
      <c r="BS84" s="755">
        <f t="shared" si="95"/>
        <v>1250.8168000000001</v>
      </c>
      <c r="BV84" s="729" t="s">
        <v>387</v>
      </c>
      <c r="BW84" s="687">
        <v>16601111</v>
      </c>
      <c r="BX84" s="730">
        <f t="shared" si="96"/>
        <v>17298.357662000002</v>
      </c>
      <c r="BZ84" s="729" t="s">
        <v>371</v>
      </c>
      <c r="CA84" s="687">
        <v>11410000</v>
      </c>
      <c r="CB84" s="687">
        <v>5405791</v>
      </c>
      <c r="CC84" s="687">
        <v>11209600</v>
      </c>
      <c r="CD84" s="687">
        <v>200400</v>
      </c>
      <c r="CE84" s="687">
        <f t="shared" si="97"/>
        <v>11889.220000000001</v>
      </c>
      <c r="CF84" s="687">
        <f t="shared" si="98"/>
        <v>5632.8342220000004</v>
      </c>
      <c r="CG84" s="687">
        <f t="shared" si="99"/>
        <v>11680.403200000001</v>
      </c>
      <c r="CH84" s="687">
        <f t="shared" si="100"/>
        <v>208.8168</v>
      </c>
      <c r="CK84" s="731" t="s">
        <v>386</v>
      </c>
      <c r="CL84" s="730">
        <v>123829082</v>
      </c>
      <c r="CM84" s="730">
        <f t="shared" si="101"/>
        <v>129029.903444</v>
      </c>
      <c r="CP84" s="731" t="s">
        <v>371</v>
      </c>
      <c r="CQ84" s="730">
        <v>11410000</v>
      </c>
      <c r="CR84" s="730">
        <v>6470103</v>
      </c>
      <c r="CS84" s="730">
        <v>11209600</v>
      </c>
      <c r="CT84" s="730">
        <v>200400</v>
      </c>
      <c r="CU84" s="730">
        <f t="shared" si="68"/>
        <v>11889.220000000001</v>
      </c>
      <c r="CV84" s="730">
        <f t="shared" si="69"/>
        <v>6741.8473260000001</v>
      </c>
      <c r="CW84" s="730">
        <f t="shared" si="70"/>
        <v>11680.403200000001</v>
      </c>
      <c r="CX84" s="730">
        <f t="shared" si="71"/>
        <v>208.8168</v>
      </c>
      <c r="CZ84" s="731" t="s">
        <v>563</v>
      </c>
      <c r="DA84" s="730">
        <v>6110000</v>
      </c>
      <c r="DB84" s="730">
        <f t="shared" si="102"/>
        <v>6366.62</v>
      </c>
      <c r="DE84" s="729" t="s">
        <v>371</v>
      </c>
      <c r="DF84" s="687">
        <v>12810000</v>
      </c>
      <c r="DG84" s="687">
        <v>8554703</v>
      </c>
      <c r="DH84" s="687">
        <v>12609600</v>
      </c>
      <c r="DI84" s="687">
        <v>200400</v>
      </c>
      <c r="DJ84" s="730">
        <f t="shared" si="103"/>
        <v>13348.02</v>
      </c>
      <c r="DK84" s="730">
        <f t="shared" si="104"/>
        <v>8914.0005259999998</v>
      </c>
      <c r="DL84" s="730">
        <f t="shared" si="105"/>
        <v>13139.203200000002</v>
      </c>
      <c r="DM84" s="730">
        <f t="shared" si="106"/>
        <v>208.8168</v>
      </c>
      <c r="DP84" s="729" t="s">
        <v>565</v>
      </c>
      <c r="DQ84" s="687">
        <v>4140487</v>
      </c>
      <c r="DR84" s="730">
        <f t="shared" si="107"/>
        <v>4140.4870000000001</v>
      </c>
      <c r="DT84" s="729" t="s">
        <v>371</v>
      </c>
      <c r="DU84" s="687">
        <v>13822931</v>
      </c>
      <c r="DV84" s="687">
        <v>9964231</v>
      </c>
      <c r="DW84" s="687">
        <v>13622531</v>
      </c>
      <c r="DX84" s="687">
        <v>200400</v>
      </c>
      <c r="DY84" s="730">
        <f t="shared" si="108"/>
        <v>13822.931</v>
      </c>
      <c r="DZ84" s="730">
        <f t="shared" si="109"/>
        <v>9964.2309999999998</v>
      </c>
      <c r="EA84" s="730">
        <f t="shared" si="110"/>
        <v>13622.531000000001</v>
      </c>
      <c r="EB84" s="730">
        <f t="shared" si="111"/>
        <v>200.4</v>
      </c>
      <c r="EE84" s="731" t="s">
        <v>469</v>
      </c>
      <c r="EF84" s="730">
        <v>2388858</v>
      </c>
      <c r="EG84" s="734">
        <f t="shared" si="112"/>
        <v>2388.8580000000002</v>
      </c>
      <c r="EI84" s="731" t="s">
        <v>369</v>
      </c>
      <c r="EJ84" s="730">
        <v>1340660</v>
      </c>
      <c r="EK84" s="730">
        <v>1126460</v>
      </c>
      <c r="EL84" s="730">
        <v>1126460</v>
      </c>
      <c r="EM84" s="734">
        <f>EJ84/$EN$1*$EO$1</f>
        <v>1340.66</v>
      </c>
      <c r="EN84" s="734">
        <f t="shared" si="114"/>
        <v>1126.46</v>
      </c>
      <c r="EO84" s="734">
        <f t="shared" si="115"/>
        <v>1126.46</v>
      </c>
      <c r="ER84" s="729" t="s">
        <v>389</v>
      </c>
      <c r="ES84" s="687">
        <v>168657239</v>
      </c>
      <c r="ET84" s="730">
        <f t="shared" si="116"/>
        <v>168657.239</v>
      </c>
      <c r="EW84" s="729" t="s">
        <v>370</v>
      </c>
      <c r="EX84" s="687">
        <v>0</v>
      </c>
      <c r="EY84" s="687">
        <v>170998349</v>
      </c>
      <c r="EZ84" s="687">
        <v>120462761</v>
      </c>
      <c r="FA84" s="687">
        <v>170538349</v>
      </c>
      <c r="FB84" s="687">
        <v>460000</v>
      </c>
      <c r="FC84" s="730">
        <f t="shared" si="126"/>
        <v>0</v>
      </c>
      <c r="FD84" s="730">
        <f t="shared" si="127"/>
        <v>170998.34899999999</v>
      </c>
      <c r="FE84" s="730">
        <f t="shared" si="128"/>
        <v>120462.761</v>
      </c>
      <c r="FF84" s="730">
        <f t="shared" si="129"/>
        <v>170538.34899999999</v>
      </c>
      <c r="FG84" s="730">
        <f t="shared" si="130"/>
        <v>460</v>
      </c>
      <c r="FJ84" s="731" t="s">
        <v>380</v>
      </c>
      <c r="FK84" s="730">
        <v>1590754</v>
      </c>
      <c r="FL84" s="734">
        <f t="shared" si="122"/>
        <v>1590.7539999999999</v>
      </c>
      <c r="FN84" s="735" t="s">
        <v>369</v>
      </c>
      <c r="FO84" s="736">
        <v>3880437</v>
      </c>
      <c r="FP84" s="736">
        <v>3880437</v>
      </c>
      <c r="FQ84" s="736">
        <v>3880437</v>
      </c>
      <c r="FR84" s="736">
        <f t="shared" si="123"/>
        <v>3880.4369999999999</v>
      </c>
      <c r="FS84" s="736">
        <f t="shared" si="124"/>
        <v>3880.4369999999999</v>
      </c>
      <c r="FT84" s="736">
        <f t="shared" si="125"/>
        <v>3880.4369999999999</v>
      </c>
    </row>
    <row r="85" spans="1:176" ht="15" customHeight="1" x14ac:dyDescent="0.25">
      <c r="A85" s="728" t="s">
        <v>880</v>
      </c>
      <c r="B85" s="729" t="s">
        <v>375</v>
      </c>
      <c r="C85" s="687">
        <v>0</v>
      </c>
      <c r="D85" s="687">
        <v>66000000</v>
      </c>
      <c r="E85" s="687">
        <v>38256082</v>
      </c>
      <c r="F85" s="687">
        <v>27743918</v>
      </c>
      <c r="G85" s="687">
        <v>5465146</v>
      </c>
      <c r="H85" s="730">
        <f t="shared" si="72"/>
        <v>68772</v>
      </c>
      <c r="I85" s="730">
        <f t="shared" si="73"/>
        <v>39862.837444000004</v>
      </c>
      <c r="J85" s="730">
        <f t="shared" si="74"/>
        <v>28909.162556000003</v>
      </c>
      <c r="K85" s="730">
        <f t="shared" si="75"/>
        <v>5694.6821319999999</v>
      </c>
      <c r="O85" s="729" t="s">
        <v>579</v>
      </c>
      <c r="P85" s="687">
        <v>8100000</v>
      </c>
      <c r="Q85" s="730">
        <f t="shared" si="76"/>
        <v>8440.2000000000007</v>
      </c>
      <c r="S85" s="729" t="s">
        <v>374</v>
      </c>
      <c r="T85" s="687">
        <v>18240000</v>
      </c>
      <c r="U85" s="687">
        <v>759276</v>
      </c>
      <c r="V85" s="687">
        <v>18240000</v>
      </c>
      <c r="W85" s="687">
        <v>0</v>
      </c>
      <c r="X85" s="730">
        <f t="shared" si="77"/>
        <v>19006.080000000002</v>
      </c>
      <c r="Y85" s="730">
        <f t="shared" si="78"/>
        <v>791.16559199999995</v>
      </c>
      <c r="Z85" s="730">
        <f t="shared" si="79"/>
        <v>19006.080000000002</v>
      </c>
      <c r="AA85" s="730">
        <f t="shared" si="80"/>
        <v>0</v>
      </c>
      <c r="AC85" s="729" t="s">
        <v>565</v>
      </c>
      <c r="AD85" s="687">
        <v>2099886</v>
      </c>
      <c r="AE85" s="730">
        <f t="shared" si="81"/>
        <v>2188.0812120000001</v>
      </c>
      <c r="AG85" s="729" t="s">
        <v>373</v>
      </c>
      <c r="AH85" s="687">
        <v>2300000</v>
      </c>
      <c r="AI85" s="687">
        <v>143150</v>
      </c>
      <c r="AJ85" s="687">
        <v>1600000</v>
      </c>
      <c r="AK85" s="687">
        <v>700000</v>
      </c>
      <c r="AL85" s="687">
        <f t="shared" si="82"/>
        <v>2396.6</v>
      </c>
      <c r="AM85" s="687">
        <f t="shared" si="83"/>
        <v>149.16230000000002</v>
      </c>
      <c r="AN85" s="687">
        <f t="shared" si="84"/>
        <v>1667.2</v>
      </c>
      <c r="AO85" s="687">
        <f t="shared" si="85"/>
        <v>729.4</v>
      </c>
      <c r="AR85" s="729" t="s">
        <v>396</v>
      </c>
      <c r="AS85" s="687">
        <v>6311431</v>
      </c>
      <c r="AT85" s="687">
        <f t="shared" si="86"/>
        <v>6576.5111019999995</v>
      </c>
      <c r="AV85" s="729" t="s">
        <v>373</v>
      </c>
      <c r="AW85" s="687">
        <v>2300000</v>
      </c>
      <c r="AX85" s="687">
        <v>238250</v>
      </c>
      <c r="AY85" s="687">
        <v>1600000</v>
      </c>
      <c r="AZ85" s="687">
        <v>700000</v>
      </c>
      <c r="BA85" s="730">
        <f t="shared" si="87"/>
        <v>2396.6</v>
      </c>
      <c r="BB85" s="730">
        <f t="shared" si="88"/>
        <v>248.25650000000002</v>
      </c>
      <c r="BC85" s="730">
        <f t="shared" si="89"/>
        <v>1667.2</v>
      </c>
      <c r="BD85" s="730">
        <f t="shared" si="90"/>
        <v>729.4</v>
      </c>
      <c r="BK85" s="754" t="s">
        <v>372</v>
      </c>
      <c r="BL85" s="687">
        <v>16715000</v>
      </c>
      <c r="BM85" s="687">
        <v>4661757</v>
      </c>
      <c r="BN85" s="687">
        <v>13317491</v>
      </c>
      <c r="BO85" s="687">
        <v>3397509</v>
      </c>
      <c r="BP85" s="687">
        <f t="shared" si="92"/>
        <v>17417.03</v>
      </c>
      <c r="BQ85" s="687">
        <f t="shared" si="93"/>
        <v>4857.5507939999998</v>
      </c>
      <c r="BR85" s="687">
        <f t="shared" si="94"/>
        <v>13876.825622</v>
      </c>
      <c r="BS85" s="755">
        <f t="shared" si="95"/>
        <v>3540.2043780000004</v>
      </c>
      <c r="BV85" s="729" t="s">
        <v>566</v>
      </c>
      <c r="BW85" s="687">
        <v>9436517</v>
      </c>
      <c r="BX85" s="730">
        <f t="shared" si="96"/>
        <v>9832.8507140000002</v>
      </c>
      <c r="BZ85" s="729" t="s">
        <v>372</v>
      </c>
      <c r="CA85" s="687">
        <v>16715000</v>
      </c>
      <c r="CB85" s="687">
        <v>5848597</v>
      </c>
      <c r="CC85" s="687">
        <v>13317491</v>
      </c>
      <c r="CD85" s="687">
        <v>3397509</v>
      </c>
      <c r="CE85" s="687">
        <f t="shared" si="97"/>
        <v>17417.03</v>
      </c>
      <c r="CF85" s="687">
        <f t="shared" si="98"/>
        <v>6094.2380739999999</v>
      </c>
      <c r="CG85" s="687">
        <f t="shared" si="99"/>
        <v>13876.825622</v>
      </c>
      <c r="CH85" s="687">
        <f t="shared" si="100"/>
        <v>3540.2043780000004</v>
      </c>
      <c r="CK85" s="731" t="s">
        <v>387</v>
      </c>
      <c r="CL85" s="730">
        <v>109947038</v>
      </c>
      <c r="CM85" s="730">
        <f t="shared" si="101"/>
        <v>114564.81359600001</v>
      </c>
      <c r="CP85" s="731" t="s">
        <v>372</v>
      </c>
      <c r="CQ85" s="730">
        <v>17167491</v>
      </c>
      <c r="CR85" s="730">
        <v>6917835</v>
      </c>
      <c r="CS85" s="730">
        <v>13317491</v>
      </c>
      <c r="CT85" s="730">
        <v>3850000</v>
      </c>
      <c r="CU85" s="730">
        <f t="shared" si="68"/>
        <v>17888.525622000001</v>
      </c>
      <c r="CV85" s="730">
        <f t="shared" si="69"/>
        <v>7208.3840700000001</v>
      </c>
      <c r="CW85" s="730">
        <f t="shared" si="70"/>
        <v>13876.825622</v>
      </c>
      <c r="CX85" s="730">
        <f t="shared" si="71"/>
        <v>4011.7000000000003</v>
      </c>
      <c r="CZ85" s="731" t="s">
        <v>385</v>
      </c>
      <c r="DA85" s="730">
        <v>25123293</v>
      </c>
      <c r="DB85" s="730">
        <f t="shared" si="102"/>
        <v>26178.471306000003</v>
      </c>
      <c r="DE85" s="729" t="s">
        <v>372</v>
      </c>
      <c r="DF85" s="687">
        <v>23167491</v>
      </c>
      <c r="DG85" s="687">
        <v>8146328</v>
      </c>
      <c r="DH85" s="687">
        <v>16317491</v>
      </c>
      <c r="DI85" s="687">
        <v>6850000</v>
      </c>
      <c r="DJ85" s="730">
        <f t="shared" si="103"/>
        <v>24140.525622000001</v>
      </c>
      <c r="DK85" s="730">
        <f t="shared" si="104"/>
        <v>8488.4737760000007</v>
      </c>
      <c r="DL85" s="730">
        <f t="shared" si="105"/>
        <v>17002.825622</v>
      </c>
      <c r="DM85" s="730">
        <f t="shared" si="106"/>
        <v>7137.7</v>
      </c>
      <c r="DP85" s="729" t="s">
        <v>566</v>
      </c>
      <c r="DQ85" s="687">
        <v>9493908</v>
      </c>
      <c r="DR85" s="730">
        <f t="shared" si="107"/>
        <v>9493.9079999999994</v>
      </c>
      <c r="DT85" s="729" t="s">
        <v>372</v>
      </c>
      <c r="DU85" s="687">
        <v>23235491</v>
      </c>
      <c r="DV85" s="687">
        <v>9019659</v>
      </c>
      <c r="DW85" s="687">
        <v>13924196</v>
      </c>
      <c r="DX85" s="687">
        <v>9311295</v>
      </c>
      <c r="DY85" s="730">
        <f t="shared" si="108"/>
        <v>23235.491000000002</v>
      </c>
      <c r="DZ85" s="730">
        <f t="shared" si="109"/>
        <v>9019.6589999999997</v>
      </c>
      <c r="EA85" s="730">
        <f t="shared" si="110"/>
        <v>13924.196</v>
      </c>
      <c r="EB85" s="730">
        <f t="shared" si="111"/>
        <v>9311.2950000000001</v>
      </c>
      <c r="EE85" s="731" t="s">
        <v>568</v>
      </c>
      <c r="EF85" s="730">
        <v>133317157</v>
      </c>
      <c r="EG85" s="734">
        <f t="shared" si="112"/>
        <v>133317.15700000001</v>
      </c>
      <c r="EI85" s="731" t="s">
        <v>370</v>
      </c>
      <c r="EJ85" s="730">
        <v>183003623</v>
      </c>
      <c r="EK85" s="730">
        <v>172728953</v>
      </c>
      <c r="EL85" s="730">
        <v>101561584</v>
      </c>
      <c r="EM85" s="734">
        <f t="shared" si="113"/>
        <v>183003.62299999999</v>
      </c>
      <c r="EN85" s="734">
        <f t="shared" si="114"/>
        <v>172728.95300000001</v>
      </c>
      <c r="EO85" s="734">
        <f t="shared" si="115"/>
        <v>101561.584</v>
      </c>
      <c r="ER85" s="729" t="s">
        <v>390</v>
      </c>
      <c r="ES85" s="687">
        <v>9100000</v>
      </c>
      <c r="ET85" s="730">
        <f t="shared" si="116"/>
        <v>9100</v>
      </c>
      <c r="EW85" s="729" t="s">
        <v>371</v>
      </c>
      <c r="EX85" s="687">
        <v>0</v>
      </c>
      <c r="EY85" s="687">
        <v>15806131</v>
      </c>
      <c r="EZ85" s="687">
        <v>13643778</v>
      </c>
      <c r="FA85" s="687">
        <v>15806131</v>
      </c>
      <c r="FB85" s="687">
        <v>0</v>
      </c>
      <c r="FC85" s="730">
        <f t="shared" si="126"/>
        <v>0</v>
      </c>
      <c r="FD85" s="730">
        <f t="shared" si="127"/>
        <v>15806.130999999999</v>
      </c>
      <c r="FE85" s="730">
        <f t="shared" si="128"/>
        <v>13643.778</v>
      </c>
      <c r="FF85" s="730">
        <f t="shared" si="129"/>
        <v>15806.130999999999</v>
      </c>
      <c r="FG85" s="730">
        <f t="shared" si="130"/>
        <v>0</v>
      </c>
      <c r="FJ85" s="731" t="s">
        <v>381</v>
      </c>
      <c r="FK85" s="730">
        <v>1590754</v>
      </c>
      <c r="FL85" s="734">
        <f t="shared" si="122"/>
        <v>1590.7539999999999</v>
      </c>
      <c r="FN85" s="735" t="s">
        <v>370</v>
      </c>
      <c r="FO85" s="736">
        <v>162839568</v>
      </c>
      <c r="FP85" s="736">
        <v>136984165</v>
      </c>
      <c r="FQ85" s="736">
        <v>159106235</v>
      </c>
      <c r="FR85" s="736">
        <f t="shared" si="123"/>
        <v>162839.568</v>
      </c>
      <c r="FS85" s="736">
        <f t="shared" si="124"/>
        <v>136984.16500000001</v>
      </c>
      <c r="FT85" s="736">
        <f t="shared" si="125"/>
        <v>159106.23499999999</v>
      </c>
    </row>
    <row r="86" spans="1:176" ht="15" customHeight="1" x14ac:dyDescent="0.25">
      <c r="A86" s="728" t="s">
        <v>880</v>
      </c>
      <c r="B86" s="729" t="s">
        <v>376</v>
      </c>
      <c r="C86" s="687">
        <v>0</v>
      </c>
      <c r="D86" s="687">
        <v>8500000</v>
      </c>
      <c r="E86" s="687">
        <v>0</v>
      </c>
      <c r="F86" s="687">
        <v>8500000</v>
      </c>
      <c r="G86" s="687">
        <v>0</v>
      </c>
      <c r="H86" s="730">
        <f t="shared" si="72"/>
        <v>8857</v>
      </c>
      <c r="I86" s="730">
        <f t="shared" si="73"/>
        <v>0</v>
      </c>
      <c r="J86" s="730">
        <f t="shared" si="74"/>
        <v>8857</v>
      </c>
      <c r="K86" s="730">
        <f t="shared" si="75"/>
        <v>0</v>
      </c>
      <c r="O86" s="729" t="s">
        <v>873</v>
      </c>
      <c r="P86" s="687">
        <v>210102000</v>
      </c>
      <c r="Q86" s="730">
        <f t="shared" si="76"/>
        <v>218926.28400000001</v>
      </c>
      <c r="S86" s="729" t="s">
        <v>375</v>
      </c>
      <c r="T86" s="687">
        <v>66000000</v>
      </c>
      <c r="U86" s="687">
        <v>10930292</v>
      </c>
      <c r="V86" s="687">
        <v>38256082</v>
      </c>
      <c r="W86" s="687">
        <v>27743918</v>
      </c>
      <c r="X86" s="730">
        <f t="shared" si="77"/>
        <v>68772</v>
      </c>
      <c r="Y86" s="730">
        <f t="shared" si="78"/>
        <v>11389.364264</v>
      </c>
      <c r="Z86" s="730">
        <f t="shared" si="79"/>
        <v>39862.837444000004</v>
      </c>
      <c r="AA86" s="730">
        <f t="shared" si="80"/>
        <v>28909.162556000003</v>
      </c>
      <c r="AC86" s="729" t="s">
        <v>469</v>
      </c>
      <c r="AD86" s="687">
        <v>5134716</v>
      </c>
      <c r="AE86" s="730">
        <f t="shared" si="81"/>
        <v>5350.3740720000005</v>
      </c>
      <c r="AG86" s="729" t="s">
        <v>374</v>
      </c>
      <c r="AH86" s="687">
        <v>18240000</v>
      </c>
      <c r="AI86" s="687">
        <v>1637541</v>
      </c>
      <c r="AJ86" s="687">
        <v>18240000</v>
      </c>
      <c r="AK86" s="687">
        <v>0</v>
      </c>
      <c r="AL86" s="687">
        <f t="shared" si="82"/>
        <v>19006.080000000002</v>
      </c>
      <c r="AM86" s="687">
        <f t="shared" si="83"/>
        <v>1706.317722</v>
      </c>
      <c r="AN86" s="687">
        <f t="shared" si="84"/>
        <v>19006.080000000002</v>
      </c>
      <c r="AO86" s="687">
        <f t="shared" si="85"/>
        <v>0</v>
      </c>
      <c r="AR86" s="729" t="s">
        <v>499</v>
      </c>
      <c r="AS86" s="687">
        <v>6311431</v>
      </c>
      <c r="AT86" s="687">
        <f t="shared" si="86"/>
        <v>6576.5111019999995</v>
      </c>
      <c r="AV86" s="729" t="s">
        <v>374</v>
      </c>
      <c r="AW86" s="687">
        <v>18240000</v>
      </c>
      <c r="AX86" s="687">
        <v>2245899</v>
      </c>
      <c r="AY86" s="687">
        <v>18240000</v>
      </c>
      <c r="AZ86" s="687">
        <v>0</v>
      </c>
      <c r="BA86" s="730">
        <f t="shared" si="87"/>
        <v>19006.080000000002</v>
      </c>
      <c r="BB86" s="730">
        <f t="shared" si="88"/>
        <v>2340.2267579999998</v>
      </c>
      <c r="BC86" s="730">
        <f t="shared" si="89"/>
        <v>19006.080000000002</v>
      </c>
      <c r="BD86" s="730">
        <f t="shared" si="90"/>
        <v>0</v>
      </c>
      <c r="BK86" s="754" t="s">
        <v>373</v>
      </c>
      <c r="BL86" s="687">
        <v>2300000</v>
      </c>
      <c r="BM86" s="687">
        <v>238250</v>
      </c>
      <c r="BN86" s="687">
        <v>1600000</v>
      </c>
      <c r="BO86" s="687">
        <v>700000</v>
      </c>
      <c r="BP86" s="687">
        <f t="shared" si="92"/>
        <v>2396.6</v>
      </c>
      <c r="BQ86" s="687">
        <f t="shared" si="93"/>
        <v>248.25650000000002</v>
      </c>
      <c r="BR86" s="687">
        <f t="shared" si="94"/>
        <v>1667.2</v>
      </c>
      <c r="BS86" s="755">
        <f t="shared" si="95"/>
        <v>729.4</v>
      </c>
      <c r="BV86" s="729" t="s">
        <v>469</v>
      </c>
      <c r="BW86" s="687">
        <v>4777716</v>
      </c>
      <c r="BX86" s="730">
        <f t="shared" si="96"/>
        <v>4978.3800720000008</v>
      </c>
      <c r="BZ86" s="729" t="s">
        <v>373</v>
      </c>
      <c r="CA86" s="687">
        <v>2392000</v>
      </c>
      <c r="CB86" s="687">
        <v>513750</v>
      </c>
      <c r="CC86" s="687">
        <v>1691390</v>
      </c>
      <c r="CD86" s="687">
        <v>700610</v>
      </c>
      <c r="CE86" s="687">
        <f t="shared" si="97"/>
        <v>2492.4639999999999</v>
      </c>
      <c r="CF86" s="687">
        <f t="shared" si="98"/>
        <v>535.32749999999999</v>
      </c>
      <c r="CG86" s="687">
        <f t="shared" si="99"/>
        <v>1762.4283800000001</v>
      </c>
      <c r="CH86" s="687">
        <f t="shared" si="100"/>
        <v>730.03561999999999</v>
      </c>
      <c r="CK86" s="731" t="s">
        <v>565</v>
      </c>
      <c r="CL86" s="730">
        <v>2052940</v>
      </c>
      <c r="CM86" s="730">
        <f t="shared" si="101"/>
        <v>2139.1634800000002</v>
      </c>
      <c r="CP86" s="731" t="s">
        <v>373</v>
      </c>
      <c r="CQ86" s="730">
        <v>2392000</v>
      </c>
      <c r="CR86" s="730">
        <v>808240</v>
      </c>
      <c r="CS86" s="730">
        <v>2298797</v>
      </c>
      <c r="CT86" s="730">
        <v>93203</v>
      </c>
      <c r="CU86" s="730">
        <f t="shared" si="68"/>
        <v>2492.4639999999999</v>
      </c>
      <c r="CV86" s="730">
        <f t="shared" si="69"/>
        <v>842.18608000000006</v>
      </c>
      <c r="CW86" s="730">
        <f t="shared" si="70"/>
        <v>2395.3464739999999</v>
      </c>
      <c r="CX86" s="730">
        <f t="shared" si="71"/>
        <v>97.117526000000012</v>
      </c>
      <c r="CZ86" s="731" t="s">
        <v>386</v>
      </c>
      <c r="DA86" s="730">
        <v>41882337</v>
      </c>
      <c r="DB86" s="730">
        <f t="shared" si="102"/>
        <v>43641.395153999998</v>
      </c>
      <c r="DE86" s="729" t="s">
        <v>373</v>
      </c>
      <c r="DF86" s="687">
        <v>2392000</v>
      </c>
      <c r="DG86" s="687">
        <v>1583294</v>
      </c>
      <c r="DH86" s="687">
        <v>2298797</v>
      </c>
      <c r="DI86" s="687">
        <v>93203</v>
      </c>
      <c r="DJ86" s="730">
        <f t="shared" si="103"/>
        <v>2492.4639999999999</v>
      </c>
      <c r="DK86" s="730">
        <f t="shared" si="104"/>
        <v>1649.7923480000002</v>
      </c>
      <c r="DL86" s="730">
        <f t="shared" si="105"/>
        <v>2395.3464739999999</v>
      </c>
      <c r="DM86" s="730">
        <f t="shared" si="106"/>
        <v>97.117526000000012</v>
      </c>
      <c r="DP86" s="729" t="s">
        <v>469</v>
      </c>
      <c r="DQ86" s="687">
        <v>2388858</v>
      </c>
      <c r="DR86" s="730">
        <f t="shared" si="107"/>
        <v>2388.8580000000002</v>
      </c>
      <c r="DT86" s="729" t="s">
        <v>373</v>
      </c>
      <c r="DU86" s="687">
        <v>2392000</v>
      </c>
      <c r="DV86" s="687">
        <v>1583294</v>
      </c>
      <c r="DW86" s="687">
        <v>2298797</v>
      </c>
      <c r="DX86" s="687">
        <v>93203</v>
      </c>
      <c r="DY86" s="730">
        <f t="shared" si="108"/>
        <v>2392</v>
      </c>
      <c r="DZ86" s="730">
        <f t="shared" si="109"/>
        <v>1583.2940000000001</v>
      </c>
      <c r="EA86" s="730">
        <f t="shared" si="110"/>
        <v>2298.797</v>
      </c>
      <c r="EB86" s="730">
        <f t="shared" si="111"/>
        <v>93.203000000000003</v>
      </c>
      <c r="EE86" s="731" t="s">
        <v>389</v>
      </c>
      <c r="EF86" s="730">
        <v>39377000</v>
      </c>
      <c r="EG86" s="734">
        <f t="shared" si="112"/>
        <v>39377</v>
      </c>
      <c r="EI86" s="731" t="s">
        <v>371</v>
      </c>
      <c r="EJ86" s="730">
        <v>15522931</v>
      </c>
      <c r="EK86" s="730">
        <v>14472531</v>
      </c>
      <c r="EL86" s="730">
        <v>11906331</v>
      </c>
      <c r="EM86" s="734">
        <f t="shared" si="113"/>
        <v>15522.931</v>
      </c>
      <c r="EN86" s="734">
        <f t="shared" si="114"/>
        <v>14472.531000000001</v>
      </c>
      <c r="EO86" s="734">
        <f t="shared" si="115"/>
        <v>11906.331</v>
      </c>
      <c r="ER86" s="729" t="s">
        <v>391</v>
      </c>
      <c r="ES86" s="687">
        <v>100638240</v>
      </c>
      <c r="ET86" s="730">
        <f t="shared" si="116"/>
        <v>100638.24</v>
      </c>
      <c r="EW86" s="729" t="s">
        <v>372</v>
      </c>
      <c r="EX86" s="687">
        <v>0</v>
      </c>
      <c r="EY86" s="687">
        <v>14650322</v>
      </c>
      <c r="EZ86" s="687">
        <v>11452641</v>
      </c>
      <c r="FA86" s="687">
        <v>14650322</v>
      </c>
      <c r="FB86" s="687">
        <v>0</v>
      </c>
      <c r="FC86" s="730">
        <f t="shared" si="126"/>
        <v>0</v>
      </c>
      <c r="FD86" s="730">
        <f t="shared" si="127"/>
        <v>14650.322</v>
      </c>
      <c r="FE86" s="730">
        <f t="shared" si="128"/>
        <v>11452.641</v>
      </c>
      <c r="FF86" s="730">
        <f t="shared" si="129"/>
        <v>14650.322</v>
      </c>
      <c r="FG86" s="730">
        <f t="shared" si="130"/>
        <v>0</v>
      </c>
      <c r="FJ86" s="731" t="s">
        <v>383</v>
      </c>
      <c r="FK86" s="730">
        <v>66026340</v>
      </c>
      <c r="FL86" s="734">
        <f t="shared" si="122"/>
        <v>66026.34</v>
      </c>
      <c r="FN86" s="735" t="s">
        <v>371</v>
      </c>
      <c r="FO86" s="736">
        <v>14941402</v>
      </c>
      <c r="FP86" s="736">
        <v>14941402</v>
      </c>
      <c r="FQ86" s="736">
        <v>14941402</v>
      </c>
      <c r="FR86" s="736">
        <f t="shared" si="123"/>
        <v>14941.402</v>
      </c>
      <c r="FS86" s="736">
        <f t="shared" si="124"/>
        <v>14941.402</v>
      </c>
      <c r="FT86" s="736">
        <f t="shared" si="125"/>
        <v>14941.402</v>
      </c>
    </row>
    <row r="87" spans="1:176" ht="15" customHeight="1" x14ac:dyDescent="0.25">
      <c r="A87" s="728" t="s">
        <v>880</v>
      </c>
      <c r="B87" s="729" t="s">
        <v>377</v>
      </c>
      <c r="C87" s="687">
        <v>0</v>
      </c>
      <c r="D87" s="687">
        <v>5760000</v>
      </c>
      <c r="E87" s="687">
        <v>4268853</v>
      </c>
      <c r="F87" s="687">
        <v>1491147</v>
      </c>
      <c r="G87" s="687">
        <v>0</v>
      </c>
      <c r="H87" s="730">
        <f t="shared" si="72"/>
        <v>6001.92</v>
      </c>
      <c r="I87" s="730">
        <f t="shared" si="73"/>
        <v>4448.1448260000006</v>
      </c>
      <c r="J87" s="730">
        <f t="shared" si="74"/>
        <v>1553.7751739999999</v>
      </c>
      <c r="K87" s="730">
        <f t="shared" si="75"/>
        <v>0</v>
      </c>
      <c r="O87" s="729" t="s">
        <v>874</v>
      </c>
      <c r="P87" s="687">
        <v>210102000</v>
      </c>
      <c r="Q87" s="730">
        <f t="shared" si="76"/>
        <v>218926.28400000001</v>
      </c>
      <c r="S87" s="729" t="s">
        <v>376</v>
      </c>
      <c r="T87" s="687">
        <v>8500000</v>
      </c>
      <c r="U87" s="687">
        <v>0</v>
      </c>
      <c r="V87" s="687">
        <v>3783060</v>
      </c>
      <c r="W87" s="687">
        <v>4716940</v>
      </c>
      <c r="X87" s="730">
        <f t="shared" si="77"/>
        <v>8857</v>
      </c>
      <c r="Y87" s="730">
        <f t="shared" si="78"/>
        <v>0</v>
      </c>
      <c r="Z87" s="730">
        <f t="shared" si="79"/>
        <v>3941.9485199999999</v>
      </c>
      <c r="AA87" s="730">
        <f t="shared" si="80"/>
        <v>4915.0514800000001</v>
      </c>
      <c r="AC87" s="729" t="s">
        <v>567</v>
      </c>
      <c r="AD87" s="687">
        <v>4526344</v>
      </c>
      <c r="AE87" s="730">
        <f t="shared" si="81"/>
        <v>4716.4504480000005</v>
      </c>
      <c r="AG87" s="729" t="s">
        <v>375</v>
      </c>
      <c r="AH87" s="687">
        <v>71752082</v>
      </c>
      <c r="AI87" s="687">
        <v>16395438</v>
      </c>
      <c r="AJ87" s="687">
        <v>38256082</v>
      </c>
      <c r="AK87" s="687">
        <v>33496000</v>
      </c>
      <c r="AL87" s="687">
        <f t="shared" si="82"/>
        <v>74765.669443999999</v>
      </c>
      <c r="AM87" s="687">
        <f t="shared" si="83"/>
        <v>17084.046395999998</v>
      </c>
      <c r="AN87" s="687">
        <f t="shared" si="84"/>
        <v>39862.837444000004</v>
      </c>
      <c r="AO87" s="687">
        <f t="shared" si="85"/>
        <v>34902.832000000002</v>
      </c>
      <c r="AR87" s="729" t="s">
        <v>594</v>
      </c>
      <c r="AS87" s="687">
        <v>27389354</v>
      </c>
      <c r="AT87" s="687">
        <f t="shared" si="86"/>
        <v>28539.706868000001</v>
      </c>
      <c r="AV87" s="729" t="s">
        <v>375</v>
      </c>
      <c r="AW87" s="687">
        <v>71752082</v>
      </c>
      <c r="AX87" s="687">
        <v>16395438</v>
      </c>
      <c r="AY87" s="687">
        <v>38256082</v>
      </c>
      <c r="AZ87" s="687">
        <v>33496000</v>
      </c>
      <c r="BA87" s="730">
        <f t="shared" si="87"/>
        <v>74765.669443999999</v>
      </c>
      <c r="BB87" s="730">
        <f t="shared" si="88"/>
        <v>17084.046395999998</v>
      </c>
      <c r="BC87" s="730">
        <f t="shared" si="89"/>
        <v>39862.837444000004</v>
      </c>
      <c r="BD87" s="730">
        <f t="shared" si="90"/>
        <v>34902.832000000002</v>
      </c>
      <c r="BK87" s="754" t="s">
        <v>374</v>
      </c>
      <c r="BL87" s="687">
        <v>18240000</v>
      </c>
      <c r="BM87" s="687">
        <v>3148577</v>
      </c>
      <c r="BN87" s="687">
        <v>18240000</v>
      </c>
      <c r="BO87" s="687">
        <v>0</v>
      </c>
      <c r="BP87" s="687">
        <f t="shared" si="92"/>
        <v>19006.080000000002</v>
      </c>
      <c r="BQ87" s="687">
        <f t="shared" si="93"/>
        <v>3280.8172340000006</v>
      </c>
      <c r="BR87" s="687">
        <f t="shared" si="94"/>
        <v>19006.080000000002</v>
      </c>
      <c r="BS87" s="755">
        <f t="shared" si="95"/>
        <v>0</v>
      </c>
      <c r="BV87" s="729" t="s">
        <v>568</v>
      </c>
      <c r="BW87" s="687">
        <v>159832205</v>
      </c>
      <c r="BX87" s="730">
        <f t="shared" si="96"/>
        <v>166545.15760999999</v>
      </c>
      <c r="BZ87" s="729" t="s">
        <v>374</v>
      </c>
      <c r="CA87" s="687">
        <v>18240000</v>
      </c>
      <c r="CB87" s="687">
        <v>4606700</v>
      </c>
      <c r="CC87" s="687">
        <v>18240000</v>
      </c>
      <c r="CD87" s="687">
        <v>0</v>
      </c>
      <c r="CE87" s="687">
        <f t="shared" si="97"/>
        <v>19006.080000000002</v>
      </c>
      <c r="CF87" s="687">
        <f t="shared" si="98"/>
        <v>4800.1814000000004</v>
      </c>
      <c r="CG87" s="687">
        <f t="shared" si="99"/>
        <v>19006.080000000002</v>
      </c>
      <c r="CH87" s="687">
        <f t="shared" si="100"/>
        <v>0</v>
      </c>
      <c r="CK87" s="731" t="s">
        <v>566</v>
      </c>
      <c r="CL87" s="730">
        <v>9440246</v>
      </c>
      <c r="CM87" s="730">
        <f t="shared" si="101"/>
        <v>9836.7363320000004</v>
      </c>
      <c r="CP87" s="731" t="s">
        <v>374</v>
      </c>
      <c r="CQ87" s="730">
        <v>18240000</v>
      </c>
      <c r="CR87" s="730">
        <v>5381883</v>
      </c>
      <c r="CS87" s="730">
        <v>18240000</v>
      </c>
      <c r="CT87" s="730">
        <v>0</v>
      </c>
      <c r="CU87" s="730">
        <f t="shared" si="68"/>
        <v>19006.080000000002</v>
      </c>
      <c r="CV87" s="730">
        <f t="shared" si="69"/>
        <v>5607.9220859999996</v>
      </c>
      <c r="CW87" s="730">
        <f t="shared" si="70"/>
        <v>19006.080000000002</v>
      </c>
      <c r="CX87" s="730">
        <f t="shared" si="71"/>
        <v>0</v>
      </c>
      <c r="CZ87" s="731" t="s">
        <v>387</v>
      </c>
      <c r="DA87" s="730">
        <v>28035554</v>
      </c>
      <c r="DB87" s="730">
        <f t="shared" si="102"/>
        <v>29213.047268000002</v>
      </c>
      <c r="DE87" s="729" t="s">
        <v>374</v>
      </c>
      <c r="DF87" s="687">
        <v>18240000</v>
      </c>
      <c r="DG87" s="687">
        <v>6455775</v>
      </c>
      <c r="DH87" s="687">
        <v>18240000</v>
      </c>
      <c r="DI87" s="687">
        <v>0</v>
      </c>
      <c r="DJ87" s="730">
        <f t="shared" si="103"/>
        <v>19006.080000000002</v>
      </c>
      <c r="DK87" s="730">
        <f t="shared" si="104"/>
        <v>6726.9175500000001</v>
      </c>
      <c r="DL87" s="730">
        <f t="shared" si="105"/>
        <v>19006.080000000002</v>
      </c>
      <c r="DM87" s="730">
        <f t="shared" si="106"/>
        <v>0</v>
      </c>
      <c r="DP87" s="729" t="s">
        <v>568</v>
      </c>
      <c r="DQ87" s="687">
        <v>27381000</v>
      </c>
      <c r="DR87" s="730">
        <f t="shared" si="107"/>
        <v>27381</v>
      </c>
      <c r="DT87" s="729" t="s">
        <v>374</v>
      </c>
      <c r="DU87" s="687">
        <v>18240000</v>
      </c>
      <c r="DV87" s="687">
        <v>7282628</v>
      </c>
      <c r="DW87" s="687">
        <v>18240000</v>
      </c>
      <c r="DX87" s="687">
        <v>0</v>
      </c>
      <c r="DY87" s="730">
        <f t="shared" si="108"/>
        <v>18240</v>
      </c>
      <c r="DZ87" s="730">
        <f t="shared" si="109"/>
        <v>7282.6279999999997</v>
      </c>
      <c r="EA87" s="730">
        <f t="shared" si="110"/>
        <v>18240</v>
      </c>
      <c r="EB87" s="730">
        <f t="shared" si="111"/>
        <v>0</v>
      </c>
      <c r="EE87" s="731" t="s">
        <v>390</v>
      </c>
      <c r="EF87" s="730">
        <v>8270000</v>
      </c>
      <c r="EG87" s="734">
        <f t="shared" si="112"/>
        <v>8270</v>
      </c>
      <c r="EI87" s="731" t="s">
        <v>372</v>
      </c>
      <c r="EJ87" s="730">
        <v>23300491</v>
      </c>
      <c r="EK87" s="730">
        <v>20175292</v>
      </c>
      <c r="EL87" s="730">
        <v>10198894</v>
      </c>
      <c r="EM87" s="734">
        <f t="shared" si="113"/>
        <v>23300.491000000002</v>
      </c>
      <c r="EN87" s="734">
        <f t="shared" si="114"/>
        <v>20175.292000000001</v>
      </c>
      <c r="EO87" s="734">
        <f t="shared" si="115"/>
        <v>10198.894</v>
      </c>
      <c r="ER87" s="729" t="s">
        <v>392</v>
      </c>
      <c r="ES87" s="687">
        <v>925820</v>
      </c>
      <c r="ET87" s="730">
        <f t="shared" si="116"/>
        <v>925.82</v>
      </c>
      <c r="EW87" s="729" t="s">
        <v>373</v>
      </c>
      <c r="EX87" s="687">
        <v>0</v>
      </c>
      <c r="EY87" s="687">
        <v>2298797</v>
      </c>
      <c r="EZ87" s="687">
        <v>2113347</v>
      </c>
      <c r="FA87" s="687">
        <v>2298797</v>
      </c>
      <c r="FB87" s="687">
        <v>0</v>
      </c>
      <c r="FC87" s="730">
        <f t="shared" si="126"/>
        <v>0</v>
      </c>
      <c r="FD87" s="730">
        <f t="shared" si="127"/>
        <v>2298.797</v>
      </c>
      <c r="FE87" s="730">
        <f t="shared" si="128"/>
        <v>2113.3470000000002</v>
      </c>
      <c r="FF87" s="730">
        <f t="shared" si="129"/>
        <v>2298.797</v>
      </c>
      <c r="FG87" s="730">
        <f t="shared" si="130"/>
        <v>0</v>
      </c>
      <c r="FJ87" s="731" t="s">
        <v>384</v>
      </c>
      <c r="FK87" s="730">
        <v>9351259</v>
      </c>
      <c r="FL87" s="734">
        <f t="shared" si="122"/>
        <v>9351.259</v>
      </c>
      <c r="FN87" s="735" t="s">
        <v>372</v>
      </c>
      <c r="FO87" s="736">
        <v>13509245</v>
      </c>
      <c r="FP87" s="736">
        <v>13509245</v>
      </c>
      <c r="FQ87" s="736">
        <v>13509245</v>
      </c>
      <c r="FR87" s="736">
        <f t="shared" si="123"/>
        <v>13509.245000000001</v>
      </c>
      <c r="FS87" s="736">
        <f t="shared" si="124"/>
        <v>13509.245000000001</v>
      </c>
      <c r="FT87" s="736">
        <f t="shared" si="125"/>
        <v>13509.245000000001</v>
      </c>
    </row>
    <row r="88" spans="1:176" ht="15" customHeight="1" x14ac:dyDescent="0.25">
      <c r="A88" s="728" t="s">
        <v>880</v>
      </c>
      <c r="B88" s="729" t="s">
        <v>556</v>
      </c>
      <c r="C88" s="687">
        <v>0</v>
      </c>
      <c r="D88" s="687">
        <v>38400000</v>
      </c>
      <c r="E88" s="687">
        <v>34493866</v>
      </c>
      <c r="F88" s="687">
        <v>3906134</v>
      </c>
      <c r="G88" s="687">
        <v>3135806</v>
      </c>
      <c r="H88" s="730">
        <f t="shared" si="72"/>
        <v>40012.800000000003</v>
      </c>
      <c r="I88" s="730">
        <f t="shared" si="73"/>
        <v>35942.608372000002</v>
      </c>
      <c r="J88" s="730">
        <f t="shared" si="74"/>
        <v>4070.191628</v>
      </c>
      <c r="K88" s="730">
        <f t="shared" si="75"/>
        <v>3267.5098520000001</v>
      </c>
      <c r="O88" s="729" t="s">
        <v>875</v>
      </c>
      <c r="P88" s="687">
        <v>210102000</v>
      </c>
      <c r="Q88" s="730">
        <f t="shared" si="76"/>
        <v>218926.28400000001</v>
      </c>
      <c r="S88" s="729" t="s">
        <v>377</v>
      </c>
      <c r="T88" s="687">
        <v>5760000</v>
      </c>
      <c r="U88" s="687">
        <v>474317</v>
      </c>
      <c r="V88" s="687">
        <v>4268853</v>
      </c>
      <c r="W88" s="687">
        <v>1491147</v>
      </c>
      <c r="X88" s="730">
        <f t="shared" si="77"/>
        <v>6001.92</v>
      </c>
      <c r="Y88" s="730">
        <f t="shared" si="78"/>
        <v>494.238314</v>
      </c>
      <c r="Z88" s="730">
        <f t="shared" si="79"/>
        <v>4448.1448260000006</v>
      </c>
      <c r="AA88" s="730">
        <f t="shared" si="80"/>
        <v>1553.7751739999999</v>
      </c>
      <c r="AC88" s="729" t="s">
        <v>388</v>
      </c>
      <c r="AD88" s="687">
        <v>4526344</v>
      </c>
      <c r="AE88" s="730">
        <f t="shared" si="81"/>
        <v>4716.4504480000005</v>
      </c>
      <c r="AG88" s="729" t="s">
        <v>376</v>
      </c>
      <c r="AH88" s="687">
        <v>8500000</v>
      </c>
      <c r="AI88" s="687">
        <v>0</v>
      </c>
      <c r="AJ88" s="687">
        <v>3783060</v>
      </c>
      <c r="AK88" s="687">
        <v>4716940</v>
      </c>
      <c r="AL88" s="687">
        <f t="shared" si="82"/>
        <v>8857</v>
      </c>
      <c r="AM88" s="687">
        <f t="shared" si="83"/>
        <v>0</v>
      </c>
      <c r="AN88" s="687">
        <f t="shared" si="84"/>
        <v>3941.9485199999999</v>
      </c>
      <c r="AO88" s="687">
        <f t="shared" si="85"/>
        <v>4915.0514800000001</v>
      </c>
      <c r="AR88" s="729" t="s">
        <v>595</v>
      </c>
      <c r="AS88" s="687">
        <v>27389354</v>
      </c>
      <c r="AT88" s="687">
        <f t="shared" si="86"/>
        <v>28539.706868000001</v>
      </c>
      <c r="AV88" s="729" t="s">
        <v>376</v>
      </c>
      <c r="AW88" s="687">
        <v>8500000</v>
      </c>
      <c r="AX88" s="687">
        <v>0</v>
      </c>
      <c r="AY88" s="687">
        <v>3783060</v>
      </c>
      <c r="AZ88" s="687">
        <v>4716940</v>
      </c>
      <c r="BA88" s="730">
        <f t="shared" si="87"/>
        <v>8857</v>
      </c>
      <c r="BB88" s="730">
        <f t="shared" si="88"/>
        <v>0</v>
      </c>
      <c r="BC88" s="730">
        <f t="shared" si="89"/>
        <v>3941.9485199999999</v>
      </c>
      <c r="BD88" s="730">
        <f t="shared" si="90"/>
        <v>4915.0514800000001</v>
      </c>
      <c r="BK88" s="754" t="s">
        <v>375</v>
      </c>
      <c r="BL88" s="687">
        <v>72006082</v>
      </c>
      <c r="BM88" s="687">
        <v>16395438</v>
      </c>
      <c r="BN88" s="687">
        <v>38256082</v>
      </c>
      <c r="BO88" s="687">
        <v>33750000</v>
      </c>
      <c r="BP88" s="687">
        <f t="shared" si="92"/>
        <v>75030.337444000004</v>
      </c>
      <c r="BQ88" s="687">
        <f t="shared" si="93"/>
        <v>17084.046395999998</v>
      </c>
      <c r="BR88" s="687">
        <f t="shared" si="94"/>
        <v>39862.837444000004</v>
      </c>
      <c r="BS88" s="755">
        <f t="shared" si="95"/>
        <v>35167.5</v>
      </c>
      <c r="BV88" s="729" t="s">
        <v>389</v>
      </c>
      <c r="BW88" s="687">
        <v>155485859</v>
      </c>
      <c r="BX88" s="730">
        <f t="shared" si="96"/>
        <v>162016.265078</v>
      </c>
      <c r="BZ88" s="729" t="s">
        <v>375</v>
      </c>
      <c r="CA88" s="687">
        <v>72006082</v>
      </c>
      <c r="CB88" s="687">
        <v>16395438</v>
      </c>
      <c r="CC88" s="687">
        <v>71047018</v>
      </c>
      <c r="CD88" s="687">
        <v>959064</v>
      </c>
      <c r="CE88" s="687">
        <f t="shared" si="97"/>
        <v>75030.337444000004</v>
      </c>
      <c r="CF88" s="687">
        <f t="shared" si="98"/>
        <v>17084.046395999998</v>
      </c>
      <c r="CG88" s="687">
        <f t="shared" si="99"/>
        <v>74030.992755999992</v>
      </c>
      <c r="CH88" s="687">
        <f t="shared" si="100"/>
        <v>999.34468800000002</v>
      </c>
      <c r="CK88" s="731" t="s">
        <v>469</v>
      </c>
      <c r="CL88" s="730">
        <v>2388858</v>
      </c>
      <c r="CM88" s="730">
        <f t="shared" si="101"/>
        <v>2489.1900360000004</v>
      </c>
      <c r="CP88" s="731" t="s">
        <v>375</v>
      </c>
      <c r="CQ88" s="730">
        <v>72006082</v>
      </c>
      <c r="CR88" s="730">
        <v>16395438</v>
      </c>
      <c r="CS88" s="730">
        <v>71047018</v>
      </c>
      <c r="CT88" s="730">
        <v>959064</v>
      </c>
      <c r="CU88" s="730">
        <f t="shared" si="68"/>
        <v>75030.337444000004</v>
      </c>
      <c r="CV88" s="730">
        <f t="shared" si="69"/>
        <v>17084.046395999998</v>
      </c>
      <c r="CW88" s="730">
        <f t="shared" si="70"/>
        <v>74030.992755999992</v>
      </c>
      <c r="CX88" s="730">
        <f t="shared" si="71"/>
        <v>999.34468800000002</v>
      </c>
      <c r="CZ88" s="731" t="s">
        <v>565</v>
      </c>
      <c r="DA88" s="730">
        <v>2067535</v>
      </c>
      <c r="DB88" s="730">
        <f t="shared" si="102"/>
        <v>2154.37147</v>
      </c>
      <c r="DE88" s="729" t="s">
        <v>375</v>
      </c>
      <c r="DF88" s="687">
        <v>72006082</v>
      </c>
      <c r="DG88" s="687">
        <v>16395438</v>
      </c>
      <c r="DH88" s="687">
        <v>71047018</v>
      </c>
      <c r="DI88" s="687">
        <v>959064</v>
      </c>
      <c r="DJ88" s="730">
        <f t="shared" si="103"/>
        <v>75030.337444000004</v>
      </c>
      <c r="DK88" s="730">
        <f t="shared" si="104"/>
        <v>17084.046395999998</v>
      </c>
      <c r="DL88" s="730">
        <f t="shared" si="105"/>
        <v>74030.992755999992</v>
      </c>
      <c r="DM88" s="730">
        <f t="shared" si="106"/>
        <v>999.34468800000002</v>
      </c>
      <c r="DP88" s="729" t="s">
        <v>389</v>
      </c>
      <c r="DQ88" s="687">
        <v>7485000</v>
      </c>
      <c r="DR88" s="730">
        <f t="shared" si="107"/>
        <v>7485</v>
      </c>
      <c r="DT88" s="729" t="s">
        <v>375</v>
      </c>
      <c r="DU88" s="687">
        <v>72006082</v>
      </c>
      <c r="DV88" s="687">
        <v>21860594</v>
      </c>
      <c r="DW88" s="687">
        <v>71047018</v>
      </c>
      <c r="DX88" s="687">
        <v>959064</v>
      </c>
      <c r="DY88" s="730">
        <f t="shared" si="108"/>
        <v>72006.081999999995</v>
      </c>
      <c r="DZ88" s="730">
        <f t="shared" si="109"/>
        <v>21860.594000000001</v>
      </c>
      <c r="EA88" s="730">
        <f t="shared" si="110"/>
        <v>71047.017999999996</v>
      </c>
      <c r="EB88" s="730">
        <f t="shared" si="111"/>
        <v>959.06399999999996</v>
      </c>
      <c r="EE88" s="731" t="s">
        <v>391</v>
      </c>
      <c r="EF88" s="730">
        <v>60680157</v>
      </c>
      <c r="EG88" s="734">
        <f t="shared" si="112"/>
        <v>60680.156999999999</v>
      </c>
      <c r="EI88" s="731" t="s">
        <v>373</v>
      </c>
      <c r="EJ88" s="730">
        <v>2392000</v>
      </c>
      <c r="EK88" s="730">
        <v>2298797</v>
      </c>
      <c r="EL88" s="730">
        <v>1887894</v>
      </c>
      <c r="EM88" s="734">
        <f t="shared" si="113"/>
        <v>2392</v>
      </c>
      <c r="EN88" s="734">
        <f t="shared" si="114"/>
        <v>2298.797</v>
      </c>
      <c r="EO88" s="734">
        <f t="shared" si="115"/>
        <v>1887.894</v>
      </c>
      <c r="ER88" s="729" t="s">
        <v>569</v>
      </c>
      <c r="ES88" s="687">
        <v>1066600</v>
      </c>
      <c r="ET88" s="730">
        <f t="shared" si="116"/>
        <v>1066.5999999999999</v>
      </c>
      <c r="EW88" s="729" t="s">
        <v>374</v>
      </c>
      <c r="EX88" s="687">
        <v>0</v>
      </c>
      <c r="EY88" s="687">
        <v>14550340</v>
      </c>
      <c r="EZ88" s="687">
        <v>11910340</v>
      </c>
      <c r="FA88" s="687">
        <v>14550340</v>
      </c>
      <c r="FB88" s="687">
        <v>0</v>
      </c>
      <c r="FC88" s="730">
        <f t="shared" si="126"/>
        <v>0</v>
      </c>
      <c r="FD88" s="730">
        <f t="shared" si="127"/>
        <v>14550.34</v>
      </c>
      <c r="FE88" s="730">
        <f t="shared" si="128"/>
        <v>11910.34</v>
      </c>
      <c r="FF88" s="730">
        <f t="shared" si="129"/>
        <v>14550.34</v>
      </c>
      <c r="FG88" s="730">
        <f t="shared" si="130"/>
        <v>0</v>
      </c>
      <c r="FJ88" s="731" t="s">
        <v>468</v>
      </c>
      <c r="FK88" s="730">
        <v>1944110</v>
      </c>
      <c r="FL88" s="734">
        <f t="shared" si="122"/>
        <v>1944.11</v>
      </c>
      <c r="FN88" s="735" t="s">
        <v>373</v>
      </c>
      <c r="FO88" s="736">
        <v>2287547</v>
      </c>
      <c r="FP88" s="736">
        <v>2287547</v>
      </c>
      <c r="FQ88" s="736">
        <v>2287547</v>
      </c>
      <c r="FR88" s="736">
        <f t="shared" si="123"/>
        <v>2287.547</v>
      </c>
      <c r="FS88" s="736">
        <f t="shared" si="124"/>
        <v>2287.547</v>
      </c>
      <c r="FT88" s="736">
        <f t="shared" si="125"/>
        <v>2287.547</v>
      </c>
    </row>
    <row r="89" spans="1:176" ht="15" customHeight="1" x14ac:dyDescent="0.25">
      <c r="A89" s="728" t="s">
        <v>879</v>
      </c>
      <c r="B89" s="729" t="s">
        <v>378</v>
      </c>
      <c r="C89" s="687">
        <v>0</v>
      </c>
      <c r="D89" s="687">
        <v>50902635</v>
      </c>
      <c r="E89" s="687">
        <v>1569711</v>
      </c>
      <c r="F89" s="687">
        <v>49332924</v>
      </c>
      <c r="G89" s="687">
        <v>777147</v>
      </c>
      <c r="H89" s="730">
        <f t="shared" si="72"/>
        <v>53040.545670000007</v>
      </c>
      <c r="I89" s="730">
        <f t="shared" si="73"/>
        <v>1635.638862</v>
      </c>
      <c r="J89" s="730">
        <f t="shared" si="74"/>
        <v>51404.906808</v>
      </c>
      <c r="K89" s="730">
        <f t="shared" si="75"/>
        <v>809.78717400000005</v>
      </c>
      <c r="O89" s="729"/>
      <c r="P89" s="687"/>
      <c r="Q89" s="730"/>
      <c r="S89" s="729" t="s">
        <v>556</v>
      </c>
      <c r="T89" s="687">
        <v>38400000</v>
      </c>
      <c r="U89" s="687">
        <v>3135806</v>
      </c>
      <c r="V89" s="687">
        <v>34493866</v>
      </c>
      <c r="W89" s="687">
        <v>3906134</v>
      </c>
      <c r="X89" s="730">
        <f t="shared" si="77"/>
        <v>40012.800000000003</v>
      </c>
      <c r="Y89" s="730">
        <f t="shared" si="78"/>
        <v>3267.5098520000001</v>
      </c>
      <c r="Z89" s="730">
        <f t="shared" si="79"/>
        <v>35942.608372000002</v>
      </c>
      <c r="AA89" s="730">
        <f t="shared" si="80"/>
        <v>4070.191628</v>
      </c>
      <c r="AC89" s="729" t="s">
        <v>568</v>
      </c>
      <c r="AD89" s="687">
        <v>207054012</v>
      </c>
      <c r="AE89" s="730">
        <f t="shared" si="81"/>
        <v>215750.28050399999</v>
      </c>
      <c r="AG89" s="729" t="s">
        <v>377</v>
      </c>
      <c r="AH89" s="687">
        <v>5760000</v>
      </c>
      <c r="AI89" s="687">
        <v>948634</v>
      </c>
      <c r="AJ89" s="687">
        <v>4268853</v>
      </c>
      <c r="AK89" s="687">
        <v>1491147</v>
      </c>
      <c r="AL89" s="687">
        <f t="shared" si="82"/>
        <v>6001.92</v>
      </c>
      <c r="AM89" s="687">
        <f t="shared" si="83"/>
        <v>988.47662800000001</v>
      </c>
      <c r="AN89" s="687">
        <f t="shared" si="84"/>
        <v>4448.1448260000006</v>
      </c>
      <c r="AO89" s="687">
        <f t="shared" si="85"/>
        <v>1553.7751739999999</v>
      </c>
      <c r="AR89" s="729" t="s">
        <v>844</v>
      </c>
      <c r="AS89" s="687">
        <v>27389354</v>
      </c>
      <c r="AT89" s="687">
        <f t="shared" si="86"/>
        <v>28539.706868000001</v>
      </c>
      <c r="AV89" s="729" t="s">
        <v>377</v>
      </c>
      <c r="AW89" s="687">
        <v>5760000</v>
      </c>
      <c r="AX89" s="687">
        <v>1422951</v>
      </c>
      <c r="AY89" s="687">
        <v>4268853</v>
      </c>
      <c r="AZ89" s="687">
        <v>1491147</v>
      </c>
      <c r="BA89" s="730">
        <f t="shared" si="87"/>
        <v>6001.92</v>
      </c>
      <c r="BB89" s="730">
        <f t="shared" si="88"/>
        <v>1482.7149420000001</v>
      </c>
      <c r="BC89" s="730">
        <f t="shared" si="89"/>
        <v>4448.1448260000006</v>
      </c>
      <c r="BD89" s="730">
        <f t="shared" si="90"/>
        <v>1553.7751739999999</v>
      </c>
      <c r="BK89" s="754" t="s">
        <v>376</v>
      </c>
      <c r="BL89" s="687">
        <v>4842754</v>
      </c>
      <c r="BM89" s="687">
        <v>0</v>
      </c>
      <c r="BN89" s="687">
        <v>3783060</v>
      </c>
      <c r="BO89" s="687">
        <v>1059694</v>
      </c>
      <c r="BP89" s="687">
        <f t="shared" si="92"/>
        <v>5046.149668</v>
      </c>
      <c r="BQ89" s="687">
        <f t="shared" si="93"/>
        <v>0</v>
      </c>
      <c r="BR89" s="687">
        <f t="shared" si="94"/>
        <v>3941.9485199999999</v>
      </c>
      <c r="BS89" s="755">
        <f t="shared" si="95"/>
        <v>1104.2011480000001</v>
      </c>
      <c r="BV89" s="729" t="s">
        <v>390</v>
      </c>
      <c r="BW89" s="687">
        <v>1680000</v>
      </c>
      <c r="BX89" s="730">
        <f t="shared" si="96"/>
        <v>1750.5600000000002</v>
      </c>
      <c r="BZ89" s="729" t="s">
        <v>376</v>
      </c>
      <c r="CA89" s="687">
        <v>4842754</v>
      </c>
      <c r="CB89" s="687">
        <v>0</v>
      </c>
      <c r="CC89" s="687">
        <v>4204544</v>
      </c>
      <c r="CD89" s="687">
        <v>638210</v>
      </c>
      <c r="CE89" s="687">
        <f t="shared" si="97"/>
        <v>5046.149668</v>
      </c>
      <c r="CF89" s="687">
        <f t="shared" si="98"/>
        <v>0</v>
      </c>
      <c r="CG89" s="687">
        <f t="shared" si="99"/>
        <v>4381.1348479999997</v>
      </c>
      <c r="CH89" s="687">
        <f t="shared" si="100"/>
        <v>665.0148200000001</v>
      </c>
      <c r="CK89" s="731" t="s">
        <v>567</v>
      </c>
      <c r="CL89" s="730">
        <v>9518180</v>
      </c>
      <c r="CM89" s="730">
        <f t="shared" si="101"/>
        <v>9917.9435600000015</v>
      </c>
      <c r="CP89" s="731" t="s">
        <v>376</v>
      </c>
      <c r="CQ89" s="730">
        <v>4390263</v>
      </c>
      <c r="CR89" s="730">
        <v>0</v>
      </c>
      <c r="CS89" s="730">
        <v>4204544</v>
      </c>
      <c r="CT89" s="730">
        <v>185719</v>
      </c>
      <c r="CU89" s="730">
        <f t="shared" si="68"/>
        <v>4574.6540459999997</v>
      </c>
      <c r="CV89" s="730">
        <f t="shared" si="69"/>
        <v>0</v>
      </c>
      <c r="CW89" s="730">
        <f t="shared" si="70"/>
        <v>4381.1348479999997</v>
      </c>
      <c r="CX89" s="730">
        <f t="shared" si="71"/>
        <v>193.51919799999999</v>
      </c>
      <c r="CZ89" s="731" t="s">
        <v>566</v>
      </c>
      <c r="DA89" s="730">
        <v>9390390</v>
      </c>
      <c r="DB89" s="730">
        <f t="shared" si="102"/>
        <v>9784.7863799999996</v>
      </c>
      <c r="DE89" s="729" t="s">
        <v>376</v>
      </c>
      <c r="DF89" s="687">
        <v>4390263</v>
      </c>
      <c r="DG89" s="687">
        <v>0</v>
      </c>
      <c r="DH89" s="687">
        <v>4204544</v>
      </c>
      <c r="DI89" s="687">
        <v>185719</v>
      </c>
      <c r="DJ89" s="730">
        <f t="shared" si="103"/>
        <v>4574.6540459999997</v>
      </c>
      <c r="DK89" s="730">
        <f t="shared" si="104"/>
        <v>0</v>
      </c>
      <c r="DL89" s="730">
        <f t="shared" si="105"/>
        <v>4381.1348479999997</v>
      </c>
      <c r="DM89" s="730">
        <f t="shared" si="106"/>
        <v>193.51919799999999</v>
      </c>
      <c r="DP89" s="729" t="s">
        <v>390</v>
      </c>
      <c r="DQ89" s="687">
        <v>975000</v>
      </c>
      <c r="DR89" s="730">
        <f t="shared" si="107"/>
        <v>975</v>
      </c>
      <c r="DT89" s="729" t="s">
        <v>376</v>
      </c>
      <c r="DU89" s="687">
        <v>4390263</v>
      </c>
      <c r="DV89" s="687">
        <v>629961</v>
      </c>
      <c r="DW89" s="687">
        <v>4204544</v>
      </c>
      <c r="DX89" s="687">
        <v>185719</v>
      </c>
      <c r="DY89" s="730">
        <f t="shared" si="108"/>
        <v>4390.2629999999999</v>
      </c>
      <c r="DZ89" s="730">
        <f t="shared" si="109"/>
        <v>629.96100000000001</v>
      </c>
      <c r="EA89" s="730">
        <f t="shared" si="110"/>
        <v>4204.5439999999999</v>
      </c>
      <c r="EB89" s="730">
        <f t="shared" si="111"/>
        <v>185.71899999999999</v>
      </c>
      <c r="EE89" s="731" t="s">
        <v>392</v>
      </c>
      <c r="EF89" s="730">
        <v>24990000</v>
      </c>
      <c r="EG89" s="734">
        <f t="shared" si="112"/>
        <v>24990</v>
      </c>
      <c r="EI89" s="731" t="s">
        <v>374</v>
      </c>
      <c r="EJ89" s="730">
        <v>18621180</v>
      </c>
      <c r="EK89" s="730">
        <v>18240000</v>
      </c>
      <c r="EL89" s="730">
        <v>7970077</v>
      </c>
      <c r="EM89" s="734">
        <f t="shared" si="113"/>
        <v>18621.18</v>
      </c>
      <c r="EN89" s="734">
        <f t="shared" si="114"/>
        <v>18240</v>
      </c>
      <c r="EO89" s="734">
        <f t="shared" si="115"/>
        <v>7970.0770000000002</v>
      </c>
      <c r="ER89" s="729" t="s">
        <v>393</v>
      </c>
      <c r="ES89" s="687">
        <v>1066600</v>
      </c>
      <c r="ET89" s="730">
        <f t="shared" si="116"/>
        <v>1066.5999999999999</v>
      </c>
      <c r="EW89" s="729" t="s">
        <v>375</v>
      </c>
      <c r="EX89" s="687">
        <v>0</v>
      </c>
      <c r="EY89" s="687">
        <v>71047018</v>
      </c>
      <c r="EZ89" s="687">
        <v>38256042</v>
      </c>
      <c r="FA89" s="687">
        <v>71047018</v>
      </c>
      <c r="FB89" s="687">
        <v>0</v>
      </c>
      <c r="FC89" s="730">
        <f t="shared" si="126"/>
        <v>0</v>
      </c>
      <c r="FD89" s="730">
        <f t="shared" si="127"/>
        <v>71047.017999999996</v>
      </c>
      <c r="FE89" s="730">
        <f t="shared" si="128"/>
        <v>38256.042000000001</v>
      </c>
      <c r="FF89" s="730">
        <f t="shared" si="129"/>
        <v>71047.017999999996</v>
      </c>
      <c r="FG89" s="730">
        <f t="shared" si="130"/>
        <v>0</v>
      </c>
      <c r="FJ89" s="731" t="s">
        <v>821</v>
      </c>
      <c r="FK89" s="730">
        <v>100000</v>
      </c>
      <c r="FL89" s="734">
        <f t="shared" si="122"/>
        <v>100</v>
      </c>
      <c r="FN89" s="735" t="s">
        <v>374</v>
      </c>
      <c r="FO89" s="736">
        <v>13896315</v>
      </c>
      <c r="FP89" s="736">
        <v>13896314</v>
      </c>
      <c r="FQ89" s="736">
        <v>13896315</v>
      </c>
      <c r="FR89" s="736">
        <f t="shared" si="123"/>
        <v>13896.315000000001</v>
      </c>
      <c r="FS89" s="736">
        <f t="shared" si="124"/>
        <v>13896.314</v>
      </c>
      <c r="FT89" s="736">
        <f t="shared" si="125"/>
        <v>13896.315000000001</v>
      </c>
    </row>
    <row r="90" spans="1:176" ht="15" customHeight="1" x14ac:dyDescent="0.25">
      <c r="A90" s="728" t="s">
        <v>880</v>
      </c>
      <c r="B90" s="729" t="s">
        <v>557</v>
      </c>
      <c r="C90" s="687">
        <v>0</v>
      </c>
      <c r="D90" s="687">
        <v>16061790</v>
      </c>
      <c r="E90" s="687">
        <v>62190</v>
      </c>
      <c r="F90" s="687">
        <v>15999600</v>
      </c>
      <c r="G90" s="687">
        <v>62190</v>
      </c>
      <c r="H90" s="730">
        <f t="shared" si="72"/>
        <v>16736.385180000001</v>
      </c>
      <c r="I90" s="730">
        <f t="shared" si="73"/>
        <v>64.80198</v>
      </c>
      <c r="J90" s="730">
        <f t="shared" si="74"/>
        <v>16671.583200000001</v>
      </c>
      <c r="K90" s="730">
        <f t="shared" si="75"/>
        <v>64.80198</v>
      </c>
      <c r="O90" s="729"/>
      <c r="P90" s="687"/>
      <c r="Q90" s="730"/>
      <c r="S90" s="729" t="s">
        <v>378</v>
      </c>
      <c r="T90" s="687">
        <v>49732064</v>
      </c>
      <c r="U90" s="687">
        <v>1265082</v>
      </c>
      <c r="V90" s="687">
        <v>2284127</v>
      </c>
      <c r="W90" s="687">
        <v>47447937</v>
      </c>
      <c r="X90" s="730">
        <f t="shared" si="77"/>
        <v>51820.810687999998</v>
      </c>
      <c r="Y90" s="730">
        <f t="shared" si="78"/>
        <v>1318.2154440000002</v>
      </c>
      <c r="Z90" s="730">
        <f t="shared" si="79"/>
        <v>2380.0603340000002</v>
      </c>
      <c r="AA90" s="730">
        <f t="shared" si="80"/>
        <v>49440.750353999996</v>
      </c>
      <c r="AC90" s="729" t="s">
        <v>389</v>
      </c>
      <c r="AD90" s="687">
        <v>200987666</v>
      </c>
      <c r="AE90" s="730">
        <f t="shared" si="81"/>
        <v>209429.14797200001</v>
      </c>
      <c r="AG90" s="729" t="s">
        <v>556</v>
      </c>
      <c r="AH90" s="687">
        <v>38400000</v>
      </c>
      <c r="AI90" s="687">
        <v>9407418</v>
      </c>
      <c r="AJ90" s="687">
        <v>34493866</v>
      </c>
      <c r="AK90" s="687">
        <v>3906134</v>
      </c>
      <c r="AL90" s="687">
        <f t="shared" si="82"/>
        <v>40012.800000000003</v>
      </c>
      <c r="AM90" s="687">
        <f t="shared" si="83"/>
        <v>9802.5295559999995</v>
      </c>
      <c r="AN90" s="687">
        <f t="shared" si="84"/>
        <v>35942.608372000002</v>
      </c>
      <c r="AO90" s="687">
        <f t="shared" si="85"/>
        <v>4070.191628</v>
      </c>
      <c r="AR90" s="729" t="s">
        <v>577</v>
      </c>
      <c r="AS90" s="687">
        <v>6196225</v>
      </c>
      <c r="AT90" s="687">
        <f t="shared" si="86"/>
        <v>6456.4664500000008</v>
      </c>
      <c r="AV90" s="729" t="s">
        <v>556</v>
      </c>
      <c r="AW90" s="687">
        <v>38400000</v>
      </c>
      <c r="AX90" s="687">
        <v>12543224</v>
      </c>
      <c r="AY90" s="687">
        <v>34493866</v>
      </c>
      <c r="AZ90" s="687">
        <v>3906134</v>
      </c>
      <c r="BA90" s="730">
        <f t="shared" si="87"/>
        <v>40012.800000000003</v>
      </c>
      <c r="BB90" s="730">
        <f t="shared" si="88"/>
        <v>13070.039408000001</v>
      </c>
      <c r="BC90" s="730">
        <f t="shared" si="89"/>
        <v>35942.608372000002</v>
      </c>
      <c r="BD90" s="730">
        <f t="shared" si="90"/>
        <v>4070.191628</v>
      </c>
      <c r="BK90" s="754" t="s">
        <v>377</v>
      </c>
      <c r="BL90" s="687">
        <v>5760000</v>
      </c>
      <c r="BM90" s="687">
        <v>1897268</v>
      </c>
      <c r="BN90" s="687">
        <v>4268853</v>
      </c>
      <c r="BO90" s="687">
        <v>1491147</v>
      </c>
      <c r="BP90" s="687">
        <f t="shared" si="92"/>
        <v>6001.92</v>
      </c>
      <c r="BQ90" s="687">
        <f t="shared" si="93"/>
        <v>1976.953256</v>
      </c>
      <c r="BR90" s="687">
        <f t="shared" si="94"/>
        <v>4448.1448260000006</v>
      </c>
      <c r="BS90" s="755">
        <f t="shared" si="95"/>
        <v>1553.7751739999999</v>
      </c>
      <c r="BV90" s="729" t="s">
        <v>391</v>
      </c>
      <c r="BW90" s="687">
        <v>2666346</v>
      </c>
      <c r="BX90" s="730">
        <f t="shared" si="96"/>
        <v>2778.3325319999999</v>
      </c>
      <c r="BZ90" s="729" t="s">
        <v>377</v>
      </c>
      <c r="CA90" s="687">
        <v>5760000</v>
      </c>
      <c r="CB90" s="687">
        <v>2371585</v>
      </c>
      <c r="CC90" s="687">
        <v>4268853</v>
      </c>
      <c r="CD90" s="687">
        <v>1491147</v>
      </c>
      <c r="CE90" s="687">
        <f t="shared" si="97"/>
        <v>6001.92</v>
      </c>
      <c r="CF90" s="687">
        <f t="shared" si="98"/>
        <v>2471.19157</v>
      </c>
      <c r="CG90" s="687">
        <f t="shared" si="99"/>
        <v>4448.1448260000006</v>
      </c>
      <c r="CH90" s="687">
        <f t="shared" si="100"/>
        <v>1553.7751739999999</v>
      </c>
      <c r="CK90" s="731" t="s">
        <v>388</v>
      </c>
      <c r="CL90" s="730">
        <v>9488289</v>
      </c>
      <c r="CM90" s="730">
        <f t="shared" si="101"/>
        <v>9886.7971380000017</v>
      </c>
      <c r="CP90" s="731" t="s">
        <v>377</v>
      </c>
      <c r="CQ90" s="730">
        <v>5760000</v>
      </c>
      <c r="CR90" s="730">
        <v>2845902</v>
      </c>
      <c r="CS90" s="730">
        <v>4268853</v>
      </c>
      <c r="CT90" s="730">
        <v>1491147</v>
      </c>
      <c r="CU90" s="730">
        <f t="shared" si="68"/>
        <v>6001.92</v>
      </c>
      <c r="CV90" s="730">
        <f t="shared" si="69"/>
        <v>2965.4298840000001</v>
      </c>
      <c r="CW90" s="730">
        <f t="shared" si="70"/>
        <v>4448.1448260000006</v>
      </c>
      <c r="CX90" s="730">
        <f t="shared" si="71"/>
        <v>1553.7751739999999</v>
      </c>
      <c r="CZ90" s="731" t="s">
        <v>469</v>
      </c>
      <c r="DA90" s="730">
        <v>2388858</v>
      </c>
      <c r="DB90" s="730">
        <f t="shared" si="102"/>
        <v>2489.1900360000004</v>
      </c>
      <c r="DE90" s="729" t="s">
        <v>377</v>
      </c>
      <c r="DF90" s="687">
        <v>5360000</v>
      </c>
      <c r="DG90" s="687">
        <v>3320219</v>
      </c>
      <c r="DH90" s="687">
        <v>4268853</v>
      </c>
      <c r="DI90" s="687">
        <v>1091147</v>
      </c>
      <c r="DJ90" s="730">
        <f t="shared" si="103"/>
        <v>5585.12</v>
      </c>
      <c r="DK90" s="730">
        <f t="shared" si="104"/>
        <v>3459.6681980000003</v>
      </c>
      <c r="DL90" s="730">
        <f t="shared" si="105"/>
        <v>4448.1448260000006</v>
      </c>
      <c r="DM90" s="730">
        <f t="shared" si="106"/>
        <v>1136.9751739999999</v>
      </c>
      <c r="DP90" s="729" t="s">
        <v>392</v>
      </c>
      <c r="DQ90" s="687">
        <v>18921000</v>
      </c>
      <c r="DR90" s="730">
        <f t="shared" si="107"/>
        <v>18921</v>
      </c>
      <c r="DT90" s="729" t="s">
        <v>377</v>
      </c>
      <c r="DU90" s="687">
        <v>5360000</v>
      </c>
      <c r="DV90" s="687">
        <v>3794536</v>
      </c>
      <c r="DW90" s="687">
        <v>4268853</v>
      </c>
      <c r="DX90" s="687">
        <v>1091147</v>
      </c>
      <c r="DY90" s="730">
        <f t="shared" si="108"/>
        <v>5360</v>
      </c>
      <c r="DZ90" s="730">
        <f t="shared" si="109"/>
        <v>3794.5360000000001</v>
      </c>
      <c r="EA90" s="730">
        <f t="shared" si="110"/>
        <v>4268.8530000000001</v>
      </c>
      <c r="EB90" s="730">
        <f t="shared" si="111"/>
        <v>1091.1469999999999</v>
      </c>
      <c r="EE90" s="731" t="s">
        <v>569</v>
      </c>
      <c r="EF90" s="730">
        <v>1148476</v>
      </c>
      <c r="EG90" s="734">
        <f t="shared" si="112"/>
        <v>1148.4760000000001</v>
      </c>
      <c r="EI90" s="731" t="s">
        <v>375</v>
      </c>
      <c r="EJ90" s="730">
        <v>71624902</v>
      </c>
      <c r="EK90" s="730">
        <v>71047018</v>
      </c>
      <c r="EL90" s="730">
        <v>27325750</v>
      </c>
      <c r="EM90" s="734">
        <f t="shared" si="113"/>
        <v>71624.902000000002</v>
      </c>
      <c r="EN90" s="734">
        <f t="shared" si="114"/>
        <v>71047.017999999996</v>
      </c>
      <c r="EO90" s="734">
        <f t="shared" si="115"/>
        <v>27325.75</v>
      </c>
      <c r="ER90" s="729" t="s">
        <v>395</v>
      </c>
      <c r="ES90" s="687">
        <v>9565768</v>
      </c>
      <c r="ET90" s="730">
        <f t="shared" si="116"/>
        <v>9565.768</v>
      </c>
      <c r="EW90" s="729" t="s">
        <v>376</v>
      </c>
      <c r="EX90" s="687">
        <v>0</v>
      </c>
      <c r="EY90" s="687">
        <v>4203995</v>
      </c>
      <c r="EZ90" s="687">
        <v>3923005</v>
      </c>
      <c r="FA90" s="687">
        <v>4203995</v>
      </c>
      <c r="FB90" s="687">
        <v>0</v>
      </c>
      <c r="FC90" s="730">
        <f t="shared" si="126"/>
        <v>0</v>
      </c>
      <c r="FD90" s="730">
        <f t="shared" si="127"/>
        <v>4203.9949999999999</v>
      </c>
      <c r="FE90" s="730">
        <f t="shared" si="128"/>
        <v>3923.0050000000001</v>
      </c>
      <c r="FF90" s="730">
        <f t="shared" si="129"/>
        <v>4203.9949999999999</v>
      </c>
      <c r="FG90" s="730">
        <f t="shared" si="130"/>
        <v>0</v>
      </c>
      <c r="FJ90" s="731" t="s">
        <v>562</v>
      </c>
      <c r="FK90" s="730">
        <v>14959124</v>
      </c>
      <c r="FL90" s="734">
        <f t="shared" si="122"/>
        <v>14959.124</v>
      </c>
      <c r="FN90" s="735" t="s">
        <v>375</v>
      </c>
      <c r="FO90" s="736">
        <v>65843267</v>
      </c>
      <c r="FP90" s="736">
        <v>43721198</v>
      </c>
      <c r="FQ90" s="736">
        <v>65843267</v>
      </c>
      <c r="FR90" s="736">
        <f t="shared" si="123"/>
        <v>65843.267000000007</v>
      </c>
      <c r="FS90" s="736">
        <f t="shared" si="124"/>
        <v>43721.197999999997</v>
      </c>
      <c r="FT90" s="736">
        <f t="shared" si="125"/>
        <v>65843.267000000007</v>
      </c>
    </row>
    <row r="91" spans="1:176" ht="15" customHeight="1" x14ac:dyDescent="0.25">
      <c r="A91" s="728" t="s">
        <v>880</v>
      </c>
      <c r="B91" s="729" t="s">
        <v>558</v>
      </c>
      <c r="C91" s="687">
        <v>0</v>
      </c>
      <c r="D91" s="687">
        <v>20579900</v>
      </c>
      <c r="E91" s="687">
        <v>1507521</v>
      </c>
      <c r="F91" s="687">
        <v>19072379</v>
      </c>
      <c r="G91" s="687">
        <v>714957</v>
      </c>
      <c r="H91" s="730">
        <f t="shared" si="72"/>
        <v>21444.255800000003</v>
      </c>
      <c r="I91" s="730">
        <f t="shared" si="73"/>
        <v>1570.8368820000001</v>
      </c>
      <c r="J91" s="730">
        <f t="shared" si="74"/>
        <v>19873.418918000003</v>
      </c>
      <c r="K91" s="730">
        <f t="shared" si="75"/>
        <v>744.98519399999998</v>
      </c>
      <c r="O91" s="729"/>
      <c r="P91" s="687"/>
      <c r="Q91" s="730"/>
      <c r="S91" s="729" t="s">
        <v>557</v>
      </c>
      <c r="T91" s="687">
        <v>14891219</v>
      </c>
      <c r="U91" s="687">
        <v>62190</v>
      </c>
      <c r="V91" s="687">
        <v>62190</v>
      </c>
      <c r="W91" s="687">
        <v>14829029</v>
      </c>
      <c r="X91" s="730">
        <f t="shared" si="77"/>
        <v>15516.650197999999</v>
      </c>
      <c r="Y91" s="730">
        <f t="shared" si="78"/>
        <v>64.80198</v>
      </c>
      <c r="Z91" s="730">
        <f t="shared" si="79"/>
        <v>64.80198</v>
      </c>
      <c r="AA91" s="730">
        <f t="shared" si="80"/>
        <v>15451.848218000001</v>
      </c>
      <c r="AC91" s="729" t="s">
        <v>391</v>
      </c>
      <c r="AD91" s="687">
        <v>6066346</v>
      </c>
      <c r="AE91" s="730">
        <f t="shared" si="81"/>
        <v>6321.1325319999996</v>
      </c>
      <c r="AG91" s="729" t="s">
        <v>378</v>
      </c>
      <c r="AH91" s="687">
        <v>49246314</v>
      </c>
      <c r="AI91" s="687">
        <v>2861898</v>
      </c>
      <c r="AJ91" s="687">
        <v>5814973</v>
      </c>
      <c r="AK91" s="687">
        <v>43431341</v>
      </c>
      <c r="AL91" s="687">
        <f t="shared" si="82"/>
        <v>51314.659187999998</v>
      </c>
      <c r="AM91" s="687">
        <f t="shared" si="83"/>
        <v>2982.0977160000002</v>
      </c>
      <c r="AN91" s="687">
        <f t="shared" si="84"/>
        <v>6059.2018660000003</v>
      </c>
      <c r="AO91" s="687">
        <f t="shared" si="85"/>
        <v>45255.457322000002</v>
      </c>
      <c r="AR91" s="729" t="s">
        <v>398</v>
      </c>
      <c r="AS91" s="687">
        <v>6196225</v>
      </c>
      <c r="AT91" s="687">
        <f t="shared" si="86"/>
        <v>6456.4664500000008</v>
      </c>
      <c r="AV91" s="729" t="s">
        <v>378</v>
      </c>
      <c r="AW91" s="687">
        <v>46095632</v>
      </c>
      <c r="AX91" s="687">
        <v>6404318</v>
      </c>
      <c r="AY91" s="687">
        <v>9553570</v>
      </c>
      <c r="AZ91" s="687">
        <v>36542062</v>
      </c>
      <c r="BA91" s="730">
        <f t="shared" si="87"/>
        <v>48031.648543999996</v>
      </c>
      <c r="BB91" s="730">
        <f t="shared" si="88"/>
        <v>6673.2993560000004</v>
      </c>
      <c r="BC91" s="730">
        <f t="shared" si="89"/>
        <v>9954.8199399999994</v>
      </c>
      <c r="BD91" s="730">
        <f t="shared" si="90"/>
        <v>38076.828604000002</v>
      </c>
      <c r="BK91" s="754" t="s">
        <v>556</v>
      </c>
      <c r="BL91" s="687">
        <v>38400000</v>
      </c>
      <c r="BM91" s="687">
        <v>15679030</v>
      </c>
      <c r="BN91" s="687">
        <v>34937815</v>
      </c>
      <c r="BO91" s="687">
        <v>3462185</v>
      </c>
      <c r="BP91" s="687">
        <f t="shared" si="92"/>
        <v>40012.800000000003</v>
      </c>
      <c r="BQ91" s="687">
        <f t="shared" si="93"/>
        <v>16337.549260000002</v>
      </c>
      <c r="BR91" s="687">
        <f t="shared" si="94"/>
        <v>36405.203230000006</v>
      </c>
      <c r="BS91" s="755">
        <f t="shared" si="95"/>
        <v>3607.5967700000001</v>
      </c>
      <c r="BV91" s="729" t="s">
        <v>569</v>
      </c>
      <c r="BW91" s="687">
        <v>855535</v>
      </c>
      <c r="BX91" s="730">
        <f t="shared" si="96"/>
        <v>891.46747000000005</v>
      </c>
      <c r="BZ91" s="729" t="s">
        <v>556</v>
      </c>
      <c r="CA91" s="687">
        <v>40458000</v>
      </c>
      <c r="CB91" s="687">
        <v>18814836</v>
      </c>
      <c r="CC91" s="687">
        <v>36601435</v>
      </c>
      <c r="CD91" s="687">
        <v>3856565</v>
      </c>
      <c r="CE91" s="687">
        <f t="shared" si="97"/>
        <v>42157.236000000004</v>
      </c>
      <c r="CF91" s="687">
        <f t="shared" si="98"/>
        <v>19605.059111999999</v>
      </c>
      <c r="CG91" s="687">
        <f t="shared" si="99"/>
        <v>38138.695269999997</v>
      </c>
      <c r="CH91" s="687">
        <f t="shared" si="100"/>
        <v>4018.5407300000002</v>
      </c>
      <c r="CK91" s="731" t="s">
        <v>478</v>
      </c>
      <c r="CL91" s="730">
        <v>29891</v>
      </c>
      <c r="CM91" s="730">
        <f t="shared" si="101"/>
        <v>31.146421999999998</v>
      </c>
      <c r="CP91" s="731" t="s">
        <v>556</v>
      </c>
      <c r="CQ91" s="730">
        <v>41517100</v>
      </c>
      <c r="CR91" s="730">
        <v>20478456</v>
      </c>
      <c r="CS91" s="730">
        <v>38018310</v>
      </c>
      <c r="CT91" s="730">
        <v>3498790</v>
      </c>
      <c r="CU91" s="730">
        <f t="shared" si="68"/>
        <v>43260.818200000002</v>
      </c>
      <c r="CV91" s="730">
        <f t="shared" si="69"/>
        <v>21338.551152</v>
      </c>
      <c r="CW91" s="730">
        <f t="shared" si="70"/>
        <v>39615.079019999997</v>
      </c>
      <c r="CX91" s="730">
        <f t="shared" si="71"/>
        <v>3645.73918</v>
      </c>
      <c r="CZ91" s="731" t="s">
        <v>568</v>
      </c>
      <c r="DA91" s="730">
        <v>200054653</v>
      </c>
      <c r="DB91" s="730">
        <f t="shared" si="102"/>
        <v>208456.94842599999</v>
      </c>
      <c r="DE91" s="729" t="s">
        <v>556</v>
      </c>
      <c r="DF91" s="687">
        <v>41788248</v>
      </c>
      <c r="DG91" s="687">
        <v>20478456</v>
      </c>
      <c r="DH91" s="687">
        <v>38018310</v>
      </c>
      <c r="DI91" s="687">
        <v>3769938</v>
      </c>
      <c r="DJ91" s="730">
        <f t="shared" si="103"/>
        <v>43543.354416000002</v>
      </c>
      <c r="DK91" s="730">
        <f t="shared" si="104"/>
        <v>21338.551152</v>
      </c>
      <c r="DL91" s="730">
        <f t="shared" si="105"/>
        <v>39615.079019999997</v>
      </c>
      <c r="DM91" s="730">
        <f t="shared" si="106"/>
        <v>3928.2753960000005</v>
      </c>
      <c r="DP91" s="729" t="s">
        <v>569</v>
      </c>
      <c r="DQ91" s="687">
        <v>913980</v>
      </c>
      <c r="DR91" s="730">
        <f t="shared" si="107"/>
        <v>913.98</v>
      </c>
      <c r="DT91" s="729" t="s">
        <v>556</v>
      </c>
      <c r="DU91" s="687">
        <v>41788248</v>
      </c>
      <c r="DV91" s="687">
        <v>30944974</v>
      </c>
      <c r="DW91" s="687">
        <v>38018310</v>
      </c>
      <c r="DX91" s="687">
        <v>3769938</v>
      </c>
      <c r="DY91" s="730">
        <f t="shared" si="108"/>
        <v>41788.248</v>
      </c>
      <c r="DZ91" s="730">
        <f t="shared" si="109"/>
        <v>30944.973999999998</v>
      </c>
      <c r="EA91" s="730">
        <f t="shared" si="110"/>
        <v>38018.31</v>
      </c>
      <c r="EB91" s="730">
        <f t="shared" si="111"/>
        <v>3769.9380000000001</v>
      </c>
      <c r="EE91" s="731" t="s">
        <v>393</v>
      </c>
      <c r="EF91" s="730">
        <v>1148476</v>
      </c>
      <c r="EG91" s="734">
        <f t="shared" si="112"/>
        <v>1148.4760000000001</v>
      </c>
      <c r="EI91" s="731" t="s">
        <v>376</v>
      </c>
      <c r="EJ91" s="730">
        <v>4390263</v>
      </c>
      <c r="EK91" s="730">
        <v>4204544</v>
      </c>
      <c r="EL91" s="730">
        <v>3923005</v>
      </c>
      <c r="EM91" s="734">
        <f t="shared" si="113"/>
        <v>4390.2629999999999</v>
      </c>
      <c r="EN91" s="734">
        <f t="shared" si="114"/>
        <v>4204.5439999999999</v>
      </c>
      <c r="EO91" s="734">
        <f t="shared" si="115"/>
        <v>3923.0050000000001</v>
      </c>
      <c r="ER91" s="729" t="s">
        <v>396</v>
      </c>
      <c r="ES91" s="687">
        <v>9565768</v>
      </c>
      <c r="ET91" s="730">
        <f t="shared" si="116"/>
        <v>9565.768</v>
      </c>
      <c r="EW91" s="729" t="s">
        <v>377</v>
      </c>
      <c r="EX91" s="687">
        <v>0</v>
      </c>
      <c r="EY91" s="687">
        <v>4268853</v>
      </c>
      <c r="EZ91" s="687">
        <v>4268853</v>
      </c>
      <c r="FA91" s="687">
        <v>4268853</v>
      </c>
      <c r="FB91" s="687">
        <v>0</v>
      </c>
      <c r="FC91" s="730">
        <f t="shared" si="126"/>
        <v>0</v>
      </c>
      <c r="FD91" s="730">
        <f t="shared" si="127"/>
        <v>4268.8530000000001</v>
      </c>
      <c r="FE91" s="730">
        <f t="shared" si="128"/>
        <v>4268.8530000000001</v>
      </c>
      <c r="FF91" s="730">
        <f t="shared" si="129"/>
        <v>4268.8530000000001</v>
      </c>
      <c r="FG91" s="730">
        <f t="shared" si="130"/>
        <v>0</v>
      </c>
      <c r="FJ91" s="731" t="s">
        <v>563</v>
      </c>
      <c r="FK91" s="730">
        <v>10960800</v>
      </c>
      <c r="FL91" s="734">
        <f t="shared" si="122"/>
        <v>10960.8</v>
      </c>
      <c r="FN91" s="735" t="s">
        <v>376</v>
      </c>
      <c r="FO91" s="736">
        <v>3923005</v>
      </c>
      <c r="FP91" s="736">
        <v>3923005</v>
      </c>
      <c r="FQ91" s="736">
        <v>3923005</v>
      </c>
      <c r="FR91" s="736">
        <f t="shared" si="123"/>
        <v>3923.0050000000001</v>
      </c>
      <c r="FS91" s="736">
        <f t="shared" si="124"/>
        <v>3923.0050000000001</v>
      </c>
      <c r="FT91" s="736">
        <f t="shared" si="125"/>
        <v>3923.0050000000001</v>
      </c>
    </row>
    <row r="92" spans="1:176" ht="15" customHeight="1" x14ac:dyDescent="0.25">
      <c r="A92" s="728" t="s">
        <v>880</v>
      </c>
      <c r="B92" s="729" t="s">
        <v>559</v>
      </c>
      <c r="C92" s="687">
        <v>0</v>
      </c>
      <c r="D92" s="687">
        <v>3000000</v>
      </c>
      <c r="E92" s="687">
        <v>0</v>
      </c>
      <c r="F92" s="687">
        <v>3000000</v>
      </c>
      <c r="G92" s="687">
        <v>0</v>
      </c>
      <c r="H92" s="730">
        <f t="shared" si="72"/>
        <v>3126</v>
      </c>
      <c r="I92" s="730">
        <f t="shared" si="73"/>
        <v>0</v>
      </c>
      <c r="J92" s="730">
        <f t="shared" si="74"/>
        <v>3126</v>
      </c>
      <c r="K92" s="730">
        <f t="shared" si="75"/>
        <v>0</v>
      </c>
      <c r="O92" s="729"/>
      <c r="P92" s="687"/>
      <c r="Q92" s="730"/>
      <c r="S92" s="729" t="s">
        <v>558</v>
      </c>
      <c r="T92" s="687">
        <v>20579900</v>
      </c>
      <c r="U92" s="687">
        <v>1202892</v>
      </c>
      <c r="V92" s="687">
        <v>2221937</v>
      </c>
      <c r="W92" s="687">
        <v>18357963</v>
      </c>
      <c r="X92" s="730">
        <f t="shared" si="77"/>
        <v>21444.255800000003</v>
      </c>
      <c r="Y92" s="730">
        <f t="shared" si="78"/>
        <v>1253.4134640000002</v>
      </c>
      <c r="Z92" s="730">
        <f t="shared" si="79"/>
        <v>2315.2583540000001</v>
      </c>
      <c r="AA92" s="730">
        <f t="shared" si="80"/>
        <v>19128.997446000001</v>
      </c>
      <c r="AC92" s="729" t="s">
        <v>569</v>
      </c>
      <c r="AD92" s="687">
        <v>901651</v>
      </c>
      <c r="AE92" s="730">
        <f t="shared" si="81"/>
        <v>939.52034200000003</v>
      </c>
      <c r="AG92" s="729" t="s">
        <v>557</v>
      </c>
      <c r="AH92" s="687">
        <v>14385469</v>
      </c>
      <c r="AI92" s="687">
        <v>62190</v>
      </c>
      <c r="AJ92" s="687">
        <v>62190</v>
      </c>
      <c r="AK92" s="687">
        <v>14323279</v>
      </c>
      <c r="AL92" s="687">
        <f t="shared" si="82"/>
        <v>14989.658697999999</v>
      </c>
      <c r="AM92" s="687">
        <f t="shared" si="83"/>
        <v>64.80198</v>
      </c>
      <c r="AN92" s="687">
        <f t="shared" si="84"/>
        <v>64.80198</v>
      </c>
      <c r="AO92" s="687">
        <f t="shared" si="85"/>
        <v>14924.856718000001</v>
      </c>
      <c r="AR92" s="729" t="s">
        <v>579</v>
      </c>
      <c r="AS92" s="687">
        <v>380800</v>
      </c>
      <c r="AT92" s="687">
        <f t="shared" si="86"/>
        <v>396.79360000000003</v>
      </c>
      <c r="AV92" s="729" t="s">
        <v>557</v>
      </c>
      <c r="AW92" s="687">
        <v>14467969</v>
      </c>
      <c r="AX92" s="687">
        <v>2043930</v>
      </c>
      <c r="AY92" s="687">
        <v>2043930</v>
      </c>
      <c r="AZ92" s="687">
        <v>12424039</v>
      </c>
      <c r="BA92" s="730">
        <f t="shared" si="87"/>
        <v>15075.623697999999</v>
      </c>
      <c r="BB92" s="730">
        <f t="shared" si="88"/>
        <v>2129.7750599999999</v>
      </c>
      <c r="BC92" s="730">
        <f t="shared" si="89"/>
        <v>2129.7750599999999</v>
      </c>
      <c r="BD92" s="730">
        <f t="shared" si="90"/>
        <v>12945.848638000001</v>
      </c>
      <c r="BK92" s="754" t="s">
        <v>378</v>
      </c>
      <c r="BL92" s="687">
        <v>54623745</v>
      </c>
      <c r="BM92" s="687">
        <v>7143986</v>
      </c>
      <c r="BN92" s="687">
        <v>11802311</v>
      </c>
      <c r="BO92" s="687">
        <v>42821434</v>
      </c>
      <c r="BP92" s="687">
        <f t="shared" si="92"/>
        <v>56917.942290000006</v>
      </c>
      <c r="BQ92" s="687">
        <f t="shared" si="93"/>
        <v>7444.0334119999998</v>
      </c>
      <c r="BR92" s="687">
        <f t="shared" si="94"/>
        <v>12298.008062000001</v>
      </c>
      <c r="BS92" s="755">
        <f t="shared" si="95"/>
        <v>44619.934228000006</v>
      </c>
      <c r="BV92" s="729" t="s">
        <v>393</v>
      </c>
      <c r="BW92" s="687">
        <v>855535</v>
      </c>
      <c r="BX92" s="730">
        <f t="shared" si="96"/>
        <v>891.46747000000005</v>
      </c>
      <c r="BZ92" s="729" t="s">
        <v>378</v>
      </c>
      <c r="CA92" s="687">
        <v>56782575</v>
      </c>
      <c r="CB92" s="687">
        <v>8484418</v>
      </c>
      <c r="CC92" s="687">
        <v>13923248</v>
      </c>
      <c r="CD92" s="687">
        <v>42859327</v>
      </c>
      <c r="CE92" s="687">
        <f t="shared" si="97"/>
        <v>59167.443149999999</v>
      </c>
      <c r="CF92" s="687">
        <f t="shared" si="98"/>
        <v>8840.7635559999999</v>
      </c>
      <c r="CG92" s="687">
        <f t="shared" si="99"/>
        <v>14508.024416</v>
      </c>
      <c r="CH92" s="687">
        <f t="shared" si="100"/>
        <v>44659.418733999999</v>
      </c>
      <c r="CK92" s="731" t="s">
        <v>568</v>
      </c>
      <c r="CL92" s="730">
        <v>159147181</v>
      </c>
      <c r="CM92" s="730">
        <f t="shared" si="101"/>
        <v>165831.36260200001</v>
      </c>
      <c r="CP92" s="731" t="s">
        <v>378</v>
      </c>
      <c r="CQ92" s="730">
        <v>58396189</v>
      </c>
      <c r="CR92" s="730">
        <v>11992880</v>
      </c>
      <c r="CS92" s="730">
        <v>17487258</v>
      </c>
      <c r="CT92" s="730">
        <v>40908931</v>
      </c>
      <c r="CU92" s="730">
        <f t="shared" si="68"/>
        <v>60848.828937999999</v>
      </c>
      <c r="CV92" s="730">
        <f t="shared" si="69"/>
        <v>12496.580959999999</v>
      </c>
      <c r="CW92" s="730">
        <f t="shared" si="70"/>
        <v>18221.722836000001</v>
      </c>
      <c r="CX92" s="730">
        <f t="shared" si="71"/>
        <v>42627.106101999998</v>
      </c>
      <c r="CZ92" s="731" t="s">
        <v>389</v>
      </c>
      <c r="DA92" s="730">
        <v>146819989</v>
      </c>
      <c r="DB92" s="730">
        <f t="shared" si="102"/>
        <v>152986.42853800001</v>
      </c>
      <c r="DE92" s="729" t="s">
        <v>378</v>
      </c>
      <c r="DF92" s="687">
        <v>179533767</v>
      </c>
      <c r="DG92" s="687">
        <v>16392682</v>
      </c>
      <c r="DH92" s="687">
        <v>27107497</v>
      </c>
      <c r="DI92" s="687">
        <v>152426270</v>
      </c>
      <c r="DJ92" s="730">
        <f t="shared" si="103"/>
        <v>187074.185214</v>
      </c>
      <c r="DK92" s="730">
        <f t="shared" si="104"/>
        <v>17081.174644000002</v>
      </c>
      <c r="DL92" s="730">
        <f t="shared" si="105"/>
        <v>28246.011874</v>
      </c>
      <c r="DM92" s="730">
        <f t="shared" si="106"/>
        <v>158828.17334000001</v>
      </c>
      <c r="DP92" s="729" t="s">
        <v>393</v>
      </c>
      <c r="DQ92" s="687">
        <v>913980</v>
      </c>
      <c r="DR92" s="730">
        <f t="shared" si="107"/>
        <v>913.98</v>
      </c>
      <c r="DT92" s="729" t="s">
        <v>378</v>
      </c>
      <c r="DU92" s="687">
        <v>180815927</v>
      </c>
      <c r="DV92" s="687">
        <v>17360377</v>
      </c>
      <c r="DW92" s="687">
        <v>38779447</v>
      </c>
      <c r="DX92" s="687">
        <v>142036480</v>
      </c>
      <c r="DY92" s="730">
        <f t="shared" si="108"/>
        <v>180815.927</v>
      </c>
      <c r="DZ92" s="730">
        <f t="shared" si="109"/>
        <v>17360.377</v>
      </c>
      <c r="EA92" s="730">
        <f t="shared" si="110"/>
        <v>38779.447</v>
      </c>
      <c r="EB92" s="730">
        <f t="shared" si="111"/>
        <v>142036.48000000001</v>
      </c>
      <c r="EE92" s="731" t="s">
        <v>395</v>
      </c>
      <c r="EF92" s="730">
        <v>8223634</v>
      </c>
      <c r="EG92" s="734">
        <f t="shared" si="112"/>
        <v>8223.634</v>
      </c>
      <c r="EI92" s="731" t="s">
        <v>377</v>
      </c>
      <c r="EJ92" s="730">
        <v>5356617</v>
      </c>
      <c r="EK92" s="730">
        <v>4268853</v>
      </c>
      <c r="EL92" s="730">
        <v>4268853</v>
      </c>
      <c r="EM92" s="734">
        <f t="shared" si="113"/>
        <v>5356.6170000000002</v>
      </c>
      <c r="EN92" s="734">
        <f t="shared" si="114"/>
        <v>4268.8530000000001</v>
      </c>
      <c r="EO92" s="734">
        <f t="shared" si="115"/>
        <v>4268.8530000000001</v>
      </c>
      <c r="ER92" s="729" t="s">
        <v>499</v>
      </c>
      <c r="ES92" s="687">
        <v>9565768</v>
      </c>
      <c r="ET92" s="730">
        <f t="shared" si="116"/>
        <v>9565.768</v>
      </c>
      <c r="EW92" s="729" t="s">
        <v>556</v>
      </c>
      <c r="EX92" s="687">
        <v>0</v>
      </c>
      <c r="EY92" s="687">
        <v>44172893</v>
      </c>
      <c r="EZ92" s="687">
        <v>34894755</v>
      </c>
      <c r="FA92" s="687">
        <v>43712893</v>
      </c>
      <c r="FB92" s="687">
        <v>460000</v>
      </c>
      <c r="FC92" s="730">
        <f t="shared" si="126"/>
        <v>0</v>
      </c>
      <c r="FD92" s="730">
        <f t="shared" si="127"/>
        <v>44172.892999999996</v>
      </c>
      <c r="FE92" s="730">
        <f t="shared" si="128"/>
        <v>34894.754999999997</v>
      </c>
      <c r="FF92" s="730">
        <f t="shared" si="129"/>
        <v>43712.892999999996</v>
      </c>
      <c r="FG92" s="730">
        <f t="shared" si="130"/>
        <v>460</v>
      </c>
      <c r="FJ92" s="731" t="s">
        <v>564</v>
      </c>
      <c r="FK92" s="730">
        <v>246846</v>
      </c>
      <c r="FL92" s="734">
        <f t="shared" si="122"/>
        <v>246.846</v>
      </c>
      <c r="FN92" s="735" t="s">
        <v>377</v>
      </c>
      <c r="FO92" s="736">
        <v>4268853</v>
      </c>
      <c r="FP92" s="736">
        <v>4268853</v>
      </c>
      <c r="FQ92" s="736">
        <v>4268853</v>
      </c>
      <c r="FR92" s="736">
        <f t="shared" si="123"/>
        <v>4268.8530000000001</v>
      </c>
      <c r="FS92" s="736">
        <f t="shared" si="124"/>
        <v>4268.8530000000001</v>
      </c>
      <c r="FT92" s="736">
        <f t="shared" si="125"/>
        <v>4268.8530000000001</v>
      </c>
    </row>
    <row r="93" spans="1:176" ht="15" customHeight="1" x14ac:dyDescent="0.25">
      <c r="A93" s="728" t="s">
        <v>880</v>
      </c>
      <c r="B93" s="729" t="s">
        <v>561</v>
      </c>
      <c r="C93" s="687">
        <v>0</v>
      </c>
      <c r="D93" s="687">
        <v>11260945</v>
      </c>
      <c r="E93" s="687">
        <v>0</v>
      </c>
      <c r="F93" s="687">
        <v>11260945</v>
      </c>
      <c r="G93" s="687">
        <v>0</v>
      </c>
      <c r="H93" s="730">
        <f t="shared" si="72"/>
        <v>11733.904689999999</v>
      </c>
      <c r="I93" s="730">
        <f t="shared" si="73"/>
        <v>0</v>
      </c>
      <c r="J93" s="730">
        <f t="shared" si="74"/>
        <v>11733.904689999999</v>
      </c>
      <c r="K93" s="730">
        <f t="shared" si="75"/>
        <v>0</v>
      </c>
      <c r="O93" s="729"/>
      <c r="P93" s="687"/>
      <c r="Q93" s="730"/>
      <c r="S93" s="729" t="s">
        <v>559</v>
      </c>
      <c r="T93" s="687">
        <v>3000000</v>
      </c>
      <c r="U93" s="687">
        <v>0</v>
      </c>
      <c r="V93" s="687">
        <v>0</v>
      </c>
      <c r="W93" s="687">
        <v>3000000</v>
      </c>
      <c r="X93" s="730">
        <f t="shared" si="77"/>
        <v>3126</v>
      </c>
      <c r="Y93" s="730">
        <f t="shared" si="78"/>
        <v>0</v>
      </c>
      <c r="Z93" s="730">
        <f t="shared" si="79"/>
        <v>0</v>
      </c>
      <c r="AA93" s="730">
        <f t="shared" si="80"/>
        <v>3126</v>
      </c>
      <c r="AC93" s="729" t="s">
        <v>393</v>
      </c>
      <c r="AD93" s="687">
        <v>901651</v>
      </c>
      <c r="AE93" s="730">
        <f t="shared" si="81"/>
        <v>939.52034200000003</v>
      </c>
      <c r="AG93" s="729" t="s">
        <v>558</v>
      </c>
      <c r="AH93" s="687">
        <v>20599900</v>
      </c>
      <c r="AI93" s="687">
        <v>2256217</v>
      </c>
      <c r="AJ93" s="687">
        <v>2491838</v>
      </c>
      <c r="AK93" s="687">
        <v>18108062</v>
      </c>
      <c r="AL93" s="687">
        <f t="shared" si="82"/>
        <v>21465.095800000003</v>
      </c>
      <c r="AM93" s="687">
        <f t="shared" si="83"/>
        <v>2350.978114</v>
      </c>
      <c r="AN93" s="687">
        <f t="shared" si="84"/>
        <v>2596.4951960000003</v>
      </c>
      <c r="AO93" s="687">
        <f t="shared" si="85"/>
        <v>18868.600604000003</v>
      </c>
      <c r="AR93" s="729" t="s">
        <v>762</v>
      </c>
      <c r="AS93" s="687">
        <v>5815425</v>
      </c>
      <c r="AT93" s="687">
        <f t="shared" si="86"/>
        <v>6059.6728500000008</v>
      </c>
      <c r="AV93" s="729" t="s">
        <v>558</v>
      </c>
      <c r="AW93" s="687">
        <v>20266718</v>
      </c>
      <c r="AX93" s="687">
        <v>3173406</v>
      </c>
      <c r="AY93" s="687">
        <v>4148695</v>
      </c>
      <c r="AZ93" s="687">
        <v>16118023</v>
      </c>
      <c r="BA93" s="730">
        <f t="shared" si="87"/>
        <v>21117.920156</v>
      </c>
      <c r="BB93" s="730">
        <f t="shared" si="88"/>
        <v>3306.6890520000002</v>
      </c>
      <c r="BC93" s="730">
        <f t="shared" si="89"/>
        <v>4322.9401900000003</v>
      </c>
      <c r="BD93" s="730">
        <f t="shared" si="90"/>
        <v>16794.979965999999</v>
      </c>
      <c r="BK93" s="754" t="s">
        <v>557</v>
      </c>
      <c r="BL93" s="687">
        <v>23447968</v>
      </c>
      <c r="BM93" s="687">
        <v>2043930</v>
      </c>
      <c r="BN93" s="687">
        <v>3614730</v>
      </c>
      <c r="BO93" s="687">
        <v>19833238</v>
      </c>
      <c r="BP93" s="687">
        <f t="shared" si="92"/>
        <v>24432.782656000003</v>
      </c>
      <c r="BQ93" s="687">
        <f t="shared" si="93"/>
        <v>2129.7750599999999</v>
      </c>
      <c r="BR93" s="687">
        <f t="shared" si="94"/>
        <v>3766.5486599999999</v>
      </c>
      <c r="BS93" s="755">
        <f t="shared" si="95"/>
        <v>20666.233996000003</v>
      </c>
      <c r="BV93" s="729" t="s">
        <v>395</v>
      </c>
      <c r="BW93" s="687">
        <v>265788283</v>
      </c>
      <c r="BX93" s="730">
        <f t="shared" si="96"/>
        <v>276951.39088600001</v>
      </c>
      <c r="BZ93" s="729" t="s">
        <v>557</v>
      </c>
      <c r="CA93" s="687">
        <v>23758844</v>
      </c>
      <c r="CB93" s="687">
        <v>2043930</v>
      </c>
      <c r="CC93" s="687">
        <v>4259244</v>
      </c>
      <c r="CD93" s="687">
        <v>19499600</v>
      </c>
      <c r="CE93" s="687">
        <f t="shared" si="97"/>
        <v>24756.715448000003</v>
      </c>
      <c r="CF93" s="687">
        <f t="shared" si="98"/>
        <v>2129.7750599999999</v>
      </c>
      <c r="CG93" s="687">
        <f t="shared" si="99"/>
        <v>4438.1322479999999</v>
      </c>
      <c r="CH93" s="687">
        <f t="shared" si="100"/>
        <v>20318.583200000001</v>
      </c>
      <c r="CK93" s="731" t="s">
        <v>389</v>
      </c>
      <c r="CL93" s="730">
        <v>50383020</v>
      </c>
      <c r="CM93" s="730">
        <f t="shared" si="101"/>
        <v>52499.10684</v>
      </c>
      <c r="CP93" s="731" t="s">
        <v>557</v>
      </c>
      <c r="CQ93" s="730">
        <v>25534324</v>
      </c>
      <c r="CR93" s="730">
        <v>4170730</v>
      </c>
      <c r="CS93" s="730">
        <v>6034724</v>
      </c>
      <c r="CT93" s="730">
        <v>19499600</v>
      </c>
      <c r="CU93" s="730">
        <f t="shared" si="68"/>
        <v>26606.765608000002</v>
      </c>
      <c r="CV93" s="730">
        <f t="shared" si="69"/>
        <v>4345.9006599999993</v>
      </c>
      <c r="CW93" s="730">
        <f t="shared" si="70"/>
        <v>6288.1824080000006</v>
      </c>
      <c r="CX93" s="730">
        <f t="shared" si="71"/>
        <v>20318.583200000001</v>
      </c>
      <c r="CZ93" s="731" t="s">
        <v>390</v>
      </c>
      <c r="DA93" s="730">
        <v>1400000</v>
      </c>
      <c r="DB93" s="730">
        <f t="shared" si="102"/>
        <v>1458.8</v>
      </c>
      <c r="DE93" s="729" t="s">
        <v>557</v>
      </c>
      <c r="DF93" s="687">
        <v>145733530</v>
      </c>
      <c r="DG93" s="687">
        <v>5574930</v>
      </c>
      <c r="DH93" s="687">
        <v>14306842</v>
      </c>
      <c r="DI93" s="687">
        <v>131426688</v>
      </c>
      <c r="DJ93" s="730">
        <f t="shared" si="103"/>
        <v>151854.33826000002</v>
      </c>
      <c r="DK93" s="730">
        <f t="shared" si="104"/>
        <v>5809.0770600000005</v>
      </c>
      <c r="DL93" s="730">
        <f t="shared" si="105"/>
        <v>14907.729364000001</v>
      </c>
      <c r="DM93" s="730">
        <f t="shared" si="106"/>
        <v>136946.60889599999</v>
      </c>
      <c r="DP93" s="729" t="s">
        <v>395</v>
      </c>
      <c r="DQ93" s="687">
        <v>6232065</v>
      </c>
      <c r="DR93" s="730">
        <f t="shared" si="107"/>
        <v>6232.0649999999996</v>
      </c>
      <c r="DT93" s="729" t="s">
        <v>557</v>
      </c>
      <c r="DU93" s="687">
        <v>146824760</v>
      </c>
      <c r="DV93" s="687">
        <v>5946210</v>
      </c>
      <c r="DW93" s="687">
        <v>23897407</v>
      </c>
      <c r="DX93" s="687">
        <v>122927353</v>
      </c>
      <c r="DY93" s="730">
        <f t="shared" si="108"/>
        <v>146824.76</v>
      </c>
      <c r="DZ93" s="730">
        <f t="shared" si="109"/>
        <v>5946.21</v>
      </c>
      <c r="EA93" s="730">
        <f t="shared" si="110"/>
        <v>23897.406999999999</v>
      </c>
      <c r="EB93" s="730">
        <f t="shared" si="111"/>
        <v>122927.353</v>
      </c>
      <c r="EE93" s="731" t="s">
        <v>396</v>
      </c>
      <c r="EF93" s="730">
        <v>8223634</v>
      </c>
      <c r="EG93" s="734">
        <f t="shared" si="112"/>
        <v>8223.634</v>
      </c>
      <c r="EI93" s="731" t="s">
        <v>556</v>
      </c>
      <c r="EJ93" s="730">
        <v>41795239</v>
      </c>
      <c r="EK93" s="730">
        <v>38021918</v>
      </c>
      <c r="EL93" s="730">
        <v>34080780</v>
      </c>
      <c r="EM93" s="734">
        <f t="shared" si="113"/>
        <v>41795.239000000001</v>
      </c>
      <c r="EN93" s="734">
        <f t="shared" si="114"/>
        <v>38021.917999999998</v>
      </c>
      <c r="EO93" s="734">
        <f t="shared" si="115"/>
        <v>34080.78</v>
      </c>
      <c r="ER93" s="729" t="s">
        <v>594</v>
      </c>
      <c r="ES93" s="687">
        <v>70336353</v>
      </c>
      <c r="ET93" s="730">
        <f t="shared" si="116"/>
        <v>70336.353000000003</v>
      </c>
      <c r="EW93" s="729" t="s">
        <v>378</v>
      </c>
      <c r="EX93" s="687">
        <v>0</v>
      </c>
      <c r="EY93" s="687">
        <v>77332273</v>
      </c>
      <c r="EZ93" s="687">
        <v>58246326</v>
      </c>
      <c r="FA93" s="687">
        <v>60505558</v>
      </c>
      <c r="FB93" s="687">
        <v>16826715</v>
      </c>
      <c r="FC93" s="730">
        <f t="shared" si="126"/>
        <v>0</v>
      </c>
      <c r="FD93" s="730">
        <f t="shared" si="127"/>
        <v>77332.273000000001</v>
      </c>
      <c r="FE93" s="730">
        <f t="shared" si="128"/>
        <v>58246.326000000001</v>
      </c>
      <c r="FF93" s="730">
        <f t="shared" si="129"/>
        <v>60505.557999999997</v>
      </c>
      <c r="FG93" s="730">
        <f t="shared" si="130"/>
        <v>16826.715</v>
      </c>
      <c r="FJ93" s="731" t="s">
        <v>385</v>
      </c>
      <c r="FK93" s="730">
        <v>28464201</v>
      </c>
      <c r="FL93" s="734">
        <f t="shared" si="122"/>
        <v>28464.201000000001</v>
      </c>
      <c r="FN93" s="735" t="s">
        <v>556</v>
      </c>
      <c r="FO93" s="736">
        <v>44169934</v>
      </c>
      <c r="FP93" s="736">
        <v>40436601</v>
      </c>
      <c r="FQ93" s="736">
        <v>40436601</v>
      </c>
      <c r="FR93" s="736">
        <f t="shared" si="123"/>
        <v>44169.934000000001</v>
      </c>
      <c r="FS93" s="736">
        <f t="shared" si="124"/>
        <v>40436.601000000002</v>
      </c>
      <c r="FT93" s="736">
        <f t="shared" si="125"/>
        <v>40436.601000000002</v>
      </c>
    </row>
    <row r="94" spans="1:176" ht="15" customHeight="1" x14ac:dyDescent="0.25">
      <c r="A94" s="728" t="s">
        <v>879</v>
      </c>
      <c r="B94" s="729" t="s">
        <v>380</v>
      </c>
      <c r="C94" s="687">
        <v>0</v>
      </c>
      <c r="D94" s="687">
        <v>10237405</v>
      </c>
      <c r="E94" s="687">
        <v>1193790</v>
      </c>
      <c r="F94" s="687">
        <v>9043615</v>
      </c>
      <c r="G94" s="687">
        <v>1193790</v>
      </c>
      <c r="H94" s="730">
        <f t="shared" si="72"/>
        <v>10667.376010000002</v>
      </c>
      <c r="I94" s="730">
        <f t="shared" si="73"/>
        <v>1243.9291800000001</v>
      </c>
      <c r="J94" s="730">
        <f t="shared" si="74"/>
        <v>9423.4468300000008</v>
      </c>
      <c r="K94" s="730">
        <f t="shared" si="75"/>
        <v>1243.9291800000001</v>
      </c>
      <c r="O94" s="729"/>
      <c r="P94" s="687"/>
      <c r="Q94" s="730"/>
      <c r="S94" s="729" t="s">
        <v>561</v>
      </c>
      <c r="T94" s="687">
        <v>11260945</v>
      </c>
      <c r="U94" s="687">
        <v>0</v>
      </c>
      <c r="V94" s="687">
        <v>0</v>
      </c>
      <c r="W94" s="687">
        <v>11260945</v>
      </c>
      <c r="X94" s="730">
        <f t="shared" si="77"/>
        <v>11733.904689999999</v>
      </c>
      <c r="Y94" s="730">
        <f t="shared" si="78"/>
        <v>0</v>
      </c>
      <c r="Z94" s="730">
        <f t="shared" si="79"/>
        <v>0</v>
      </c>
      <c r="AA94" s="730">
        <f t="shared" si="80"/>
        <v>11733.904689999999</v>
      </c>
      <c r="AC94" s="729" t="s">
        <v>395</v>
      </c>
      <c r="AD94" s="687">
        <v>7758402</v>
      </c>
      <c r="AE94" s="730">
        <f t="shared" si="81"/>
        <v>8084.2548839999999</v>
      </c>
      <c r="AG94" s="729" t="s">
        <v>559</v>
      </c>
      <c r="AH94" s="687">
        <v>3000000</v>
      </c>
      <c r="AI94" s="687">
        <v>0</v>
      </c>
      <c r="AJ94" s="687">
        <v>0</v>
      </c>
      <c r="AK94" s="687">
        <v>3000000</v>
      </c>
      <c r="AL94" s="687">
        <f t="shared" si="82"/>
        <v>3126</v>
      </c>
      <c r="AM94" s="687">
        <f t="shared" si="83"/>
        <v>0</v>
      </c>
      <c r="AN94" s="687">
        <f t="shared" si="84"/>
        <v>0</v>
      </c>
      <c r="AO94" s="687">
        <f t="shared" si="85"/>
        <v>3126</v>
      </c>
      <c r="AV94" s="729" t="s">
        <v>559</v>
      </c>
      <c r="AW94" s="687">
        <v>0</v>
      </c>
      <c r="AX94" s="687">
        <v>0</v>
      </c>
      <c r="AY94" s="687">
        <v>0</v>
      </c>
      <c r="AZ94" s="687">
        <v>0</v>
      </c>
      <c r="BA94" s="730">
        <f t="shared" si="87"/>
        <v>0</v>
      </c>
      <c r="BB94" s="730">
        <f t="shared" si="88"/>
        <v>0</v>
      </c>
      <c r="BC94" s="730">
        <f t="shared" si="89"/>
        <v>0</v>
      </c>
      <c r="BD94" s="730">
        <f t="shared" si="90"/>
        <v>0</v>
      </c>
      <c r="BK94" s="754" t="s">
        <v>558</v>
      </c>
      <c r="BL94" s="687">
        <v>19814832</v>
      </c>
      <c r="BM94" s="687">
        <v>3913074</v>
      </c>
      <c r="BN94" s="687">
        <v>4826636</v>
      </c>
      <c r="BO94" s="687">
        <v>14988196</v>
      </c>
      <c r="BP94" s="687">
        <f t="shared" si="92"/>
        <v>20647.054944</v>
      </c>
      <c r="BQ94" s="687">
        <f t="shared" si="93"/>
        <v>4077.4231080000004</v>
      </c>
      <c r="BR94" s="687">
        <f t="shared" si="94"/>
        <v>5029.3547120000003</v>
      </c>
      <c r="BS94" s="755">
        <f t="shared" si="95"/>
        <v>15617.700232000001</v>
      </c>
      <c r="BV94" s="729" t="s">
        <v>396</v>
      </c>
      <c r="BW94" s="687">
        <v>5788283</v>
      </c>
      <c r="BX94" s="730">
        <f t="shared" si="96"/>
        <v>6031.3908860000001</v>
      </c>
      <c r="BZ94" s="729" t="s">
        <v>558</v>
      </c>
      <c r="CA94" s="687">
        <v>19167290</v>
      </c>
      <c r="CB94" s="687">
        <v>4710015</v>
      </c>
      <c r="CC94" s="687">
        <v>6303059</v>
      </c>
      <c r="CD94" s="687">
        <v>12864231</v>
      </c>
      <c r="CE94" s="687">
        <f t="shared" si="97"/>
        <v>19972.316180000002</v>
      </c>
      <c r="CF94" s="687">
        <f t="shared" si="98"/>
        <v>4907.8356300000005</v>
      </c>
      <c r="CG94" s="687">
        <f t="shared" si="99"/>
        <v>6567.7874780000002</v>
      </c>
      <c r="CH94" s="687">
        <f t="shared" si="100"/>
        <v>13404.528702</v>
      </c>
      <c r="CK94" s="731" t="s">
        <v>391</v>
      </c>
      <c r="CL94" s="730">
        <v>98207162</v>
      </c>
      <c r="CM94" s="730">
        <f t="shared" si="101"/>
        <v>102331.862804</v>
      </c>
      <c r="CP94" s="731" t="s">
        <v>558</v>
      </c>
      <c r="CQ94" s="730">
        <v>18986345</v>
      </c>
      <c r="CR94" s="730">
        <v>6091677</v>
      </c>
      <c r="CS94" s="730">
        <v>7577014</v>
      </c>
      <c r="CT94" s="730">
        <v>11409331</v>
      </c>
      <c r="CU94" s="730">
        <f t="shared" si="68"/>
        <v>19783.771490000003</v>
      </c>
      <c r="CV94" s="730">
        <f t="shared" si="69"/>
        <v>6347.5274339999996</v>
      </c>
      <c r="CW94" s="730">
        <f t="shared" si="70"/>
        <v>7895.2485880000004</v>
      </c>
      <c r="CX94" s="730">
        <f t="shared" si="71"/>
        <v>11888.522902000001</v>
      </c>
      <c r="CZ94" s="731" t="s">
        <v>391</v>
      </c>
      <c r="DA94" s="730">
        <v>49637074</v>
      </c>
      <c r="DB94" s="730">
        <f t="shared" si="102"/>
        <v>51721.831108000006</v>
      </c>
      <c r="DE94" s="729" t="s">
        <v>558</v>
      </c>
      <c r="DF94" s="687">
        <v>18239117</v>
      </c>
      <c r="DG94" s="687">
        <v>8029213</v>
      </c>
      <c r="DH94" s="687">
        <v>8925135</v>
      </c>
      <c r="DI94" s="687">
        <v>9313982</v>
      </c>
      <c r="DJ94" s="730">
        <f t="shared" si="103"/>
        <v>19005.159914</v>
      </c>
      <c r="DK94" s="730">
        <f t="shared" si="104"/>
        <v>8366.4399460000004</v>
      </c>
      <c r="DL94" s="730">
        <f t="shared" si="105"/>
        <v>9299.990670000001</v>
      </c>
      <c r="DM94" s="730">
        <f t="shared" si="106"/>
        <v>9705.1692440000006</v>
      </c>
      <c r="DP94" s="729" t="s">
        <v>396</v>
      </c>
      <c r="DQ94" s="687">
        <v>6232065</v>
      </c>
      <c r="DR94" s="730">
        <f t="shared" si="107"/>
        <v>6232.0649999999996</v>
      </c>
      <c r="DT94" s="729" t="s">
        <v>558</v>
      </c>
      <c r="DU94" s="687">
        <v>18430047</v>
      </c>
      <c r="DV94" s="687">
        <v>8625628</v>
      </c>
      <c r="DW94" s="687">
        <v>9546725</v>
      </c>
      <c r="DX94" s="687">
        <v>8883322</v>
      </c>
      <c r="DY94" s="730">
        <f t="shared" si="108"/>
        <v>18430.046999999999</v>
      </c>
      <c r="DZ94" s="730">
        <f t="shared" si="109"/>
        <v>8625.6280000000006</v>
      </c>
      <c r="EA94" s="730">
        <f t="shared" si="110"/>
        <v>9546.7250000000004</v>
      </c>
      <c r="EB94" s="730">
        <f t="shared" si="111"/>
        <v>8883.3220000000001</v>
      </c>
      <c r="EE94" s="731" t="s">
        <v>499</v>
      </c>
      <c r="EF94" s="730">
        <v>8223634</v>
      </c>
      <c r="EG94" s="734">
        <f t="shared" si="112"/>
        <v>8223.634</v>
      </c>
      <c r="EI94" s="731" t="s">
        <v>378</v>
      </c>
      <c r="EJ94" s="730">
        <v>83242741</v>
      </c>
      <c r="EK94" s="730">
        <v>42226363</v>
      </c>
      <c r="EL94" s="730">
        <v>38333383</v>
      </c>
      <c r="EM94" s="734">
        <f t="shared" si="113"/>
        <v>83242.740999999995</v>
      </c>
      <c r="EN94" s="734">
        <f t="shared" si="114"/>
        <v>42226.362999999998</v>
      </c>
      <c r="EO94" s="734">
        <f t="shared" si="115"/>
        <v>38333.383000000002</v>
      </c>
      <c r="ER94" s="729" t="s">
        <v>595</v>
      </c>
      <c r="ES94" s="687">
        <v>70336353</v>
      </c>
      <c r="ET94" s="730">
        <f t="shared" si="116"/>
        <v>70336.353000000003</v>
      </c>
      <c r="EW94" s="729" t="s">
        <v>557</v>
      </c>
      <c r="EX94" s="687">
        <v>0</v>
      </c>
      <c r="EY94" s="687">
        <v>44360272</v>
      </c>
      <c r="EZ94" s="687">
        <v>27057557</v>
      </c>
      <c r="FA94" s="687">
        <v>27533557</v>
      </c>
      <c r="FB94" s="687">
        <v>16826715</v>
      </c>
      <c r="FC94" s="730">
        <f t="shared" si="126"/>
        <v>0</v>
      </c>
      <c r="FD94" s="730">
        <f t="shared" si="127"/>
        <v>44360.271999999997</v>
      </c>
      <c r="FE94" s="730">
        <f t="shared" si="128"/>
        <v>27057.557000000001</v>
      </c>
      <c r="FF94" s="730">
        <f t="shared" si="129"/>
        <v>27533.557000000001</v>
      </c>
      <c r="FG94" s="730">
        <f t="shared" si="130"/>
        <v>16826.715</v>
      </c>
      <c r="FJ94" s="731" t="s">
        <v>386</v>
      </c>
      <c r="FK94" s="730">
        <v>73359603</v>
      </c>
      <c r="FL94" s="734">
        <f t="shared" si="122"/>
        <v>73359.603000000003</v>
      </c>
      <c r="FN94" s="735" t="s">
        <v>378</v>
      </c>
      <c r="FO94" s="736">
        <v>77970163</v>
      </c>
      <c r="FP94" s="736">
        <v>62462522</v>
      </c>
      <c r="FQ94" s="736">
        <v>62970163</v>
      </c>
      <c r="FR94" s="736">
        <f t="shared" si="123"/>
        <v>77970.163</v>
      </c>
      <c r="FS94" s="736">
        <f t="shared" si="124"/>
        <v>62462.521999999997</v>
      </c>
      <c r="FT94" s="736">
        <f t="shared" si="125"/>
        <v>62970.163</v>
      </c>
    </row>
    <row r="95" spans="1:176" ht="15" customHeight="1" x14ac:dyDescent="0.25">
      <c r="A95" s="728" t="s">
        <v>880</v>
      </c>
      <c r="B95" s="729" t="s">
        <v>381</v>
      </c>
      <c r="C95" s="687">
        <v>0</v>
      </c>
      <c r="D95" s="687">
        <v>10000000</v>
      </c>
      <c r="E95" s="687">
        <v>956385</v>
      </c>
      <c r="F95" s="687">
        <v>9043615</v>
      </c>
      <c r="G95" s="687">
        <v>956385</v>
      </c>
      <c r="H95" s="730">
        <f t="shared" si="72"/>
        <v>10420</v>
      </c>
      <c r="I95" s="730">
        <f t="shared" si="73"/>
        <v>996.55317000000002</v>
      </c>
      <c r="J95" s="730">
        <f t="shared" si="74"/>
        <v>9423.4468300000008</v>
      </c>
      <c r="K95" s="730">
        <f t="shared" si="75"/>
        <v>996.55317000000002</v>
      </c>
      <c r="O95" s="729"/>
      <c r="P95" s="687"/>
      <c r="Q95" s="730"/>
      <c r="S95" s="729" t="s">
        <v>380</v>
      </c>
      <c r="T95" s="687">
        <v>10237405</v>
      </c>
      <c r="U95" s="687">
        <v>1193790</v>
      </c>
      <c r="V95" s="687">
        <v>1491671</v>
      </c>
      <c r="W95" s="687">
        <v>8745734</v>
      </c>
      <c r="X95" s="730">
        <f t="shared" si="77"/>
        <v>10667.376010000002</v>
      </c>
      <c r="Y95" s="730">
        <f t="shared" si="78"/>
        <v>1243.9291800000001</v>
      </c>
      <c r="Z95" s="730">
        <f t="shared" si="79"/>
        <v>1554.3211820000001</v>
      </c>
      <c r="AA95" s="730">
        <f t="shared" si="80"/>
        <v>9113.0548280000003</v>
      </c>
      <c r="AC95" s="729" t="s">
        <v>396</v>
      </c>
      <c r="AD95" s="687">
        <v>7758402</v>
      </c>
      <c r="AE95" s="730">
        <f t="shared" si="81"/>
        <v>8084.2548839999999</v>
      </c>
      <c r="AG95" s="729" t="s">
        <v>561</v>
      </c>
      <c r="AH95" s="687">
        <v>11260945</v>
      </c>
      <c r="AI95" s="687">
        <v>543491</v>
      </c>
      <c r="AJ95" s="687">
        <v>3260945</v>
      </c>
      <c r="AK95" s="687">
        <v>8000000</v>
      </c>
      <c r="AL95" s="687">
        <f t="shared" si="82"/>
        <v>11733.904689999999</v>
      </c>
      <c r="AM95" s="687">
        <f t="shared" si="83"/>
        <v>566.31762200000003</v>
      </c>
      <c r="AN95" s="687">
        <f t="shared" si="84"/>
        <v>3397.9046900000003</v>
      </c>
      <c r="AO95" s="687">
        <f t="shared" si="85"/>
        <v>8336</v>
      </c>
      <c r="AV95" s="729" t="s">
        <v>560</v>
      </c>
      <c r="AW95" s="687">
        <v>100000</v>
      </c>
      <c r="AX95" s="687">
        <v>100000</v>
      </c>
      <c r="AY95" s="687">
        <v>100000</v>
      </c>
      <c r="AZ95" s="687">
        <v>0</v>
      </c>
      <c r="BA95" s="730">
        <f t="shared" si="87"/>
        <v>104.2</v>
      </c>
      <c r="BB95" s="730">
        <f t="shared" si="88"/>
        <v>104.2</v>
      </c>
      <c r="BC95" s="730">
        <f t="shared" si="89"/>
        <v>104.2</v>
      </c>
      <c r="BD95" s="730">
        <f t="shared" si="90"/>
        <v>0</v>
      </c>
      <c r="BK95" s="754" t="s">
        <v>559</v>
      </c>
      <c r="BL95" s="687">
        <v>0</v>
      </c>
      <c r="BM95" s="687">
        <v>0</v>
      </c>
      <c r="BN95" s="687">
        <v>0</v>
      </c>
      <c r="BO95" s="687">
        <v>0</v>
      </c>
      <c r="BP95" s="687">
        <f t="shared" si="92"/>
        <v>0</v>
      </c>
      <c r="BQ95" s="687">
        <f t="shared" si="93"/>
        <v>0</v>
      </c>
      <c r="BR95" s="687">
        <f t="shared" si="94"/>
        <v>0</v>
      </c>
      <c r="BS95" s="755">
        <f t="shared" si="95"/>
        <v>0</v>
      </c>
      <c r="BV95" s="729" t="s">
        <v>499</v>
      </c>
      <c r="BW95" s="687">
        <v>5788283</v>
      </c>
      <c r="BX95" s="730">
        <f t="shared" si="96"/>
        <v>6031.3908860000001</v>
      </c>
      <c r="BZ95" s="729" t="s">
        <v>559</v>
      </c>
      <c r="CA95" s="687">
        <v>0</v>
      </c>
      <c r="CB95" s="687">
        <v>0</v>
      </c>
      <c r="CC95" s="687">
        <v>0</v>
      </c>
      <c r="CD95" s="687">
        <v>0</v>
      </c>
      <c r="CE95" s="687">
        <f t="shared" si="97"/>
        <v>0</v>
      </c>
      <c r="CF95" s="687">
        <f t="shared" si="98"/>
        <v>0</v>
      </c>
      <c r="CG95" s="687">
        <f t="shared" si="99"/>
        <v>0</v>
      </c>
      <c r="CH95" s="687">
        <f t="shared" si="100"/>
        <v>0</v>
      </c>
      <c r="CK95" s="731" t="s">
        <v>392</v>
      </c>
      <c r="CL95" s="730">
        <v>10556999</v>
      </c>
      <c r="CM95" s="730">
        <f t="shared" si="101"/>
        <v>11000.392958</v>
      </c>
      <c r="CP95" s="731" t="s">
        <v>560</v>
      </c>
      <c r="CQ95" s="730">
        <v>614575</v>
      </c>
      <c r="CR95" s="730">
        <v>100000</v>
      </c>
      <c r="CS95" s="730">
        <v>614575</v>
      </c>
      <c r="CT95" s="730">
        <v>0</v>
      </c>
      <c r="CU95" s="730">
        <f t="shared" si="68"/>
        <v>640.38715000000002</v>
      </c>
      <c r="CV95" s="730">
        <f t="shared" si="69"/>
        <v>104.2</v>
      </c>
      <c r="CW95" s="730">
        <f t="shared" si="70"/>
        <v>640.38715000000002</v>
      </c>
      <c r="CX95" s="730">
        <f t="shared" si="71"/>
        <v>0</v>
      </c>
      <c r="CZ95" s="731" t="s">
        <v>392</v>
      </c>
      <c r="DA95" s="730">
        <v>2197590</v>
      </c>
      <c r="DB95" s="730">
        <f t="shared" si="102"/>
        <v>2289.8887800000002</v>
      </c>
      <c r="DE95" s="729" t="s">
        <v>560</v>
      </c>
      <c r="DF95" s="687">
        <v>614575</v>
      </c>
      <c r="DG95" s="687">
        <v>614575</v>
      </c>
      <c r="DH95" s="687">
        <v>614575</v>
      </c>
      <c r="DI95" s="687">
        <v>0</v>
      </c>
      <c r="DJ95" s="730">
        <f t="shared" si="103"/>
        <v>640.38715000000002</v>
      </c>
      <c r="DK95" s="730">
        <f t="shared" si="104"/>
        <v>640.38715000000002</v>
      </c>
      <c r="DL95" s="730">
        <f t="shared" si="105"/>
        <v>640.38715000000002</v>
      </c>
      <c r="DM95" s="730">
        <f t="shared" si="106"/>
        <v>0</v>
      </c>
      <c r="DP95" s="729" t="s">
        <v>499</v>
      </c>
      <c r="DQ95" s="687">
        <v>6232065</v>
      </c>
      <c r="DR95" s="730">
        <f t="shared" si="107"/>
        <v>6232.0649999999996</v>
      </c>
      <c r="DT95" s="729" t="s">
        <v>560</v>
      </c>
      <c r="DU95" s="687">
        <v>614575</v>
      </c>
      <c r="DV95" s="687">
        <v>614575</v>
      </c>
      <c r="DW95" s="687">
        <v>614575</v>
      </c>
      <c r="DX95" s="687">
        <v>0</v>
      </c>
      <c r="DY95" s="730">
        <f t="shared" si="108"/>
        <v>614.57500000000005</v>
      </c>
      <c r="DZ95" s="730">
        <f t="shared" si="109"/>
        <v>614.57500000000005</v>
      </c>
      <c r="EA95" s="730">
        <f t="shared" si="110"/>
        <v>614.57500000000005</v>
      </c>
      <c r="EB95" s="730">
        <f t="shared" si="111"/>
        <v>0</v>
      </c>
      <c r="EE95" s="731" t="s">
        <v>594</v>
      </c>
      <c r="EF95" s="730">
        <v>41494176</v>
      </c>
      <c r="EG95" s="734">
        <f t="shared" si="112"/>
        <v>41494.175999999999</v>
      </c>
      <c r="EI95" s="731" t="s">
        <v>557</v>
      </c>
      <c r="EJ95" s="730">
        <v>43868944</v>
      </c>
      <c r="EK95" s="730">
        <v>25987285</v>
      </c>
      <c r="EL95" s="730">
        <v>23609687</v>
      </c>
      <c r="EM95" s="734">
        <f t="shared" si="113"/>
        <v>43868.944000000003</v>
      </c>
      <c r="EN95" s="734">
        <f t="shared" si="114"/>
        <v>25987.285</v>
      </c>
      <c r="EO95" s="734">
        <f t="shared" si="115"/>
        <v>23609.687000000002</v>
      </c>
      <c r="ER95" s="729" t="s">
        <v>844</v>
      </c>
      <c r="ES95" s="687">
        <v>36358955</v>
      </c>
      <c r="ET95" s="730">
        <f t="shared" si="116"/>
        <v>36358.955000000002</v>
      </c>
      <c r="EW95" s="729" t="s">
        <v>558</v>
      </c>
      <c r="EX95" s="687">
        <v>0</v>
      </c>
      <c r="EY95" s="687">
        <v>11366509</v>
      </c>
      <c r="EZ95" s="687">
        <v>10775079</v>
      </c>
      <c r="FA95" s="687">
        <v>11366509</v>
      </c>
      <c r="FB95" s="687">
        <v>0</v>
      </c>
      <c r="FC95" s="730">
        <f t="shared" si="126"/>
        <v>0</v>
      </c>
      <c r="FD95" s="730">
        <f t="shared" si="127"/>
        <v>11366.509</v>
      </c>
      <c r="FE95" s="730">
        <f t="shared" si="128"/>
        <v>10775.079</v>
      </c>
      <c r="FF95" s="730">
        <f t="shared" si="129"/>
        <v>11366.509</v>
      </c>
      <c r="FG95" s="730">
        <f t="shared" si="130"/>
        <v>0</v>
      </c>
      <c r="FJ95" s="731" t="s">
        <v>387</v>
      </c>
      <c r="FK95" s="730">
        <v>46270149</v>
      </c>
      <c r="FL95" s="734">
        <f t="shared" si="122"/>
        <v>46270.148999999998</v>
      </c>
      <c r="FN95" s="735" t="s">
        <v>557</v>
      </c>
      <c r="FO95" s="736">
        <v>44395272</v>
      </c>
      <c r="FP95" s="736">
        <v>29395272</v>
      </c>
      <c r="FQ95" s="736">
        <v>29395272</v>
      </c>
      <c r="FR95" s="736">
        <f t="shared" si="123"/>
        <v>44395.271999999997</v>
      </c>
      <c r="FS95" s="736">
        <f t="shared" si="124"/>
        <v>29395.272000000001</v>
      </c>
      <c r="FT95" s="736">
        <f t="shared" si="125"/>
        <v>29395.272000000001</v>
      </c>
    </row>
    <row r="96" spans="1:176" ht="15" customHeight="1" x14ac:dyDescent="0.25">
      <c r="A96" s="728" t="s">
        <v>880</v>
      </c>
      <c r="B96" s="729" t="s">
        <v>382</v>
      </c>
      <c r="C96" s="687">
        <v>0</v>
      </c>
      <c r="D96" s="687">
        <v>237405</v>
      </c>
      <c r="E96" s="687">
        <v>237405</v>
      </c>
      <c r="F96" s="687">
        <v>0</v>
      </c>
      <c r="G96" s="687">
        <v>237405</v>
      </c>
      <c r="H96" s="730">
        <f t="shared" si="72"/>
        <v>247.37601000000001</v>
      </c>
      <c r="I96" s="730">
        <f t="shared" si="73"/>
        <v>247.37601000000001</v>
      </c>
      <c r="J96" s="730">
        <f t="shared" si="74"/>
        <v>0</v>
      </c>
      <c r="K96" s="730">
        <f t="shared" si="75"/>
        <v>247.37601000000001</v>
      </c>
      <c r="O96" s="729"/>
      <c r="P96" s="687"/>
      <c r="Q96" s="730"/>
      <c r="S96" s="729" t="s">
        <v>381</v>
      </c>
      <c r="T96" s="687">
        <v>9702119</v>
      </c>
      <c r="U96" s="687">
        <v>956385</v>
      </c>
      <c r="V96" s="687">
        <v>956385</v>
      </c>
      <c r="W96" s="687">
        <v>8745734</v>
      </c>
      <c r="X96" s="730">
        <f t="shared" si="77"/>
        <v>10109.607998000001</v>
      </c>
      <c r="Y96" s="730">
        <f t="shared" si="78"/>
        <v>996.55317000000002</v>
      </c>
      <c r="Z96" s="730">
        <f t="shared" si="79"/>
        <v>996.55317000000002</v>
      </c>
      <c r="AA96" s="730">
        <f t="shared" si="80"/>
        <v>9113.0548280000003</v>
      </c>
      <c r="AC96" s="729" t="s">
        <v>499</v>
      </c>
      <c r="AD96" s="687">
        <v>7758402</v>
      </c>
      <c r="AE96" s="730">
        <f t="shared" si="81"/>
        <v>8084.2548839999999</v>
      </c>
      <c r="AG96" s="729" t="s">
        <v>380</v>
      </c>
      <c r="AH96" s="687">
        <v>10108755</v>
      </c>
      <c r="AI96" s="687">
        <v>3623388</v>
      </c>
      <c r="AJ96" s="687">
        <v>4452213</v>
      </c>
      <c r="AK96" s="687">
        <v>5656542</v>
      </c>
      <c r="AL96" s="687">
        <f t="shared" si="82"/>
        <v>10533.32271</v>
      </c>
      <c r="AM96" s="687">
        <f t="shared" si="83"/>
        <v>3775.5702959999999</v>
      </c>
      <c r="AN96" s="687">
        <f t="shared" si="84"/>
        <v>4639.205946</v>
      </c>
      <c r="AO96" s="687">
        <f t="shared" si="85"/>
        <v>5894.1167640000003</v>
      </c>
      <c r="AV96" s="729" t="s">
        <v>561</v>
      </c>
      <c r="AW96" s="687">
        <v>11260945</v>
      </c>
      <c r="AX96" s="687">
        <v>1086982</v>
      </c>
      <c r="AY96" s="687">
        <v>3260945</v>
      </c>
      <c r="AZ96" s="687">
        <v>8000000</v>
      </c>
      <c r="BA96" s="730">
        <f t="shared" si="87"/>
        <v>11733.904689999999</v>
      </c>
      <c r="BB96" s="730">
        <f t="shared" si="88"/>
        <v>1132.6352440000001</v>
      </c>
      <c r="BC96" s="730">
        <f t="shared" si="89"/>
        <v>3397.9046900000003</v>
      </c>
      <c r="BD96" s="730">
        <f t="shared" si="90"/>
        <v>8336</v>
      </c>
      <c r="BK96" s="754" t="s">
        <v>560</v>
      </c>
      <c r="BL96" s="687">
        <v>100000</v>
      </c>
      <c r="BM96" s="687">
        <v>100000</v>
      </c>
      <c r="BN96" s="687">
        <v>100000</v>
      </c>
      <c r="BO96" s="687">
        <v>0</v>
      </c>
      <c r="BP96" s="687">
        <f t="shared" si="92"/>
        <v>104.2</v>
      </c>
      <c r="BQ96" s="687">
        <f t="shared" si="93"/>
        <v>104.2</v>
      </c>
      <c r="BR96" s="687">
        <f t="shared" si="94"/>
        <v>104.2</v>
      </c>
      <c r="BS96" s="755">
        <f t="shared" si="95"/>
        <v>0</v>
      </c>
      <c r="BV96" s="729" t="s">
        <v>470</v>
      </c>
      <c r="BW96" s="687">
        <v>260000000</v>
      </c>
      <c r="BX96" s="730">
        <f t="shared" si="96"/>
        <v>270920</v>
      </c>
      <c r="BZ96" s="729" t="s">
        <v>560</v>
      </c>
      <c r="CA96" s="687">
        <v>100000</v>
      </c>
      <c r="CB96" s="687">
        <v>100000</v>
      </c>
      <c r="CC96" s="687">
        <v>100000</v>
      </c>
      <c r="CD96" s="687">
        <v>0</v>
      </c>
      <c r="CE96" s="687">
        <f t="shared" si="97"/>
        <v>104.2</v>
      </c>
      <c r="CF96" s="687">
        <f t="shared" si="98"/>
        <v>104.2</v>
      </c>
      <c r="CG96" s="687">
        <f t="shared" si="99"/>
        <v>104.2</v>
      </c>
      <c r="CH96" s="687">
        <f t="shared" si="100"/>
        <v>0</v>
      </c>
      <c r="CK96" s="731" t="s">
        <v>569</v>
      </c>
      <c r="CL96" s="730">
        <v>1073305</v>
      </c>
      <c r="CM96" s="730">
        <f t="shared" si="101"/>
        <v>1118.38381</v>
      </c>
      <c r="CP96" s="731" t="s">
        <v>561</v>
      </c>
      <c r="CQ96" s="730">
        <v>13260945</v>
      </c>
      <c r="CR96" s="730">
        <v>1630473</v>
      </c>
      <c r="CS96" s="730">
        <v>3260945</v>
      </c>
      <c r="CT96" s="730">
        <v>10000000</v>
      </c>
      <c r="CU96" s="730">
        <f t="shared" si="68"/>
        <v>13817.904689999999</v>
      </c>
      <c r="CV96" s="730">
        <f t="shared" si="69"/>
        <v>1698.9528660000001</v>
      </c>
      <c r="CW96" s="730">
        <f t="shared" si="70"/>
        <v>3397.9046900000003</v>
      </c>
      <c r="CX96" s="730">
        <f t="shared" si="71"/>
        <v>10420</v>
      </c>
      <c r="CZ96" s="731" t="s">
        <v>569</v>
      </c>
      <c r="DA96" s="730">
        <v>1294390</v>
      </c>
      <c r="DB96" s="730">
        <f t="shared" si="102"/>
        <v>1348.7543800000001</v>
      </c>
      <c r="DE96" s="729" t="s">
        <v>561</v>
      </c>
      <c r="DF96" s="687">
        <v>14660945</v>
      </c>
      <c r="DG96" s="687">
        <v>2173964</v>
      </c>
      <c r="DH96" s="687">
        <v>3260945</v>
      </c>
      <c r="DI96" s="687">
        <v>11400000</v>
      </c>
      <c r="DJ96" s="730">
        <f t="shared" si="103"/>
        <v>15276.70469</v>
      </c>
      <c r="DK96" s="730">
        <f t="shared" si="104"/>
        <v>2265.2704880000001</v>
      </c>
      <c r="DL96" s="730">
        <f t="shared" si="105"/>
        <v>3397.9046900000003</v>
      </c>
      <c r="DM96" s="730">
        <f t="shared" si="106"/>
        <v>11878.800000000001</v>
      </c>
      <c r="DP96" s="729" t="s">
        <v>594</v>
      </c>
      <c r="DQ96" s="687">
        <v>56745569</v>
      </c>
      <c r="DR96" s="730">
        <f t="shared" si="107"/>
        <v>56745.569000000003</v>
      </c>
      <c r="DT96" s="729" t="s">
        <v>561</v>
      </c>
      <c r="DU96" s="687">
        <v>14660945</v>
      </c>
      <c r="DV96" s="687">
        <v>2173964</v>
      </c>
      <c r="DW96" s="687">
        <v>4435140</v>
      </c>
      <c r="DX96" s="687">
        <v>10225805</v>
      </c>
      <c r="DY96" s="730">
        <f t="shared" si="108"/>
        <v>14660.945</v>
      </c>
      <c r="DZ96" s="730">
        <f t="shared" si="109"/>
        <v>2173.9639999999999</v>
      </c>
      <c r="EA96" s="730">
        <f t="shared" si="110"/>
        <v>4435.1400000000003</v>
      </c>
      <c r="EB96" s="730">
        <f t="shared" si="111"/>
        <v>10225.805</v>
      </c>
      <c r="EE96" s="731" t="s">
        <v>595</v>
      </c>
      <c r="EF96" s="730">
        <v>41494176</v>
      </c>
      <c r="EG96" s="734">
        <f t="shared" si="112"/>
        <v>41494.175999999999</v>
      </c>
      <c r="EI96" s="731" t="s">
        <v>558</v>
      </c>
      <c r="EJ96" s="730">
        <v>18721198</v>
      </c>
      <c r="EK96" s="730">
        <v>10475362</v>
      </c>
      <c r="EL96" s="730">
        <v>10475361</v>
      </c>
      <c r="EM96" s="734">
        <f t="shared" si="113"/>
        <v>18721.198</v>
      </c>
      <c r="EN96" s="734">
        <f t="shared" si="114"/>
        <v>10475.361999999999</v>
      </c>
      <c r="EO96" s="734">
        <f t="shared" si="115"/>
        <v>10475.361000000001</v>
      </c>
      <c r="ER96" s="729" t="s">
        <v>974</v>
      </c>
      <c r="ES96" s="687">
        <v>32805004</v>
      </c>
      <c r="ET96" s="730">
        <f t="shared" si="116"/>
        <v>32805.004000000001</v>
      </c>
      <c r="EW96" s="729" t="s">
        <v>560</v>
      </c>
      <c r="EX96" s="687">
        <v>0</v>
      </c>
      <c r="EY96" s="687">
        <v>6151771</v>
      </c>
      <c r="EZ96" s="687">
        <v>5503459</v>
      </c>
      <c r="FA96" s="687">
        <v>6151771</v>
      </c>
      <c r="FB96" s="687">
        <v>0</v>
      </c>
      <c r="FC96" s="730">
        <f t="shared" si="126"/>
        <v>0</v>
      </c>
      <c r="FD96" s="730">
        <f t="shared" si="127"/>
        <v>6151.7709999999997</v>
      </c>
      <c r="FE96" s="730">
        <f t="shared" si="128"/>
        <v>5503.4589999999998</v>
      </c>
      <c r="FF96" s="730">
        <f t="shared" si="129"/>
        <v>6151.7709999999997</v>
      </c>
      <c r="FG96" s="730">
        <f t="shared" si="130"/>
        <v>0</v>
      </c>
      <c r="FJ96" s="731" t="s">
        <v>565</v>
      </c>
      <c r="FK96" s="730">
        <v>4325798</v>
      </c>
      <c r="FL96" s="734">
        <f t="shared" si="122"/>
        <v>4325.7979999999998</v>
      </c>
      <c r="FN96" s="735" t="s">
        <v>558</v>
      </c>
      <c r="FO96" s="736">
        <v>11969398</v>
      </c>
      <c r="FP96" s="736">
        <v>11681669</v>
      </c>
      <c r="FQ96" s="736">
        <v>11969398</v>
      </c>
      <c r="FR96" s="736">
        <f t="shared" si="123"/>
        <v>11969.397999999999</v>
      </c>
      <c r="FS96" s="736">
        <f t="shared" si="124"/>
        <v>11681.669</v>
      </c>
      <c r="FT96" s="736">
        <f t="shared" si="125"/>
        <v>11969.397999999999</v>
      </c>
    </row>
    <row r="97" spans="1:176" ht="15" customHeight="1" x14ac:dyDescent="0.25">
      <c r="A97" s="728" t="s">
        <v>879</v>
      </c>
      <c r="B97" s="729" t="s">
        <v>383</v>
      </c>
      <c r="C97" s="687">
        <v>0</v>
      </c>
      <c r="D97" s="687">
        <v>389984932</v>
      </c>
      <c r="E97" s="687">
        <v>151647402</v>
      </c>
      <c r="F97" s="687">
        <v>238337530</v>
      </c>
      <c r="G97" s="687">
        <v>24453085</v>
      </c>
      <c r="H97" s="730">
        <f t="shared" si="72"/>
        <v>406364.29914399999</v>
      </c>
      <c r="I97" s="730">
        <f t="shared" si="73"/>
        <v>158016.59288400001</v>
      </c>
      <c r="J97" s="730">
        <f t="shared" si="74"/>
        <v>248347.70626000001</v>
      </c>
      <c r="K97" s="730">
        <f t="shared" si="75"/>
        <v>25480.114570000002</v>
      </c>
      <c r="O97" s="729"/>
      <c r="P97" s="687"/>
      <c r="Q97" s="730"/>
      <c r="S97" s="729" t="s">
        <v>382</v>
      </c>
      <c r="T97" s="687">
        <v>535286</v>
      </c>
      <c r="U97" s="687">
        <v>237405</v>
      </c>
      <c r="V97" s="687">
        <v>535286</v>
      </c>
      <c r="W97" s="687">
        <v>0</v>
      </c>
      <c r="X97" s="730">
        <f t="shared" si="77"/>
        <v>557.768012</v>
      </c>
      <c r="Y97" s="730">
        <f t="shared" si="78"/>
        <v>247.37601000000001</v>
      </c>
      <c r="Z97" s="730">
        <f t="shared" si="79"/>
        <v>557.768012</v>
      </c>
      <c r="AA97" s="730">
        <f t="shared" si="80"/>
        <v>0</v>
      </c>
      <c r="AC97" s="729" t="s">
        <v>594</v>
      </c>
      <c r="AD97" s="687">
        <v>18537891</v>
      </c>
      <c r="AE97" s="730">
        <f t="shared" si="81"/>
        <v>19316.482422000001</v>
      </c>
      <c r="AG97" s="729" t="s">
        <v>381</v>
      </c>
      <c r="AH97" s="687">
        <v>8992619</v>
      </c>
      <c r="AI97" s="687">
        <v>2804752</v>
      </c>
      <c r="AJ97" s="687">
        <v>3336077</v>
      </c>
      <c r="AK97" s="687">
        <v>5656542</v>
      </c>
      <c r="AL97" s="687">
        <f t="shared" si="82"/>
        <v>9370.3089980000004</v>
      </c>
      <c r="AM97" s="687">
        <f t="shared" si="83"/>
        <v>2922.5515840000003</v>
      </c>
      <c r="AN97" s="687">
        <f t="shared" si="84"/>
        <v>3476.1922340000006</v>
      </c>
      <c r="AO97" s="687">
        <f t="shared" si="85"/>
        <v>5894.1167640000003</v>
      </c>
      <c r="AV97" s="729" t="s">
        <v>380</v>
      </c>
      <c r="AW97" s="687">
        <v>109893283</v>
      </c>
      <c r="AX97" s="687">
        <v>4703385</v>
      </c>
      <c r="AY97" s="687">
        <v>6185632</v>
      </c>
      <c r="AZ97" s="687">
        <v>103707651</v>
      </c>
      <c r="BA97" s="730">
        <f t="shared" si="87"/>
        <v>114508.800886</v>
      </c>
      <c r="BB97" s="730">
        <f t="shared" si="88"/>
        <v>4900.9271700000008</v>
      </c>
      <c r="BC97" s="730">
        <f t="shared" si="89"/>
        <v>6445.4285439999994</v>
      </c>
      <c r="BD97" s="730">
        <f t="shared" si="90"/>
        <v>108063.372342</v>
      </c>
      <c r="BK97" s="754" t="s">
        <v>561</v>
      </c>
      <c r="BL97" s="687">
        <v>11260945</v>
      </c>
      <c r="BM97" s="687">
        <v>1086982</v>
      </c>
      <c r="BN97" s="687">
        <v>3260945</v>
      </c>
      <c r="BO97" s="687">
        <v>8000000</v>
      </c>
      <c r="BP97" s="687">
        <f t="shared" si="92"/>
        <v>11733.904689999999</v>
      </c>
      <c r="BQ97" s="687">
        <f t="shared" si="93"/>
        <v>1132.6352440000001</v>
      </c>
      <c r="BR97" s="687">
        <f t="shared" si="94"/>
        <v>3397.9046900000003</v>
      </c>
      <c r="BS97" s="755">
        <f t="shared" si="95"/>
        <v>8336</v>
      </c>
      <c r="BV97" s="729" t="s">
        <v>906</v>
      </c>
      <c r="BW97" s="687">
        <v>260000000</v>
      </c>
      <c r="BX97" s="730">
        <f t="shared" si="96"/>
        <v>270920</v>
      </c>
      <c r="BZ97" s="729" t="s">
        <v>561</v>
      </c>
      <c r="CA97" s="687">
        <v>13756441</v>
      </c>
      <c r="CB97" s="687">
        <v>1630473</v>
      </c>
      <c r="CC97" s="687">
        <v>3260945</v>
      </c>
      <c r="CD97" s="687">
        <v>10495496</v>
      </c>
      <c r="CE97" s="687">
        <f t="shared" si="97"/>
        <v>14334.211522000001</v>
      </c>
      <c r="CF97" s="687">
        <f t="shared" si="98"/>
        <v>1698.9528660000001</v>
      </c>
      <c r="CG97" s="687">
        <f t="shared" si="99"/>
        <v>3397.9046900000003</v>
      </c>
      <c r="CH97" s="687">
        <f t="shared" si="100"/>
        <v>10936.306832</v>
      </c>
      <c r="CK97" s="731" t="s">
        <v>393</v>
      </c>
      <c r="CL97" s="730">
        <v>1073305</v>
      </c>
      <c r="CM97" s="730">
        <f t="shared" si="101"/>
        <v>1118.38381</v>
      </c>
      <c r="CP97" s="731" t="s">
        <v>380</v>
      </c>
      <c r="CQ97" s="730">
        <v>274639149</v>
      </c>
      <c r="CR97" s="730">
        <v>47159613</v>
      </c>
      <c r="CS97" s="730">
        <v>111599279</v>
      </c>
      <c r="CT97" s="730">
        <v>163039870</v>
      </c>
      <c r="CU97" s="730">
        <f t="shared" si="68"/>
        <v>286173.993258</v>
      </c>
      <c r="CV97" s="730">
        <f t="shared" si="69"/>
        <v>49140.316745999997</v>
      </c>
      <c r="CW97" s="730">
        <f t="shared" si="70"/>
        <v>116286.448718</v>
      </c>
      <c r="CX97" s="730">
        <f t="shared" si="71"/>
        <v>169887.54454</v>
      </c>
      <c r="CZ97" s="731" t="s">
        <v>393</v>
      </c>
      <c r="DA97" s="730">
        <v>1294390</v>
      </c>
      <c r="DB97" s="730">
        <f t="shared" si="102"/>
        <v>1348.7543800000001</v>
      </c>
      <c r="DE97" s="729" t="s">
        <v>379</v>
      </c>
      <c r="DF97" s="687">
        <v>285600</v>
      </c>
      <c r="DG97" s="687">
        <v>0</v>
      </c>
      <c r="DH97" s="687">
        <v>0</v>
      </c>
      <c r="DI97" s="687">
        <v>285600</v>
      </c>
      <c r="DJ97" s="730">
        <f t="shared" si="103"/>
        <v>297.59520000000003</v>
      </c>
      <c r="DK97" s="730">
        <f t="shared" si="104"/>
        <v>0</v>
      </c>
      <c r="DL97" s="730">
        <f t="shared" si="105"/>
        <v>0</v>
      </c>
      <c r="DM97" s="730">
        <f t="shared" si="106"/>
        <v>297.59520000000003</v>
      </c>
      <c r="DP97" s="729" t="s">
        <v>595</v>
      </c>
      <c r="DQ97" s="687">
        <v>56745569</v>
      </c>
      <c r="DR97" s="730">
        <f t="shared" si="107"/>
        <v>56745.569000000003</v>
      </c>
      <c r="DT97" s="729" t="s">
        <v>379</v>
      </c>
      <c r="DU97" s="687">
        <v>285600</v>
      </c>
      <c r="DV97" s="687">
        <v>0</v>
      </c>
      <c r="DW97" s="687">
        <v>285600</v>
      </c>
      <c r="DX97" s="687">
        <v>0</v>
      </c>
      <c r="DY97" s="730">
        <f t="shared" si="108"/>
        <v>285.60000000000002</v>
      </c>
      <c r="DZ97" s="730">
        <f t="shared" si="109"/>
        <v>0</v>
      </c>
      <c r="EA97" s="730">
        <f t="shared" si="110"/>
        <v>285.60000000000002</v>
      </c>
      <c r="EB97" s="730">
        <f t="shared" si="111"/>
        <v>0</v>
      </c>
      <c r="EE97" s="731" t="s">
        <v>844</v>
      </c>
      <c r="EF97" s="730">
        <v>40026549</v>
      </c>
      <c r="EG97" s="734">
        <f t="shared" si="112"/>
        <v>40026.548999999999</v>
      </c>
      <c r="EI97" s="731" t="s">
        <v>559</v>
      </c>
      <c r="EJ97" s="730">
        <v>0</v>
      </c>
      <c r="EK97" s="730">
        <v>0</v>
      </c>
      <c r="EL97" s="730">
        <v>0</v>
      </c>
      <c r="EM97" s="734">
        <f t="shared" si="113"/>
        <v>0</v>
      </c>
      <c r="EN97" s="734">
        <f t="shared" si="114"/>
        <v>0</v>
      </c>
      <c r="EO97" s="734">
        <f t="shared" si="115"/>
        <v>0</v>
      </c>
      <c r="ER97" s="729" t="s">
        <v>849</v>
      </c>
      <c r="ES97" s="687">
        <v>1172394</v>
      </c>
      <c r="ET97" s="730">
        <f t="shared" si="116"/>
        <v>1172.394</v>
      </c>
      <c r="EW97" s="729" t="s">
        <v>561</v>
      </c>
      <c r="EX97" s="687">
        <v>0</v>
      </c>
      <c r="EY97" s="687">
        <v>15168121</v>
      </c>
      <c r="EZ97" s="687">
        <v>14624631</v>
      </c>
      <c r="FA97" s="687">
        <v>15168121</v>
      </c>
      <c r="FB97" s="687">
        <v>0</v>
      </c>
      <c r="FC97" s="730">
        <f t="shared" si="126"/>
        <v>0</v>
      </c>
      <c r="FD97" s="730">
        <f t="shared" si="127"/>
        <v>15168.120999999999</v>
      </c>
      <c r="FE97" s="730">
        <f t="shared" si="128"/>
        <v>14624.630999999999</v>
      </c>
      <c r="FF97" s="730">
        <f t="shared" si="129"/>
        <v>15168.120999999999</v>
      </c>
      <c r="FG97" s="730">
        <f t="shared" si="130"/>
        <v>0</v>
      </c>
      <c r="FJ97" s="731" t="s">
        <v>566</v>
      </c>
      <c r="FK97" s="730">
        <v>20374798</v>
      </c>
      <c r="FL97" s="734">
        <f t="shared" si="122"/>
        <v>20374.797999999999</v>
      </c>
      <c r="FN97" s="735" t="s">
        <v>560</v>
      </c>
      <c r="FO97" s="736">
        <v>6151771</v>
      </c>
      <c r="FP97" s="736">
        <v>5931859</v>
      </c>
      <c r="FQ97" s="736">
        <v>6151771</v>
      </c>
      <c r="FR97" s="736">
        <f t="shared" si="123"/>
        <v>6151.7709999999997</v>
      </c>
      <c r="FS97" s="736">
        <f t="shared" si="124"/>
        <v>5931.8590000000004</v>
      </c>
      <c r="FT97" s="736">
        <f t="shared" si="125"/>
        <v>6151.7709999999997</v>
      </c>
    </row>
    <row r="98" spans="1:176" ht="15" customHeight="1" x14ac:dyDescent="0.25">
      <c r="A98" s="728" t="s">
        <v>880</v>
      </c>
      <c r="B98" s="729" t="s">
        <v>384</v>
      </c>
      <c r="C98" s="687">
        <v>0</v>
      </c>
      <c r="D98" s="687">
        <v>105261032</v>
      </c>
      <c r="E98" s="687">
        <v>62534758</v>
      </c>
      <c r="F98" s="687">
        <v>42726274</v>
      </c>
      <c r="G98" s="687">
        <v>5035390</v>
      </c>
      <c r="H98" s="730">
        <f t="shared" si="72"/>
        <v>109681.99534400001</v>
      </c>
      <c r="I98" s="730">
        <f t="shared" si="73"/>
        <v>65161.217836000003</v>
      </c>
      <c r="J98" s="730">
        <f t="shared" si="74"/>
        <v>44520.777507999999</v>
      </c>
      <c r="K98" s="730">
        <f t="shared" si="75"/>
        <v>5246.8763800000006</v>
      </c>
      <c r="O98" s="729"/>
      <c r="P98" s="687"/>
      <c r="Q98" s="730"/>
      <c r="S98" s="729" t="s">
        <v>383</v>
      </c>
      <c r="T98" s="687">
        <v>408442842</v>
      </c>
      <c r="U98" s="687">
        <v>58313511</v>
      </c>
      <c r="V98" s="687">
        <v>212621309</v>
      </c>
      <c r="W98" s="687">
        <v>195821533</v>
      </c>
      <c r="X98" s="730">
        <f t="shared" si="77"/>
        <v>425597.44136400003</v>
      </c>
      <c r="Y98" s="730">
        <f t="shared" si="78"/>
        <v>60762.678462000003</v>
      </c>
      <c r="Z98" s="730">
        <f t="shared" si="79"/>
        <v>221551.40397800002</v>
      </c>
      <c r="AA98" s="730">
        <f t="shared" si="80"/>
        <v>204046.03738600001</v>
      </c>
      <c r="AC98" s="729" t="s">
        <v>595</v>
      </c>
      <c r="AD98" s="687">
        <v>18537891</v>
      </c>
      <c r="AE98" s="730">
        <f t="shared" si="81"/>
        <v>19316.482422000001</v>
      </c>
      <c r="AG98" s="729" t="s">
        <v>382</v>
      </c>
      <c r="AH98" s="687">
        <v>1116136</v>
      </c>
      <c r="AI98" s="687">
        <v>818636</v>
      </c>
      <c r="AJ98" s="687">
        <v>1116136</v>
      </c>
      <c r="AK98" s="687">
        <v>0</v>
      </c>
      <c r="AL98" s="687">
        <f t="shared" si="82"/>
        <v>1163.0137119999999</v>
      </c>
      <c r="AM98" s="687">
        <f t="shared" si="83"/>
        <v>853.01871200000005</v>
      </c>
      <c r="AN98" s="687">
        <f t="shared" si="84"/>
        <v>1163.0137119999999</v>
      </c>
      <c r="AO98" s="687">
        <f t="shared" si="85"/>
        <v>0</v>
      </c>
      <c r="AV98" s="729" t="s">
        <v>381</v>
      </c>
      <c r="AW98" s="687">
        <v>108734307</v>
      </c>
      <c r="AX98" s="687">
        <v>3587249</v>
      </c>
      <c r="AY98" s="687">
        <v>5026656</v>
      </c>
      <c r="AZ98" s="687">
        <v>103707651</v>
      </c>
      <c r="BA98" s="730">
        <f t="shared" si="87"/>
        <v>113301.14789400001</v>
      </c>
      <c r="BB98" s="730">
        <f t="shared" si="88"/>
        <v>3737.913458</v>
      </c>
      <c r="BC98" s="730">
        <f t="shared" si="89"/>
        <v>5237.7755520000001</v>
      </c>
      <c r="BD98" s="730">
        <f t="shared" si="90"/>
        <v>108063.372342</v>
      </c>
      <c r="BK98" s="754" t="s">
        <v>380</v>
      </c>
      <c r="BL98" s="687">
        <v>114831783</v>
      </c>
      <c r="BM98" s="687">
        <v>12235084</v>
      </c>
      <c r="BN98" s="687">
        <v>12235084</v>
      </c>
      <c r="BO98" s="687">
        <v>102596699</v>
      </c>
      <c r="BP98" s="687">
        <f t="shared" si="92"/>
        <v>119654.717886</v>
      </c>
      <c r="BQ98" s="687">
        <f t="shared" si="93"/>
        <v>12748.957528000001</v>
      </c>
      <c r="BR98" s="687">
        <f t="shared" si="94"/>
        <v>12748.957528000001</v>
      </c>
      <c r="BS98" s="755">
        <f t="shared" si="95"/>
        <v>106905.760358</v>
      </c>
      <c r="BV98" s="729" t="s">
        <v>594</v>
      </c>
      <c r="BW98" s="687">
        <v>27962296</v>
      </c>
      <c r="BX98" s="730">
        <f t="shared" si="96"/>
        <v>29136.712432</v>
      </c>
      <c r="BZ98" s="729" t="s">
        <v>380</v>
      </c>
      <c r="CA98" s="687">
        <v>114948549</v>
      </c>
      <c r="CB98" s="687">
        <v>12351850</v>
      </c>
      <c r="CC98" s="687">
        <v>111489799</v>
      </c>
      <c r="CD98" s="687">
        <v>3458750</v>
      </c>
      <c r="CE98" s="687">
        <f t="shared" si="97"/>
        <v>119776.388058</v>
      </c>
      <c r="CF98" s="687">
        <f t="shared" si="98"/>
        <v>12870.627700000001</v>
      </c>
      <c r="CG98" s="687">
        <f t="shared" si="99"/>
        <v>116172.37055800001</v>
      </c>
      <c r="CH98" s="687">
        <f t="shared" si="100"/>
        <v>3604.0174999999999</v>
      </c>
      <c r="CK98" s="731" t="s">
        <v>571</v>
      </c>
      <c r="CL98" s="730">
        <v>204961523</v>
      </c>
      <c r="CM98" s="730">
        <f t="shared" si="101"/>
        <v>213569.90696599998</v>
      </c>
      <c r="CP98" s="731" t="s">
        <v>381</v>
      </c>
      <c r="CQ98" s="730">
        <v>268315427</v>
      </c>
      <c r="CR98" s="730">
        <v>40835891</v>
      </c>
      <c r="CS98" s="730">
        <v>105275557</v>
      </c>
      <c r="CT98" s="730">
        <v>163039870</v>
      </c>
      <c r="CU98" s="730">
        <f t="shared" si="68"/>
        <v>279584.67493400001</v>
      </c>
      <c r="CV98" s="730">
        <f t="shared" si="69"/>
        <v>42550.998422000004</v>
      </c>
      <c r="CW98" s="730">
        <f t="shared" si="70"/>
        <v>109697.13039400001</v>
      </c>
      <c r="CX98" s="730">
        <f t="shared" si="71"/>
        <v>169887.54454</v>
      </c>
      <c r="CZ98" s="731" t="s">
        <v>395</v>
      </c>
      <c r="DA98" s="730">
        <v>406278341</v>
      </c>
      <c r="DB98" s="730">
        <f t="shared" si="102"/>
        <v>423342.03132200002</v>
      </c>
      <c r="DE98" s="729" t="s">
        <v>380</v>
      </c>
      <c r="DF98" s="687">
        <v>274139149</v>
      </c>
      <c r="DG98" s="687">
        <v>50605175</v>
      </c>
      <c r="DH98" s="687">
        <v>115044841</v>
      </c>
      <c r="DI98" s="687">
        <v>159094308</v>
      </c>
      <c r="DJ98" s="730">
        <f t="shared" si="103"/>
        <v>285652.993258</v>
      </c>
      <c r="DK98" s="730">
        <f t="shared" si="104"/>
        <v>52730.592350000006</v>
      </c>
      <c r="DL98" s="730">
        <f t="shared" si="105"/>
        <v>119876.72432200001</v>
      </c>
      <c r="DM98" s="730">
        <f t="shared" si="106"/>
        <v>165776.26893600001</v>
      </c>
      <c r="DP98" s="729" t="s">
        <v>844</v>
      </c>
      <c r="DQ98" s="687">
        <v>56745569</v>
      </c>
      <c r="DR98" s="730">
        <f t="shared" si="107"/>
        <v>56745.569000000003</v>
      </c>
      <c r="DT98" s="729" t="s">
        <v>380</v>
      </c>
      <c r="DU98" s="687">
        <v>273589149</v>
      </c>
      <c r="DV98" s="687">
        <v>116099181</v>
      </c>
      <c r="DW98" s="687">
        <v>117937888</v>
      </c>
      <c r="DX98" s="687">
        <v>155651261</v>
      </c>
      <c r="DY98" s="730">
        <f t="shared" si="108"/>
        <v>273589.14899999998</v>
      </c>
      <c r="DZ98" s="730">
        <f t="shared" si="109"/>
        <v>116099.181</v>
      </c>
      <c r="EA98" s="730">
        <f t="shared" si="110"/>
        <v>117937.88800000001</v>
      </c>
      <c r="EB98" s="730">
        <f t="shared" si="111"/>
        <v>155651.261</v>
      </c>
      <c r="EE98" s="731" t="s">
        <v>849</v>
      </c>
      <c r="EF98" s="730">
        <v>1467627</v>
      </c>
      <c r="EG98" s="734">
        <f t="shared" si="112"/>
        <v>1467.627</v>
      </c>
      <c r="EI98" s="731" t="s">
        <v>560</v>
      </c>
      <c r="EJ98" s="730">
        <v>1042975</v>
      </c>
      <c r="EK98" s="730">
        <v>1042975</v>
      </c>
      <c r="EL98" s="730">
        <v>614575</v>
      </c>
      <c r="EM98" s="734">
        <f t="shared" si="113"/>
        <v>1042.9749999999999</v>
      </c>
      <c r="EN98" s="734">
        <f t="shared" si="114"/>
        <v>1042.9749999999999</v>
      </c>
      <c r="EO98" s="734">
        <f t="shared" si="115"/>
        <v>614.57500000000005</v>
      </c>
      <c r="ER98" s="729" t="s">
        <v>577</v>
      </c>
      <c r="ES98" s="687">
        <v>103353620</v>
      </c>
      <c r="ET98" s="730">
        <f t="shared" si="116"/>
        <v>103353.62</v>
      </c>
      <c r="EW98" s="729" t="s">
        <v>379</v>
      </c>
      <c r="EX98" s="687">
        <v>0</v>
      </c>
      <c r="EY98" s="687">
        <v>285600</v>
      </c>
      <c r="EZ98" s="687">
        <v>285600</v>
      </c>
      <c r="FA98" s="687">
        <v>285600</v>
      </c>
      <c r="FB98" s="687">
        <v>0</v>
      </c>
      <c r="FC98" s="730">
        <f t="shared" si="126"/>
        <v>0</v>
      </c>
      <c r="FD98" s="730">
        <f t="shared" si="127"/>
        <v>285.60000000000002</v>
      </c>
      <c r="FE98" s="730">
        <f t="shared" si="128"/>
        <v>285.60000000000002</v>
      </c>
      <c r="FF98" s="730">
        <f t="shared" si="129"/>
        <v>285.60000000000002</v>
      </c>
      <c r="FG98" s="730">
        <f t="shared" si="130"/>
        <v>0</v>
      </c>
      <c r="FJ98" s="731" t="s">
        <v>469</v>
      </c>
      <c r="FK98" s="730">
        <v>2388858</v>
      </c>
      <c r="FL98" s="734">
        <f t="shared" si="122"/>
        <v>2388.8580000000002</v>
      </c>
      <c r="FN98" s="735" t="s">
        <v>561</v>
      </c>
      <c r="FO98" s="736">
        <v>15168122</v>
      </c>
      <c r="FP98" s="736">
        <v>15168122</v>
      </c>
      <c r="FQ98" s="736">
        <v>15168122</v>
      </c>
      <c r="FR98" s="736">
        <f t="shared" si="123"/>
        <v>15168.121999999999</v>
      </c>
      <c r="FS98" s="736">
        <f t="shared" si="124"/>
        <v>15168.121999999999</v>
      </c>
      <c r="FT98" s="736">
        <f t="shared" si="125"/>
        <v>15168.121999999999</v>
      </c>
    </row>
    <row r="99" spans="1:176" ht="15" customHeight="1" x14ac:dyDescent="0.25">
      <c r="A99" s="728" t="s">
        <v>880</v>
      </c>
      <c r="B99" s="729" t="s">
        <v>468</v>
      </c>
      <c r="C99" s="687">
        <v>0</v>
      </c>
      <c r="D99" s="687">
        <v>31888992</v>
      </c>
      <c r="E99" s="687">
        <v>31888992</v>
      </c>
      <c r="F99" s="687">
        <v>0</v>
      </c>
      <c r="G99" s="687">
        <v>0</v>
      </c>
      <c r="H99" s="730">
        <f t="shared" si="72"/>
        <v>33228.329663999997</v>
      </c>
      <c r="I99" s="730">
        <f t="shared" si="73"/>
        <v>33228.329663999997</v>
      </c>
      <c r="J99" s="730">
        <f t="shared" si="74"/>
        <v>0</v>
      </c>
      <c r="K99" s="730">
        <f t="shared" si="75"/>
        <v>0</v>
      </c>
      <c r="O99" s="729"/>
      <c r="P99" s="687"/>
      <c r="Q99" s="730"/>
      <c r="S99" s="729" t="s">
        <v>384</v>
      </c>
      <c r="T99" s="687">
        <v>106043608</v>
      </c>
      <c r="U99" s="687">
        <v>11597889</v>
      </c>
      <c r="V99" s="687">
        <v>73208604</v>
      </c>
      <c r="W99" s="687">
        <v>32835004</v>
      </c>
      <c r="X99" s="730">
        <f t="shared" si="77"/>
        <v>110497.43953599999</v>
      </c>
      <c r="Y99" s="730">
        <f t="shared" si="78"/>
        <v>12085.000338</v>
      </c>
      <c r="Z99" s="730">
        <f t="shared" si="79"/>
        <v>76283.365368000013</v>
      </c>
      <c r="AA99" s="730">
        <f t="shared" si="80"/>
        <v>34214.074167999999</v>
      </c>
      <c r="AC99" s="729" t="s">
        <v>844</v>
      </c>
      <c r="AD99" s="687">
        <v>18537891</v>
      </c>
      <c r="AE99" s="730">
        <f t="shared" si="81"/>
        <v>19316.482422000001</v>
      </c>
      <c r="AG99" s="729" t="s">
        <v>383</v>
      </c>
      <c r="AH99" s="687">
        <v>588286907</v>
      </c>
      <c r="AI99" s="687">
        <v>96543219</v>
      </c>
      <c r="AJ99" s="687">
        <v>255244925</v>
      </c>
      <c r="AK99" s="687">
        <v>333041982</v>
      </c>
      <c r="AL99" s="687">
        <f t="shared" si="82"/>
        <v>612994.95709400007</v>
      </c>
      <c r="AM99" s="687">
        <f t="shared" si="83"/>
        <v>100598.03419799999</v>
      </c>
      <c r="AN99" s="687">
        <f t="shared" si="84"/>
        <v>265965.21185000002</v>
      </c>
      <c r="AO99" s="687">
        <f t="shared" si="85"/>
        <v>347029.74524400005</v>
      </c>
      <c r="AV99" s="729" t="s">
        <v>382</v>
      </c>
      <c r="AW99" s="687">
        <v>1158976</v>
      </c>
      <c r="AX99" s="687">
        <v>1116136</v>
      </c>
      <c r="AY99" s="687">
        <v>1158976</v>
      </c>
      <c r="AZ99" s="687">
        <v>0</v>
      </c>
      <c r="BA99" s="730">
        <f t="shared" si="87"/>
        <v>1207.6529920000003</v>
      </c>
      <c r="BB99" s="730">
        <f t="shared" si="88"/>
        <v>1163.0137119999999</v>
      </c>
      <c r="BC99" s="730">
        <f t="shared" si="89"/>
        <v>1207.6529920000003</v>
      </c>
      <c r="BD99" s="730">
        <f t="shared" si="90"/>
        <v>0</v>
      </c>
      <c r="BK99" s="754" t="s">
        <v>381</v>
      </c>
      <c r="BL99" s="687">
        <v>108734307</v>
      </c>
      <c r="BM99" s="687">
        <v>6137608</v>
      </c>
      <c r="BN99" s="687">
        <v>6137608</v>
      </c>
      <c r="BO99" s="687">
        <v>102596699</v>
      </c>
      <c r="BP99" s="687">
        <f t="shared" si="92"/>
        <v>113301.14789400001</v>
      </c>
      <c r="BQ99" s="687">
        <f t="shared" si="93"/>
        <v>6395.3875360000002</v>
      </c>
      <c r="BR99" s="687">
        <f t="shared" si="94"/>
        <v>6395.3875360000002</v>
      </c>
      <c r="BS99" s="755">
        <f t="shared" si="95"/>
        <v>106905.760358</v>
      </c>
      <c r="BV99" s="729" t="s">
        <v>595</v>
      </c>
      <c r="BW99" s="687">
        <v>27962296</v>
      </c>
      <c r="BX99" s="730">
        <f t="shared" si="96"/>
        <v>29136.712432</v>
      </c>
      <c r="BZ99" s="729" t="s">
        <v>381</v>
      </c>
      <c r="CA99" s="687">
        <v>108734307</v>
      </c>
      <c r="CB99" s="687">
        <v>6137608</v>
      </c>
      <c r="CC99" s="687">
        <v>105275557</v>
      </c>
      <c r="CD99" s="687">
        <v>3458750</v>
      </c>
      <c r="CE99" s="687">
        <f t="shared" si="97"/>
        <v>113301.14789400001</v>
      </c>
      <c r="CF99" s="687">
        <f t="shared" si="98"/>
        <v>6395.3875360000002</v>
      </c>
      <c r="CG99" s="687">
        <f t="shared" si="99"/>
        <v>109697.13039400001</v>
      </c>
      <c r="CH99" s="687">
        <f t="shared" si="100"/>
        <v>3604.0174999999999</v>
      </c>
      <c r="CK99" s="731" t="s">
        <v>572</v>
      </c>
      <c r="CL99" s="730">
        <v>204961523</v>
      </c>
      <c r="CM99" s="730">
        <f t="shared" si="101"/>
        <v>213569.90696599998</v>
      </c>
      <c r="CP99" s="731" t="s">
        <v>382</v>
      </c>
      <c r="CQ99" s="730">
        <v>6323722</v>
      </c>
      <c r="CR99" s="730">
        <v>6323722</v>
      </c>
      <c r="CS99" s="730">
        <v>6323722</v>
      </c>
      <c r="CT99" s="730">
        <v>0</v>
      </c>
      <c r="CU99" s="730">
        <f t="shared" ref="CU99:CU130" si="131">+CQ99/$CV$1*$CW$1</f>
        <v>6589.3183239999998</v>
      </c>
      <c r="CV99" s="730">
        <f t="shared" ref="CV99:CV130" si="132">+CR99/$CV$1*$CW$1</f>
        <v>6589.3183239999998</v>
      </c>
      <c r="CW99" s="730">
        <f t="shared" ref="CW99:CW130" si="133">+CS99/$CV$1*$CW$1</f>
        <v>6589.3183239999998</v>
      </c>
      <c r="CX99" s="730">
        <f t="shared" ref="CX99:CX130" si="134">+CT99/$CV$1*$CW$1</f>
        <v>0</v>
      </c>
      <c r="CZ99" s="731" t="s">
        <v>396</v>
      </c>
      <c r="DA99" s="730">
        <v>406278341</v>
      </c>
      <c r="DB99" s="730">
        <f t="shared" si="102"/>
        <v>423342.03132200002</v>
      </c>
      <c r="DE99" s="729" t="s">
        <v>381</v>
      </c>
      <c r="DF99" s="687">
        <v>265915427</v>
      </c>
      <c r="DG99" s="687">
        <v>44281453</v>
      </c>
      <c r="DH99" s="687">
        <v>108721119</v>
      </c>
      <c r="DI99" s="687">
        <v>157194308</v>
      </c>
      <c r="DJ99" s="730">
        <f t="shared" si="103"/>
        <v>277083.87493400002</v>
      </c>
      <c r="DK99" s="730">
        <f t="shared" si="104"/>
        <v>46141.274026000006</v>
      </c>
      <c r="DL99" s="730">
        <f t="shared" si="105"/>
        <v>113287.40599800002</v>
      </c>
      <c r="DM99" s="730">
        <f t="shared" si="106"/>
        <v>163796.46893599999</v>
      </c>
      <c r="DP99" s="729" t="s">
        <v>873</v>
      </c>
      <c r="DQ99" s="687">
        <v>1717703457</v>
      </c>
      <c r="DR99" s="730">
        <f t="shared" si="107"/>
        <v>1717703.4569999999</v>
      </c>
      <c r="DT99" s="729" t="s">
        <v>381</v>
      </c>
      <c r="DU99" s="687">
        <v>265365427</v>
      </c>
      <c r="DV99" s="687">
        <v>108721119</v>
      </c>
      <c r="DW99" s="687">
        <v>110559826</v>
      </c>
      <c r="DX99" s="687">
        <v>154805601</v>
      </c>
      <c r="DY99" s="730">
        <f t="shared" si="108"/>
        <v>265365.42700000003</v>
      </c>
      <c r="DZ99" s="730">
        <f t="shared" si="109"/>
        <v>108721.11900000001</v>
      </c>
      <c r="EA99" s="730">
        <f t="shared" si="110"/>
        <v>110559.826</v>
      </c>
      <c r="EB99" s="730">
        <f t="shared" si="111"/>
        <v>154805.601</v>
      </c>
      <c r="EE99" s="731" t="s">
        <v>577</v>
      </c>
      <c r="EF99" s="730">
        <v>8018218</v>
      </c>
      <c r="EG99" s="734">
        <f t="shared" si="112"/>
        <v>8018.2179999999998</v>
      </c>
      <c r="EI99" s="731" t="s">
        <v>561</v>
      </c>
      <c r="EJ99" s="730">
        <v>19324024</v>
      </c>
      <c r="EK99" s="730">
        <v>4435141</v>
      </c>
      <c r="EL99" s="730">
        <v>3348160</v>
      </c>
      <c r="EM99" s="734">
        <f t="shared" si="113"/>
        <v>19324.024000000001</v>
      </c>
      <c r="EN99" s="734">
        <f t="shared" si="114"/>
        <v>4435.1409999999996</v>
      </c>
      <c r="EO99" s="734">
        <f t="shared" si="115"/>
        <v>3348.16</v>
      </c>
      <c r="ER99" s="729" t="s">
        <v>824</v>
      </c>
      <c r="ES99" s="687">
        <v>14394135</v>
      </c>
      <c r="ET99" s="730">
        <f t="shared" si="116"/>
        <v>14394.135</v>
      </c>
      <c r="EW99" s="729" t="s">
        <v>380</v>
      </c>
      <c r="EX99" s="687">
        <v>0</v>
      </c>
      <c r="EY99" s="687">
        <v>118424132</v>
      </c>
      <c r="EZ99" s="687">
        <v>118424132</v>
      </c>
      <c r="FA99" s="687">
        <v>118424132</v>
      </c>
      <c r="FB99" s="687">
        <v>0</v>
      </c>
      <c r="FC99" s="730">
        <f t="shared" si="126"/>
        <v>0</v>
      </c>
      <c r="FD99" s="730">
        <f t="shared" si="127"/>
        <v>118424.132</v>
      </c>
      <c r="FE99" s="730">
        <f t="shared" si="128"/>
        <v>118424.132</v>
      </c>
      <c r="FF99" s="730">
        <f t="shared" si="129"/>
        <v>118424.132</v>
      </c>
      <c r="FG99" s="730">
        <f t="shared" si="130"/>
        <v>0</v>
      </c>
      <c r="FJ99" s="731" t="s">
        <v>568</v>
      </c>
      <c r="FK99" s="730">
        <v>416616417</v>
      </c>
      <c r="FL99" s="734">
        <f t="shared" si="122"/>
        <v>416616.41700000002</v>
      </c>
      <c r="FN99" s="735" t="s">
        <v>379</v>
      </c>
      <c r="FO99" s="736">
        <v>285600</v>
      </c>
      <c r="FP99" s="736">
        <v>285600</v>
      </c>
      <c r="FQ99" s="736">
        <v>285600</v>
      </c>
      <c r="FR99" s="736">
        <f t="shared" si="123"/>
        <v>285.60000000000002</v>
      </c>
      <c r="FS99" s="736">
        <f t="shared" si="124"/>
        <v>285.60000000000002</v>
      </c>
      <c r="FT99" s="736">
        <f t="shared" si="125"/>
        <v>285.60000000000002</v>
      </c>
    </row>
    <row r="100" spans="1:176" ht="15" customHeight="1" x14ac:dyDescent="0.25">
      <c r="A100" s="728" t="s">
        <v>880</v>
      </c>
      <c r="B100" s="729" t="s">
        <v>562</v>
      </c>
      <c r="C100" s="687">
        <v>0</v>
      </c>
      <c r="D100" s="687">
        <v>144529406</v>
      </c>
      <c r="E100" s="687">
        <v>34208656</v>
      </c>
      <c r="F100" s="687">
        <v>110320750</v>
      </c>
      <c r="G100" s="687">
        <v>7219794</v>
      </c>
      <c r="H100" s="730">
        <f t="shared" si="72"/>
        <v>150599.64105199999</v>
      </c>
      <c r="I100" s="730">
        <f t="shared" si="73"/>
        <v>35645.419552000007</v>
      </c>
      <c r="J100" s="730">
        <f t="shared" si="74"/>
        <v>114954.2215</v>
      </c>
      <c r="K100" s="730">
        <f t="shared" si="75"/>
        <v>7523.0253480000001</v>
      </c>
      <c r="O100" s="729"/>
      <c r="P100" s="687"/>
      <c r="Q100" s="730"/>
      <c r="S100" s="729" t="s">
        <v>468</v>
      </c>
      <c r="T100" s="687">
        <v>31888992</v>
      </c>
      <c r="U100" s="687">
        <v>11589222</v>
      </c>
      <c r="V100" s="687">
        <v>31888992</v>
      </c>
      <c r="W100" s="687">
        <v>0</v>
      </c>
      <c r="X100" s="730">
        <f t="shared" si="77"/>
        <v>33228.329663999997</v>
      </c>
      <c r="Y100" s="730">
        <f t="shared" si="78"/>
        <v>12075.969324</v>
      </c>
      <c r="Z100" s="730">
        <f t="shared" si="79"/>
        <v>33228.329663999997</v>
      </c>
      <c r="AA100" s="730">
        <f t="shared" si="80"/>
        <v>0</v>
      </c>
      <c r="AC100" s="729" t="s">
        <v>873</v>
      </c>
      <c r="AD100" s="687">
        <v>793468000</v>
      </c>
      <c r="AE100" s="730">
        <f t="shared" si="81"/>
        <v>826793.65600000008</v>
      </c>
      <c r="AG100" s="729" t="s">
        <v>384</v>
      </c>
      <c r="AH100" s="687">
        <v>106043608</v>
      </c>
      <c r="AI100" s="687">
        <v>17905980</v>
      </c>
      <c r="AJ100" s="687">
        <v>73208604</v>
      </c>
      <c r="AK100" s="687">
        <v>32835004</v>
      </c>
      <c r="AL100" s="687">
        <f t="shared" si="82"/>
        <v>110497.43953599999</v>
      </c>
      <c r="AM100" s="687">
        <f t="shared" si="83"/>
        <v>18658.031159999999</v>
      </c>
      <c r="AN100" s="687">
        <f t="shared" si="84"/>
        <v>76283.365368000013</v>
      </c>
      <c r="AO100" s="687">
        <f t="shared" si="85"/>
        <v>34214.074167999999</v>
      </c>
      <c r="AV100" s="729" t="s">
        <v>383</v>
      </c>
      <c r="AW100" s="687">
        <v>694841292</v>
      </c>
      <c r="AX100" s="687">
        <v>145580305</v>
      </c>
      <c r="AY100" s="687">
        <v>300632957</v>
      </c>
      <c r="AZ100" s="687">
        <v>394208335</v>
      </c>
      <c r="BA100" s="730">
        <f t="shared" si="87"/>
        <v>724024.62626400008</v>
      </c>
      <c r="BB100" s="730">
        <f t="shared" si="88"/>
        <v>151694.67780999999</v>
      </c>
      <c r="BC100" s="730">
        <f t="shared" si="89"/>
        <v>313259.54119399999</v>
      </c>
      <c r="BD100" s="730">
        <f t="shared" si="90"/>
        <v>410765.08507000003</v>
      </c>
      <c r="BK100" s="754" t="s">
        <v>382</v>
      </c>
      <c r="BL100" s="687">
        <v>6097476</v>
      </c>
      <c r="BM100" s="687">
        <v>6097476</v>
      </c>
      <c r="BN100" s="687">
        <v>6097476</v>
      </c>
      <c r="BO100" s="687">
        <v>0</v>
      </c>
      <c r="BP100" s="687">
        <f t="shared" si="92"/>
        <v>6353.5699919999997</v>
      </c>
      <c r="BQ100" s="687">
        <f t="shared" si="93"/>
        <v>6353.5699919999997</v>
      </c>
      <c r="BR100" s="687">
        <f t="shared" si="94"/>
        <v>6353.5699919999997</v>
      </c>
      <c r="BS100" s="755">
        <f t="shared" si="95"/>
        <v>0</v>
      </c>
      <c r="BV100" s="729" t="s">
        <v>844</v>
      </c>
      <c r="BW100" s="687">
        <v>27962296</v>
      </c>
      <c r="BX100" s="730">
        <f t="shared" si="96"/>
        <v>29136.712432</v>
      </c>
      <c r="BZ100" s="729" t="s">
        <v>382</v>
      </c>
      <c r="CA100" s="687">
        <v>6214242</v>
      </c>
      <c r="CB100" s="687">
        <v>6214242</v>
      </c>
      <c r="CC100" s="687">
        <v>6214242</v>
      </c>
      <c r="CD100" s="687">
        <v>0</v>
      </c>
      <c r="CE100" s="687">
        <f t="shared" si="97"/>
        <v>6475.2401640000007</v>
      </c>
      <c r="CF100" s="687">
        <f t="shared" si="98"/>
        <v>6475.2401640000007</v>
      </c>
      <c r="CG100" s="687">
        <f t="shared" si="99"/>
        <v>6475.2401640000007</v>
      </c>
      <c r="CH100" s="687">
        <f t="shared" si="100"/>
        <v>0</v>
      </c>
      <c r="CK100" s="731" t="s">
        <v>573</v>
      </c>
      <c r="CL100" s="730">
        <v>204961523</v>
      </c>
      <c r="CM100" s="730">
        <f t="shared" si="101"/>
        <v>213569.90696599998</v>
      </c>
      <c r="CP100" s="731" t="s">
        <v>383</v>
      </c>
      <c r="CQ100" s="730">
        <v>812539818</v>
      </c>
      <c r="CR100" s="730">
        <v>470840379</v>
      </c>
      <c r="CS100" s="730">
        <v>695506545</v>
      </c>
      <c r="CT100" s="730">
        <v>117033273</v>
      </c>
      <c r="CU100" s="730">
        <f t="shared" si="131"/>
        <v>846666.49035600002</v>
      </c>
      <c r="CV100" s="730">
        <f t="shared" si="132"/>
        <v>490615.67491800006</v>
      </c>
      <c r="CW100" s="730">
        <f t="shared" si="133"/>
        <v>724717.81989000004</v>
      </c>
      <c r="CX100" s="730">
        <f t="shared" si="134"/>
        <v>121948.67046600001</v>
      </c>
      <c r="CZ100" s="731" t="s">
        <v>904</v>
      </c>
      <c r="DA100" s="730">
        <v>400000000</v>
      </c>
      <c r="DB100" s="730">
        <f t="shared" si="102"/>
        <v>416800</v>
      </c>
      <c r="DE100" s="729" t="s">
        <v>382</v>
      </c>
      <c r="DF100" s="687">
        <v>8223722</v>
      </c>
      <c r="DG100" s="687">
        <v>6323722</v>
      </c>
      <c r="DH100" s="687">
        <v>6323722</v>
      </c>
      <c r="DI100" s="687">
        <v>1900000</v>
      </c>
      <c r="DJ100" s="730">
        <f t="shared" si="103"/>
        <v>8569.1183240000009</v>
      </c>
      <c r="DK100" s="730">
        <f t="shared" si="104"/>
        <v>6589.3183239999998</v>
      </c>
      <c r="DL100" s="730">
        <f t="shared" si="105"/>
        <v>6589.3183239999998</v>
      </c>
      <c r="DM100" s="730">
        <f t="shared" si="106"/>
        <v>1979.8000000000002</v>
      </c>
      <c r="DP100" s="729" t="s">
        <v>874</v>
      </c>
      <c r="DQ100" s="687">
        <v>1717703457</v>
      </c>
      <c r="DR100" s="730">
        <f t="shared" si="107"/>
        <v>1717703.4569999999</v>
      </c>
      <c r="DT100" s="729" t="s">
        <v>382</v>
      </c>
      <c r="DU100" s="687">
        <v>8223722</v>
      </c>
      <c r="DV100" s="687">
        <v>7378062</v>
      </c>
      <c r="DW100" s="687">
        <v>7378062</v>
      </c>
      <c r="DX100" s="687">
        <v>845660</v>
      </c>
      <c r="DY100" s="730">
        <f t="shared" si="108"/>
        <v>8223.7219999999998</v>
      </c>
      <c r="DZ100" s="730">
        <f t="shared" si="109"/>
        <v>7378.0619999999999</v>
      </c>
      <c r="EA100" s="730">
        <f t="shared" si="110"/>
        <v>7378.0619999999999</v>
      </c>
      <c r="EB100" s="730">
        <f t="shared" si="111"/>
        <v>845.66</v>
      </c>
      <c r="EE100" s="731" t="s">
        <v>397</v>
      </c>
      <c r="EF100" s="730">
        <v>821098</v>
      </c>
      <c r="EG100" s="734">
        <f t="shared" si="112"/>
        <v>821.09799999999996</v>
      </c>
      <c r="EI100" s="731" t="s">
        <v>379</v>
      </c>
      <c r="EJ100" s="730">
        <v>285600</v>
      </c>
      <c r="EK100" s="730">
        <v>285600</v>
      </c>
      <c r="EL100" s="730">
        <v>285600</v>
      </c>
      <c r="EM100" s="734">
        <f t="shared" si="113"/>
        <v>285.60000000000002</v>
      </c>
      <c r="EN100" s="734">
        <f t="shared" si="114"/>
        <v>285.60000000000002</v>
      </c>
      <c r="EO100" s="734">
        <f t="shared" si="115"/>
        <v>285.60000000000002</v>
      </c>
      <c r="ER100" s="729" t="s">
        <v>398</v>
      </c>
      <c r="ES100" s="687">
        <v>88959485</v>
      </c>
      <c r="ET100" s="730">
        <f t="shared" si="116"/>
        <v>88959.485000000001</v>
      </c>
      <c r="EW100" s="729" t="s">
        <v>381</v>
      </c>
      <c r="EX100" s="687">
        <v>0</v>
      </c>
      <c r="EY100" s="687">
        <v>111046070</v>
      </c>
      <c r="EZ100" s="687">
        <v>111046070</v>
      </c>
      <c r="FA100" s="687">
        <v>111046070</v>
      </c>
      <c r="FB100" s="687">
        <v>0</v>
      </c>
      <c r="FC100" s="730">
        <f t="shared" si="126"/>
        <v>0</v>
      </c>
      <c r="FD100" s="730">
        <f t="shared" si="127"/>
        <v>111046.07</v>
      </c>
      <c r="FE100" s="730">
        <f t="shared" si="128"/>
        <v>111046.07</v>
      </c>
      <c r="FF100" s="730">
        <f t="shared" si="129"/>
        <v>111046.07</v>
      </c>
      <c r="FG100" s="730">
        <f t="shared" si="130"/>
        <v>0</v>
      </c>
      <c r="FJ100" s="731" t="s">
        <v>389</v>
      </c>
      <c r="FK100" s="730">
        <v>175899959</v>
      </c>
      <c r="FL100" s="734">
        <f t="shared" si="122"/>
        <v>175899.959</v>
      </c>
      <c r="FN100" s="735" t="s">
        <v>380</v>
      </c>
      <c r="FO100" s="736">
        <v>120014886</v>
      </c>
      <c r="FP100" s="736">
        <v>120014886</v>
      </c>
      <c r="FQ100" s="736">
        <v>120014886</v>
      </c>
      <c r="FR100" s="736">
        <f t="shared" si="123"/>
        <v>120014.886</v>
      </c>
      <c r="FS100" s="736">
        <f t="shared" si="124"/>
        <v>120014.886</v>
      </c>
      <c r="FT100" s="736">
        <f t="shared" si="125"/>
        <v>120014.886</v>
      </c>
    </row>
    <row r="101" spans="1:176" ht="15" customHeight="1" x14ac:dyDescent="0.25">
      <c r="A101" s="728" t="s">
        <v>880</v>
      </c>
      <c r="B101" s="729" t="s">
        <v>563</v>
      </c>
      <c r="C101" s="687">
        <v>0</v>
      </c>
      <c r="D101" s="687">
        <v>77010002</v>
      </c>
      <c r="E101" s="687">
        <v>5635000</v>
      </c>
      <c r="F101" s="687">
        <v>71375002</v>
      </c>
      <c r="G101" s="687">
        <v>230000</v>
      </c>
      <c r="H101" s="730">
        <f t="shared" si="72"/>
        <v>80244.422083999991</v>
      </c>
      <c r="I101" s="730">
        <f t="shared" si="73"/>
        <v>5871.67</v>
      </c>
      <c r="J101" s="730">
        <f t="shared" si="74"/>
        <v>74372.752083999992</v>
      </c>
      <c r="K101" s="730">
        <f t="shared" si="75"/>
        <v>239.66</v>
      </c>
      <c r="O101" s="729"/>
      <c r="P101" s="687"/>
      <c r="Q101" s="730"/>
      <c r="S101" s="729" t="s">
        <v>562</v>
      </c>
      <c r="T101" s="687">
        <v>155654563</v>
      </c>
      <c r="U101" s="687">
        <v>14643264</v>
      </c>
      <c r="V101" s="687">
        <v>47544955</v>
      </c>
      <c r="W101" s="687">
        <v>108109608</v>
      </c>
      <c r="X101" s="730">
        <f t="shared" si="77"/>
        <v>162192.054646</v>
      </c>
      <c r="Y101" s="730">
        <f t="shared" si="78"/>
        <v>15258.281088</v>
      </c>
      <c r="Z101" s="730">
        <f t="shared" si="79"/>
        <v>49541.843110000002</v>
      </c>
      <c r="AA101" s="730">
        <f t="shared" si="80"/>
        <v>112650.211536</v>
      </c>
      <c r="AC101" s="729" t="s">
        <v>874</v>
      </c>
      <c r="AD101" s="687">
        <v>793468000</v>
      </c>
      <c r="AE101" s="730">
        <f t="shared" si="81"/>
        <v>826793.65600000008</v>
      </c>
      <c r="AG101" s="729" t="s">
        <v>468</v>
      </c>
      <c r="AH101" s="687">
        <v>31888992</v>
      </c>
      <c r="AI101" s="687">
        <v>13899474</v>
      </c>
      <c r="AJ101" s="687">
        <v>31888992</v>
      </c>
      <c r="AK101" s="687">
        <v>0</v>
      </c>
      <c r="AL101" s="687">
        <f t="shared" si="82"/>
        <v>33228.329663999997</v>
      </c>
      <c r="AM101" s="687">
        <f t="shared" si="83"/>
        <v>14483.251908</v>
      </c>
      <c r="AN101" s="687">
        <f t="shared" si="84"/>
        <v>33228.329663999997</v>
      </c>
      <c r="AO101" s="687">
        <f t="shared" si="85"/>
        <v>0</v>
      </c>
      <c r="AV101" s="729" t="s">
        <v>384</v>
      </c>
      <c r="AW101" s="687">
        <v>107210276</v>
      </c>
      <c r="AX101" s="687">
        <v>23293032</v>
      </c>
      <c r="AY101" s="687">
        <v>80945611</v>
      </c>
      <c r="AZ101" s="687">
        <v>26264665</v>
      </c>
      <c r="BA101" s="730">
        <f t="shared" si="87"/>
        <v>111713.107592</v>
      </c>
      <c r="BB101" s="730">
        <f t="shared" si="88"/>
        <v>24271.339344</v>
      </c>
      <c r="BC101" s="730">
        <f t="shared" si="89"/>
        <v>84345.326662000007</v>
      </c>
      <c r="BD101" s="730">
        <f t="shared" si="90"/>
        <v>27367.780930000001</v>
      </c>
      <c r="BK101" s="754" t="s">
        <v>383</v>
      </c>
      <c r="BL101" s="687">
        <v>774938816</v>
      </c>
      <c r="BM101" s="687">
        <v>180696921</v>
      </c>
      <c r="BN101" s="687">
        <v>539196414</v>
      </c>
      <c r="BO101" s="687">
        <v>235742402</v>
      </c>
      <c r="BP101" s="687">
        <f t="shared" si="92"/>
        <v>807486.24627200002</v>
      </c>
      <c r="BQ101" s="687">
        <f t="shared" si="93"/>
        <v>188286.191682</v>
      </c>
      <c r="BR101" s="687">
        <f t="shared" si="94"/>
        <v>561842.66338799999</v>
      </c>
      <c r="BS101" s="755">
        <f t="shared" si="95"/>
        <v>245643.582884</v>
      </c>
      <c r="BV101" s="729" t="s">
        <v>577</v>
      </c>
      <c r="BW101" s="687">
        <v>2492325</v>
      </c>
      <c r="BX101" s="730">
        <f t="shared" si="96"/>
        <v>2597.0026499999999</v>
      </c>
      <c r="BZ101" s="729" t="s">
        <v>383</v>
      </c>
      <c r="CA101" s="687">
        <v>783652334</v>
      </c>
      <c r="CB101" s="687">
        <v>301019306</v>
      </c>
      <c r="CC101" s="687">
        <v>687283668</v>
      </c>
      <c r="CD101" s="687">
        <v>96368666</v>
      </c>
      <c r="CE101" s="687">
        <f t="shared" si="97"/>
        <v>816565.73202800006</v>
      </c>
      <c r="CF101" s="687">
        <f t="shared" si="98"/>
        <v>313662.11685200001</v>
      </c>
      <c r="CG101" s="687">
        <f t="shared" si="99"/>
        <v>716149.58205600001</v>
      </c>
      <c r="CH101" s="687">
        <f t="shared" si="100"/>
        <v>100416.149972</v>
      </c>
      <c r="CK101" s="731" t="s">
        <v>395</v>
      </c>
      <c r="CL101" s="730">
        <v>251599399</v>
      </c>
      <c r="CM101" s="730">
        <f t="shared" si="101"/>
        <v>262166.57375800004</v>
      </c>
      <c r="CP101" s="731" t="s">
        <v>384</v>
      </c>
      <c r="CQ101" s="730">
        <v>117377060</v>
      </c>
      <c r="CR101" s="730">
        <v>48421730</v>
      </c>
      <c r="CS101" s="730">
        <v>84886793</v>
      </c>
      <c r="CT101" s="730">
        <v>32490267</v>
      </c>
      <c r="CU101" s="730">
        <f t="shared" si="131"/>
        <v>122306.89651999999</v>
      </c>
      <c r="CV101" s="730">
        <f t="shared" si="132"/>
        <v>50455.442660000008</v>
      </c>
      <c r="CW101" s="730">
        <f t="shared" si="133"/>
        <v>88452.038306000002</v>
      </c>
      <c r="CX101" s="730">
        <f t="shared" si="134"/>
        <v>33854.858214</v>
      </c>
      <c r="CZ101" s="731" t="s">
        <v>499</v>
      </c>
      <c r="DA101" s="730">
        <v>6278341</v>
      </c>
      <c r="DB101" s="730">
        <f t="shared" si="102"/>
        <v>6542.0313220000007</v>
      </c>
      <c r="DE101" s="729" t="s">
        <v>383</v>
      </c>
      <c r="DF101" s="687">
        <v>820208997</v>
      </c>
      <c r="DG101" s="687">
        <v>519463428</v>
      </c>
      <c r="DH101" s="687">
        <v>723035961</v>
      </c>
      <c r="DI101" s="687">
        <v>97173036</v>
      </c>
      <c r="DJ101" s="730">
        <f t="shared" si="103"/>
        <v>854657.774874</v>
      </c>
      <c r="DK101" s="730">
        <f t="shared" si="104"/>
        <v>541280.89197600004</v>
      </c>
      <c r="DL101" s="730">
        <f t="shared" si="105"/>
        <v>753403.47136199998</v>
      </c>
      <c r="DM101" s="730">
        <f t="shared" si="106"/>
        <v>101254.303512</v>
      </c>
      <c r="DP101" s="729" t="s">
        <v>875</v>
      </c>
      <c r="DQ101" s="687">
        <v>1717703457</v>
      </c>
      <c r="DR101" s="730">
        <f t="shared" si="107"/>
        <v>1717703.4569999999</v>
      </c>
      <c r="DT101" s="729" t="s">
        <v>383</v>
      </c>
      <c r="DU101" s="687">
        <v>830072311</v>
      </c>
      <c r="DV101" s="687">
        <v>549412621</v>
      </c>
      <c r="DW101" s="687">
        <v>733866762</v>
      </c>
      <c r="DX101" s="687">
        <v>96205549</v>
      </c>
      <c r="DY101" s="730">
        <f t="shared" si="108"/>
        <v>830072.31099999999</v>
      </c>
      <c r="DZ101" s="730">
        <f t="shared" si="109"/>
        <v>549412.62100000004</v>
      </c>
      <c r="EA101" s="730">
        <f t="shared" si="110"/>
        <v>733866.76199999999</v>
      </c>
      <c r="EB101" s="730">
        <f t="shared" si="111"/>
        <v>96205.548999999999</v>
      </c>
      <c r="EE101" s="731" t="s">
        <v>578</v>
      </c>
      <c r="EF101" s="730">
        <v>821098</v>
      </c>
      <c r="EG101" s="734">
        <f t="shared" si="112"/>
        <v>821.09799999999996</v>
      </c>
      <c r="EI101" s="731" t="s">
        <v>380</v>
      </c>
      <c r="EJ101" s="730">
        <v>236700000</v>
      </c>
      <c r="EK101" s="730">
        <v>117937888</v>
      </c>
      <c r="EL101" s="730">
        <v>117937888</v>
      </c>
      <c r="EM101" s="734">
        <f t="shared" si="113"/>
        <v>236700</v>
      </c>
      <c r="EN101" s="734">
        <f t="shared" si="114"/>
        <v>117937.88800000001</v>
      </c>
      <c r="EO101" s="734">
        <f t="shared" si="115"/>
        <v>117937.88800000001</v>
      </c>
      <c r="ER101" s="729" t="s">
        <v>579</v>
      </c>
      <c r="ES101" s="687">
        <v>88959485</v>
      </c>
      <c r="ET101" s="730">
        <f t="shared" si="116"/>
        <v>88959.485000000001</v>
      </c>
      <c r="EW101" s="729" t="s">
        <v>382</v>
      </c>
      <c r="EX101" s="687">
        <v>0</v>
      </c>
      <c r="EY101" s="687">
        <v>7378062</v>
      </c>
      <c r="EZ101" s="687">
        <v>7378062</v>
      </c>
      <c r="FA101" s="687">
        <v>7378062</v>
      </c>
      <c r="FB101" s="687">
        <v>0</v>
      </c>
      <c r="FC101" s="730">
        <f t="shared" si="126"/>
        <v>0</v>
      </c>
      <c r="FD101" s="730">
        <f t="shared" si="127"/>
        <v>7378.0619999999999</v>
      </c>
      <c r="FE101" s="730">
        <f t="shared" si="128"/>
        <v>7378.0619999999999</v>
      </c>
      <c r="FF101" s="730">
        <f t="shared" si="129"/>
        <v>7378.0619999999999</v>
      </c>
      <c r="FG101" s="730">
        <f t="shared" si="130"/>
        <v>0</v>
      </c>
      <c r="FJ101" s="731" t="s">
        <v>390</v>
      </c>
      <c r="FK101" s="730">
        <v>16715000</v>
      </c>
      <c r="FL101" s="734">
        <f t="shared" si="122"/>
        <v>16715</v>
      </c>
      <c r="FN101" s="735" t="s">
        <v>381</v>
      </c>
      <c r="FO101" s="736">
        <v>112636824</v>
      </c>
      <c r="FP101" s="736">
        <v>112636824</v>
      </c>
      <c r="FQ101" s="736">
        <v>112636824</v>
      </c>
      <c r="FR101" s="736">
        <f t="shared" si="123"/>
        <v>112636.82399999999</v>
      </c>
      <c r="FS101" s="736">
        <f t="shared" si="124"/>
        <v>112636.82399999999</v>
      </c>
      <c r="FT101" s="736">
        <f t="shared" si="125"/>
        <v>112636.82399999999</v>
      </c>
    </row>
    <row r="102" spans="1:176" ht="15" customHeight="1" x14ac:dyDescent="0.25">
      <c r="A102" s="728" t="s">
        <v>880</v>
      </c>
      <c r="B102" s="729" t="s">
        <v>564</v>
      </c>
      <c r="C102" s="687">
        <v>0</v>
      </c>
      <c r="D102" s="687">
        <v>3000000</v>
      </c>
      <c r="E102" s="687">
        <v>1370095</v>
      </c>
      <c r="F102" s="687">
        <v>1629905</v>
      </c>
      <c r="G102" s="687">
        <v>0</v>
      </c>
      <c r="H102" s="730">
        <f t="shared" si="72"/>
        <v>3126</v>
      </c>
      <c r="I102" s="730">
        <f t="shared" si="73"/>
        <v>1427.6389900000001</v>
      </c>
      <c r="J102" s="730">
        <f t="shared" si="74"/>
        <v>1698.3610100000001</v>
      </c>
      <c r="K102" s="730">
        <f t="shared" si="75"/>
        <v>0</v>
      </c>
      <c r="O102" s="729"/>
      <c r="P102" s="687"/>
      <c r="Q102" s="730"/>
      <c r="S102" s="729" t="s">
        <v>563</v>
      </c>
      <c r="T102" s="687">
        <v>77010001</v>
      </c>
      <c r="U102" s="687">
        <v>4692760</v>
      </c>
      <c r="V102" s="687">
        <v>39687715</v>
      </c>
      <c r="W102" s="687">
        <v>37322286</v>
      </c>
      <c r="X102" s="730">
        <f t="shared" si="77"/>
        <v>80244.421042000002</v>
      </c>
      <c r="Y102" s="730">
        <f t="shared" si="78"/>
        <v>4889.85592</v>
      </c>
      <c r="Z102" s="730">
        <f t="shared" si="79"/>
        <v>41354.599029999998</v>
      </c>
      <c r="AA102" s="730">
        <f t="shared" si="80"/>
        <v>38889.822012000004</v>
      </c>
      <c r="AC102" s="729" t="s">
        <v>875</v>
      </c>
      <c r="AD102" s="687">
        <v>793468000</v>
      </c>
      <c r="AE102" s="730">
        <f t="shared" si="81"/>
        <v>826793.65600000008</v>
      </c>
      <c r="AG102" s="729" t="s">
        <v>562</v>
      </c>
      <c r="AH102" s="687">
        <v>156265651</v>
      </c>
      <c r="AI102" s="687">
        <v>36052002</v>
      </c>
      <c r="AJ102" s="687">
        <v>71128465</v>
      </c>
      <c r="AK102" s="687">
        <v>85137186</v>
      </c>
      <c r="AL102" s="687">
        <f t="shared" si="82"/>
        <v>162828.80834200003</v>
      </c>
      <c r="AM102" s="687">
        <f t="shared" si="83"/>
        <v>37566.186084000001</v>
      </c>
      <c r="AN102" s="687">
        <f t="shared" si="84"/>
        <v>74115.860530000005</v>
      </c>
      <c r="AO102" s="687">
        <f t="shared" si="85"/>
        <v>88712.947811999999</v>
      </c>
      <c r="AV102" s="729" t="s">
        <v>468</v>
      </c>
      <c r="AW102" s="687">
        <v>31888992</v>
      </c>
      <c r="AX102" s="687">
        <v>14732664</v>
      </c>
      <c r="AY102" s="687">
        <v>31888992</v>
      </c>
      <c r="AZ102" s="687">
        <v>0</v>
      </c>
      <c r="BA102" s="730">
        <f t="shared" si="87"/>
        <v>33228.329663999997</v>
      </c>
      <c r="BB102" s="730">
        <f t="shared" si="88"/>
        <v>15351.435888000002</v>
      </c>
      <c r="BC102" s="730">
        <f t="shared" si="89"/>
        <v>33228.329663999997</v>
      </c>
      <c r="BD102" s="730">
        <f t="shared" si="90"/>
        <v>0</v>
      </c>
      <c r="BK102" s="754" t="s">
        <v>384</v>
      </c>
      <c r="BL102" s="687">
        <v>106079811</v>
      </c>
      <c r="BM102" s="687">
        <v>32618580</v>
      </c>
      <c r="BN102" s="687">
        <v>80945611</v>
      </c>
      <c r="BO102" s="687">
        <v>25134200</v>
      </c>
      <c r="BP102" s="687">
        <f t="shared" si="92"/>
        <v>110535.16306200001</v>
      </c>
      <c r="BQ102" s="687">
        <f t="shared" si="93"/>
        <v>33988.560360000003</v>
      </c>
      <c r="BR102" s="687">
        <f t="shared" si="94"/>
        <v>84345.326662000007</v>
      </c>
      <c r="BS102" s="755">
        <f t="shared" si="95"/>
        <v>26189.8364</v>
      </c>
      <c r="BV102" s="729" t="s">
        <v>398</v>
      </c>
      <c r="BW102" s="687">
        <v>2492325</v>
      </c>
      <c r="BX102" s="730">
        <f t="shared" si="96"/>
        <v>2597.0026499999999</v>
      </c>
      <c r="BZ102" s="729" t="s">
        <v>384</v>
      </c>
      <c r="CA102" s="687">
        <v>113332466</v>
      </c>
      <c r="CB102" s="687">
        <v>39724514</v>
      </c>
      <c r="CC102" s="687">
        <v>93186411</v>
      </c>
      <c r="CD102" s="687">
        <v>20146055</v>
      </c>
      <c r="CE102" s="687">
        <f t="shared" si="97"/>
        <v>118092.42957200001</v>
      </c>
      <c r="CF102" s="687">
        <f t="shared" si="98"/>
        <v>41392.943588000002</v>
      </c>
      <c r="CG102" s="687">
        <f t="shared" si="99"/>
        <v>97100.240261999992</v>
      </c>
      <c r="CH102" s="687">
        <f t="shared" si="100"/>
        <v>20992.189310000002</v>
      </c>
      <c r="CK102" s="731" t="s">
        <v>396</v>
      </c>
      <c r="CL102" s="730">
        <v>7313411</v>
      </c>
      <c r="CM102" s="730">
        <f t="shared" si="101"/>
        <v>7620.5742620000001</v>
      </c>
      <c r="CP102" s="731" t="s">
        <v>468</v>
      </c>
      <c r="CQ102" s="730">
        <v>31888992</v>
      </c>
      <c r="CR102" s="730">
        <v>17232234</v>
      </c>
      <c r="CS102" s="730">
        <v>31888992</v>
      </c>
      <c r="CT102" s="730">
        <v>0</v>
      </c>
      <c r="CU102" s="730">
        <f t="shared" si="131"/>
        <v>33228.329663999997</v>
      </c>
      <c r="CV102" s="730">
        <f t="shared" si="132"/>
        <v>17955.987828000001</v>
      </c>
      <c r="CW102" s="730">
        <f t="shared" si="133"/>
        <v>33228.329663999997</v>
      </c>
      <c r="CX102" s="730">
        <f t="shared" si="134"/>
        <v>0</v>
      </c>
      <c r="CZ102" s="731" t="s">
        <v>594</v>
      </c>
      <c r="DA102" s="730">
        <v>57208615</v>
      </c>
      <c r="DB102" s="730">
        <f t="shared" si="102"/>
        <v>59611.376830000001</v>
      </c>
      <c r="DE102" s="729" t="s">
        <v>384</v>
      </c>
      <c r="DF102" s="687">
        <v>124080213</v>
      </c>
      <c r="DG102" s="687">
        <v>54785929</v>
      </c>
      <c r="DH102" s="687">
        <v>93845707</v>
      </c>
      <c r="DI102" s="687">
        <v>30234506</v>
      </c>
      <c r="DJ102" s="730">
        <f t="shared" si="103"/>
        <v>129291.58194600001</v>
      </c>
      <c r="DK102" s="730">
        <f t="shared" si="104"/>
        <v>57086.938018000001</v>
      </c>
      <c r="DL102" s="730">
        <f t="shared" si="105"/>
        <v>97787.226693999997</v>
      </c>
      <c r="DM102" s="730">
        <f t="shared" si="106"/>
        <v>31504.355252000001</v>
      </c>
      <c r="DP102" s="729" t="s">
        <v>399</v>
      </c>
      <c r="DQ102" s="687">
        <v>5421732476</v>
      </c>
      <c r="DR102" s="730">
        <f t="shared" si="107"/>
        <v>5421732.4759999998</v>
      </c>
      <c r="DT102" s="729" t="s">
        <v>384</v>
      </c>
      <c r="DU102" s="687">
        <v>122939283</v>
      </c>
      <c r="DV102" s="687">
        <v>65072972</v>
      </c>
      <c r="DW102" s="687">
        <v>92386441</v>
      </c>
      <c r="DX102" s="687">
        <v>30552842</v>
      </c>
      <c r="DY102" s="730">
        <f t="shared" si="108"/>
        <v>122939.283</v>
      </c>
      <c r="DZ102" s="730">
        <f t="shared" si="109"/>
        <v>65072.972000000002</v>
      </c>
      <c r="EA102" s="730">
        <f t="shared" si="110"/>
        <v>92386.441000000006</v>
      </c>
      <c r="EB102" s="730">
        <f t="shared" si="111"/>
        <v>30552.842000000001</v>
      </c>
      <c r="EE102" s="731" t="s">
        <v>398</v>
      </c>
      <c r="EF102" s="730">
        <v>7197120</v>
      </c>
      <c r="EG102" s="734">
        <f t="shared" si="112"/>
        <v>7197.12</v>
      </c>
      <c r="EI102" s="731" t="s">
        <v>381</v>
      </c>
      <c r="EJ102" s="730">
        <v>228476278</v>
      </c>
      <c r="EK102" s="730">
        <v>110559826</v>
      </c>
      <c r="EL102" s="730">
        <v>110559826</v>
      </c>
      <c r="EM102" s="734">
        <f t="shared" si="113"/>
        <v>228476.27799999999</v>
      </c>
      <c r="EN102" s="734">
        <f t="shared" si="114"/>
        <v>110559.826</v>
      </c>
      <c r="EO102" s="734">
        <f t="shared" si="115"/>
        <v>110559.826</v>
      </c>
      <c r="ER102" s="729" t="s">
        <v>873</v>
      </c>
      <c r="ES102" s="687">
        <v>4109387127</v>
      </c>
      <c r="ET102" s="730">
        <f t="shared" si="116"/>
        <v>4109387.1269999999</v>
      </c>
      <c r="EW102" s="729" t="s">
        <v>383</v>
      </c>
      <c r="EX102" s="687">
        <v>0</v>
      </c>
      <c r="EY102" s="687">
        <v>875528837</v>
      </c>
      <c r="EZ102" s="687">
        <v>767634449</v>
      </c>
      <c r="FA102" s="687">
        <v>856196451</v>
      </c>
      <c r="FB102" s="687">
        <v>19332386</v>
      </c>
      <c r="FC102" s="730">
        <f t="shared" si="126"/>
        <v>0</v>
      </c>
      <c r="FD102" s="730">
        <f t="shared" si="127"/>
        <v>875528.83700000006</v>
      </c>
      <c r="FE102" s="730">
        <f t="shared" si="128"/>
        <v>767634.44900000002</v>
      </c>
      <c r="FF102" s="730">
        <f t="shared" si="129"/>
        <v>856196.451</v>
      </c>
      <c r="FG102" s="730">
        <f t="shared" si="130"/>
        <v>19332.385999999999</v>
      </c>
      <c r="FJ102" s="731" t="s">
        <v>391</v>
      </c>
      <c r="FK102" s="730">
        <v>216207430</v>
      </c>
      <c r="FL102" s="734">
        <f t="shared" si="122"/>
        <v>216207.43</v>
      </c>
      <c r="FN102" s="735" t="s">
        <v>382</v>
      </c>
      <c r="FO102" s="736">
        <v>7378062</v>
      </c>
      <c r="FP102" s="736">
        <v>7378062</v>
      </c>
      <c r="FQ102" s="736">
        <v>7378062</v>
      </c>
      <c r="FR102" s="736">
        <f t="shared" si="123"/>
        <v>7378.0619999999999</v>
      </c>
      <c r="FS102" s="736">
        <f t="shared" si="124"/>
        <v>7378.0619999999999</v>
      </c>
      <c r="FT102" s="736">
        <f t="shared" si="125"/>
        <v>7378.0619999999999</v>
      </c>
    </row>
    <row r="103" spans="1:176" ht="15" customHeight="1" x14ac:dyDescent="0.25">
      <c r="A103" s="728" t="s">
        <v>880</v>
      </c>
      <c r="B103" s="729" t="s">
        <v>385</v>
      </c>
      <c r="C103" s="687">
        <v>0</v>
      </c>
      <c r="D103" s="687">
        <v>28295500</v>
      </c>
      <c r="E103" s="687">
        <v>16009901</v>
      </c>
      <c r="F103" s="687">
        <v>12285599</v>
      </c>
      <c r="G103" s="687">
        <v>11967901</v>
      </c>
      <c r="H103" s="730">
        <f t="shared" si="72"/>
        <v>29483.911</v>
      </c>
      <c r="I103" s="730">
        <f t="shared" si="73"/>
        <v>16682.316842</v>
      </c>
      <c r="J103" s="730">
        <f t="shared" si="74"/>
        <v>12801.594158</v>
      </c>
      <c r="K103" s="730">
        <f t="shared" si="75"/>
        <v>12470.552842000001</v>
      </c>
      <c r="O103" s="729"/>
      <c r="P103" s="687"/>
      <c r="Q103" s="730"/>
      <c r="S103" s="729" t="s">
        <v>564</v>
      </c>
      <c r="T103" s="687">
        <v>3000000</v>
      </c>
      <c r="U103" s="687">
        <v>1501975</v>
      </c>
      <c r="V103" s="687">
        <v>1748822</v>
      </c>
      <c r="W103" s="687">
        <v>1251178</v>
      </c>
      <c r="X103" s="730">
        <f t="shared" si="77"/>
        <v>3126</v>
      </c>
      <c r="Y103" s="730">
        <f t="shared" si="78"/>
        <v>1565.0579499999999</v>
      </c>
      <c r="Z103" s="730">
        <f t="shared" si="79"/>
        <v>1822.272524</v>
      </c>
      <c r="AA103" s="730">
        <f t="shared" si="80"/>
        <v>1303.7274760000003</v>
      </c>
      <c r="AC103" s="729" t="s">
        <v>399</v>
      </c>
      <c r="AD103" s="687">
        <v>7947854937</v>
      </c>
      <c r="AE103" s="730">
        <f t="shared" si="81"/>
        <v>8281664.8443539999</v>
      </c>
      <c r="AG103" s="729" t="s">
        <v>563</v>
      </c>
      <c r="AH103" s="687">
        <v>77010001</v>
      </c>
      <c r="AI103" s="687">
        <v>8400700</v>
      </c>
      <c r="AJ103" s="687">
        <v>44387715</v>
      </c>
      <c r="AK103" s="687">
        <v>32622286</v>
      </c>
      <c r="AL103" s="687">
        <f t="shared" si="82"/>
        <v>80244.421042000002</v>
      </c>
      <c r="AM103" s="687">
        <f t="shared" si="83"/>
        <v>8753.5294000000013</v>
      </c>
      <c r="AN103" s="687">
        <f t="shared" si="84"/>
        <v>46251.999029999999</v>
      </c>
      <c r="AO103" s="687">
        <f t="shared" si="85"/>
        <v>33992.422012000003</v>
      </c>
      <c r="AV103" s="729" t="s">
        <v>562</v>
      </c>
      <c r="AW103" s="687">
        <v>157746828</v>
      </c>
      <c r="AX103" s="687">
        <v>55523636</v>
      </c>
      <c r="AY103" s="687">
        <v>87589429</v>
      </c>
      <c r="AZ103" s="687">
        <v>70157399</v>
      </c>
      <c r="BA103" s="730">
        <f t="shared" si="87"/>
        <v>164372.19477600002</v>
      </c>
      <c r="BB103" s="730">
        <f t="shared" si="88"/>
        <v>57855.628711999998</v>
      </c>
      <c r="BC103" s="730">
        <f t="shared" si="89"/>
        <v>91268.185018000004</v>
      </c>
      <c r="BD103" s="730">
        <f t="shared" si="90"/>
        <v>73104.009758000015</v>
      </c>
      <c r="BK103" s="754" t="s">
        <v>468</v>
      </c>
      <c r="BL103" s="687">
        <v>31888992</v>
      </c>
      <c r="BM103" s="687">
        <v>15565854</v>
      </c>
      <c r="BN103" s="687">
        <v>31888992</v>
      </c>
      <c r="BO103" s="687">
        <v>0</v>
      </c>
      <c r="BP103" s="687">
        <f t="shared" si="92"/>
        <v>33228.329663999997</v>
      </c>
      <c r="BQ103" s="687">
        <f t="shared" si="93"/>
        <v>16219.619868</v>
      </c>
      <c r="BR103" s="687">
        <f t="shared" si="94"/>
        <v>33228.329663999997</v>
      </c>
      <c r="BS103" s="755">
        <f t="shared" si="95"/>
        <v>0</v>
      </c>
      <c r="BV103" s="729" t="s">
        <v>762</v>
      </c>
      <c r="BW103" s="687">
        <v>2492325</v>
      </c>
      <c r="BX103" s="730">
        <f t="shared" si="96"/>
        <v>2597.0026499999999</v>
      </c>
      <c r="BZ103" s="729" t="s">
        <v>468</v>
      </c>
      <c r="CA103" s="687">
        <v>31888992</v>
      </c>
      <c r="CB103" s="687">
        <v>16399044</v>
      </c>
      <c r="CC103" s="687">
        <v>31888992</v>
      </c>
      <c r="CD103" s="687">
        <v>0</v>
      </c>
      <c r="CE103" s="687">
        <f t="shared" si="97"/>
        <v>33228.329663999997</v>
      </c>
      <c r="CF103" s="687">
        <f t="shared" si="98"/>
        <v>17087.803848000003</v>
      </c>
      <c r="CG103" s="687">
        <f t="shared" si="99"/>
        <v>33228.329663999997</v>
      </c>
      <c r="CH103" s="687">
        <f t="shared" si="100"/>
        <v>0</v>
      </c>
      <c r="CK103" s="731" t="s">
        <v>499</v>
      </c>
      <c r="CL103" s="730">
        <v>7313411</v>
      </c>
      <c r="CM103" s="730">
        <f t="shared" si="101"/>
        <v>7620.5742620000001</v>
      </c>
      <c r="CP103" s="731" t="s">
        <v>562</v>
      </c>
      <c r="CQ103" s="730">
        <v>161012813</v>
      </c>
      <c r="CR103" s="730">
        <v>104632295</v>
      </c>
      <c r="CS103" s="730">
        <v>130456586</v>
      </c>
      <c r="CT103" s="730">
        <v>30556227</v>
      </c>
      <c r="CU103" s="730">
        <f t="shared" si="131"/>
        <v>167775.351146</v>
      </c>
      <c r="CV103" s="730">
        <f t="shared" si="132"/>
        <v>109026.85139</v>
      </c>
      <c r="CW103" s="730">
        <f t="shared" si="133"/>
        <v>135935.76261199999</v>
      </c>
      <c r="CX103" s="730">
        <f t="shared" si="134"/>
        <v>31839.588533999999</v>
      </c>
      <c r="CZ103" s="731" t="s">
        <v>595</v>
      </c>
      <c r="DA103" s="730">
        <v>57208615</v>
      </c>
      <c r="DB103" s="730">
        <f t="shared" si="102"/>
        <v>59611.376830000001</v>
      </c>
      <c r="DE103" s="729" t="s">
        <v>468</v>
      </c>
      <c r="DF103" s="687">
        <v>31888992</v>
      </c>
      <c r="DG103" s="687">
        <v>18065424</v>
      </c>
      <c r="DH103" s="687">
        <v>31888992</v>
      </c>
      <c r="DI103" s="687">
        <v>0</v>
      </c>
      <c r="DJ103" s="730">
        <f t="shared" si="103"/>
        <v>33228.329663999997</v>
      </c>
      <c r="DK103" s="730">
        <f t="shared" si="104"/>
        <v>18824.171807999999</v>
      </c>
      <c r="DL103" s="730">
        <f t="shared" si="105"/>
        <v>33228.329663999997</v>
      </c>
      <c r="DM103" s="730">
        <f t="shared" si="106"/>
        <v>0</v>
      </c>
      <c r="DP103" s="729" t="s">
        <v>400</v>
      </c>
      <c r="DQ103" s="687">
        <v>5421732476</v>
      </c>
      <c r="DR103" s="730">
        <f t="shared" si="107"/>
        <v>5421732.4759999998</v>
      </c>
      <c r="DT103" s="729" t="s">
        <v>468</v>
      </c>
      <c r="DU103" s="687">
        <v>31888992</v>
      </c>
      <c r="DV103" s="687">
        <v>18898614</v>
      </c>
      <c r="DW103" s="687">
        <v>31888992</v>
      </c>
      <c r="DX103" s="687">
        <v>0</v>
      </c>
      <c r="DY103" s="730">
        <f t="shared" si="108"/>
        <v>31888.991999999998</v>
      </c>
      <c r="DZ103" s="730">
        <f t="shared" si="109"/>
        <v>18898.614000000001</v>
      </c>
      <c r="EA103" s="730">
        <f t="shared" si="110"/>
        <v>31888.991999999998</v>
      </c>
      <c r="EB103" s="730">
        <f t="shared" si="111"/>
        <v>0</v>
      </c>
      <c r="EE103" s="731" t="s">
        <v>579</v>
      </c>
      <c r="EF103" s="730">
        <v>7197120</v>
      </c>
      <c r="EG103" s="734">
        <f t="shared" si="112"/>
        <v>7197.12</v>
      </c>
      <c r="EI103" s="731" t="s">
        <v>382</v>
      </c>
      <c r="EJ103" s="730">
        <v>8223722</v>
      </c>
      <c r="EK103" s="730">
        <v>7378062</v>
      </c>
      <c r="EL103" s="730">
        <v>7378062</v>
      </c>
      <c r="EM103" s="734">
        <f t="shared" si="113"/>
        <v>8223.7219999999998</v>
      </c>
      <c r="EN103" s="734">
        <f t="shared" si="114"/>
        <v>7378.0619999999999</v>
      </c>
      <c r="EO103" s="734">
        <f t="shared" si="115"/>
        <v>7378.0619999999999</v>
      </c>
      <c r="ER103" s="729" t="s">
        <v>874</v>
      </c>
      <c r="ES103" s="687">
        <v>4109387127</v>
      </c>
      <c r="ET103" s="730">
        <f t="shared" si="116"/>
        <v>4109387.1269999999</v>
      </c>
      <c r="EW103" s="729" t="s">
        <v>384</v>
      </c>
      <c r="EX103" s="687">
        <v>0</v>
      </c>
      <c r="EY103" s="687">
        <v>102856931</v>
      </c>
      <c r="EZ103" s="687">
        <v>80724709</v>
      </c>
      <c r="FA103" s="687">
        <v>101690264</v>
      </c>
      <c r="FB103" s="687">
        <v>1166667</v>
      </c>
      <c r="FC103" s="730">
        <f t="shared" si="126"/>
        <v>0</v>
      </c>
      <c r="FD103" s="730">
        <f t="shared" si="127"/>
        <v>102856.931</v>
      </c>
      <c r="FE103" s="730">
        <f t="shared" si="128"/>
        <v>80724.709000000003</v>
      </c>
      <c r="FF103" s="730">
        <f t="shared" si="129"/>
        <v>101690.264</v>
      </c>
      <c r="FG103" s="730">
        <f t="shared" si="130"/>
        <v>1166.6669999999999</v>
      </c>
      <c r="FJ103" s="731" t="s">
        <v>392</v>
      </c>
      <c r="FK103" s="730">
        <v>7794028</v>
      </c>
      <c r="FL103" s="734">
        <f t="shared" si="122"/>
        <v>7794.0280000000002</v>
      </c>
      <c r="FN103" s="735" t="s">
        <v>383</v>
      </c>
      <c r="FO103" s="736">
        <v>838487308</v>
      </c>
      <c r="FP103" s="736">
        <v>833660789</v>
      </c>
      <c r="FQ103" s="736">
        <v>836325641</v>
      </c>
      <c r="FR103" s="736">
        <f t="shared" si="123"/>
        <v>838487.30799999996</v>
      </c>
      <c r="FS103" s="736">
        <f t="shared" si="124"/>
        <v>833660.78899999999</v>
      </c>
      <c r="FT103" s="736">
        <f t="shared" si="125"/>
        <v>836325.64099999995</v>
      </c>
    </row>
    <row r="104" spans="1:176" ht="15" customHeight="1" x14ac:dyDescent="0.25">
      <c r="A104" s="728" t="s">
        <v>879</v>
      </c>
      <c r="B104" s="729" t="s">
        <v>386</v>
      </c>
      <c r="C104" s="687">
        <v>0</v>
      </c>
      <c r="D104" s="687">
        <v>1017256000</v>
      </c>
      <c r="E104" s="687">
        <v>914382605</v>
      </c>
      <c r="F104" s="687">
        <v>102873395</v>
      </c>
      <c r="G104" s="687">
        <v>10244920</v>
      </c>
      <c r="H104" s="730">
        <f t="shared" si="72"/>
        <v>1059980.7520000001</v>
      </c>
      <c r="I104" s="730">
        <f t="shared" si="73"/>
        <v>952786.67440999998</v>
      </c>
      <c r="J104" s="730">
        <f t="shared" si="74"/>
        <v>107194.07759000002</v>
      </c>
      <c r="K104" s="730">
        <f t="shared" si="75"/>
        <v>10675.20664</v>
      </c>
      <c r="O104" s="729"/>
      <c r="P104" s="687"/>
      <c r="Q104" s="730"/>
      <c r="S104" s="729" t="s">
        <v>385</v>
      </c>
      <c r="T104" s="687">
        <v>34845678</v>
      </c>
      <c r="U104" s="687">
        <v>14288401</v>
      </c>
      <c r="V104" s="687">
        <v>18542221</v>
      </c>
      <c r="W104" s="687">
        <v>16303457</v>
      </c>
      <c r="X104" s="730">
        <f t="shared" si="77"/>
        <v>36309.196476000005</v>
      </c>
      <c r="Y104" s="730">
        <f t="shared" si="78"/>
        <v>14888.513842</v>
      </c>
      <c r="Z104" s="730">
        <f t="shared" si="79"/>
        <v>19320.994282000003</v>
      </c>
      <c r="AA104" s="730">
        <f t="shared" si="80"/>
        <v>16988.202194000001</v>
      </c>
      <c r="AC104" s="729" t="s">
        <v>400</v>
      </c>
      <c r="AD104" s="687">
        <v>7143800375</v>
      </c>
      <c r="AE104" s="730">
        <f t="shared" si="81"/>
        <v>7443839.9907499999</v>
      </c>
      <c r="AG104" s="729" t="s">
        <v>564</v>
      </c>
      <c r="AH104" s="687">
        <v>3000000</v>
      </c>
      <c r="AI104" s="687">
        <v>1597854</v>
      </c>
      <c r="AJ104" s="687">
        <v>1976581</v>
      </c>
      <c r="AK104" s="687">
        <v>1023419</v>
      </c>
      <c r="AL104" s="687">
        <f t="shared" si="82"/>
        <v>3126</v>
      </c>
      <c r="AM104" s="687">
        <f t="shared" si="83"/>
        <v>1664.963868</v>
      </c>
      <c r="AN104" s="687">
        <f t="shared" si="84"/>
        <v>2059.5974019999999</v>
      </c>
      <c r="AO104" s="687">
        <f t="shared" si="85"/>
        <v>1066.4025980000001</v>
      </c>
      <c r="AV104" s="729" t="s">
        <v>563</v>
      </c>
      <c r="AW104" s="687">
        <v>77010001</v>
      </c>
      <c r="AX104" s="687">
        <v>16783640</v>
      </c>
      <c r="AY104" s="687">
        <v>61272715</v>
      </c>
      <c r="AZ104" s="687">
        <v>15737286</v>
      </c>
      <c r="BA104" s="730">
        <f t="shared" si="87"/>
        <v>80244.421042000002</v>
      </c>
      <c r="BB104" s="730">
        <f t="shared" si="88"/>
        <v>17488.552879999999</v>
      </c>
      <c r="BC104" s="730">
        <f t="shared" si="89"/>
        <v>63846.169029999997</v>
      </c>
      <c r="BD104" s="730">
        <f t="shared" si="90"/>
        <v>16398.252012000001</v>
      </c>
      <c r="BK104" s="754" t="s">
        <v>562</v>
      </c>
      <c r="BL104" s="687">
        <v>158653286</v>
      </c>
      <c r="BM104" s="687">
        <v>71397221</v>
      </c>
      <c r="BN104" s="687">
        <v>100486961</v>
      </c>
      <c r="BO104" s="687">
        <v>58166325</v>
      </c>
      <c r="BP104" s="687">
        <f t="shared" si="92"/>
        <v>165316.72401199999</v>
      </c>
      <c r="BQ104" s="687">
        <f t="shared" si="93"/>
        <v>74395.904282000003</v>
      </c>
      <c r="BR104" s="687">
        <f t="shared" si="94"/>
        <v>104707.41336199999</v>
      </c>
      <c r="BS104" s="755">
        <f t="shared" si="95"/>
        <v>60609.310649999999</v>
      </c>
      <c r="BV104" s="729" t="s">
        <v>399</v>
      </c>
      <c r="BW104" s="687">
        <v>143871560</v>
      </c>
      <c r="BX104" s="730">
        <f t="shared" si="96"/>
        <v>149914.16552000001</v>
      </c>
      <c r="BZ104" s="729" t="s">
        <v>562</v>
      </c>
      <c r="CA104" s="687">
        <v>160178549</v>
      </c>
      <c r="CB104" s="687">
        <v>89066436</v>
      </c>
      <c r="CC104" s="687">
        <v>119124069</v>
      </c>
      <c r="CD104" s="687">
        <v>41054480</v>
      </c>
      <c r="CE104" s="687">
        <f t="shared" si="97"/>
        <v>166906.04805800001</v>
      </c>
      <c r="CF104" s="687">
        <f t="shared" si="98"/>
        <v>92807.226311999999</v>
      </c>
      <c r="CG104" s="687">
        <f t="shared" si="99"/>
        <v>124127.27989800001</v>
      </c>
      <c r="CH104" s="687">
        <f t="shared" si="100"/>
        <v>42778.768160000007</v>
      </c>
      <c r="CK104" s="731" t="s">
        <v>470</v>
      </c>
      <c r="CL104" s="730">
        <v>244285988</v>
      </c>
      <c r="CM104" s="730">
        <f t="shared" si="101"/>
        <v>254545.99949600003</v>
      </c>
      <c r="CP104" s="731" t="s">
        <v>563</v>
      </c>
      <c r="CQ104" s="730">
        <v>77010001</v>
      </c>
      <c r="CR104" s="730">
        <v>35506382</v>
      </c>
      <c r="CS104" s="730">
        <v>66677715</v>
      </c>
      <c r="CT104" s="730">
        <v>10332286</v>
      </c>
      <c r="CU104" s="730">
        <f t="shared" si="131"/>
        <v>80244.421042000002</v>
      </c>
      <c r="CV104" s="730">
        <f t="shared" si="132"/>
        <v>36997.650044000002</v>
      </c>
      <c r="CW104" s="730">
        <f t="shared" si="133"/>
        <v>69478.179029999999</v>
      </c>
      <c r="CX104" s="730">
        <f t="shared" si="134"/>
        <v>10766.242012000001</v>
      </c>
      <c r="CZ104" s="731" t="s">
        <v>844</v>
      </c>
      <c r="DA104" s="730">
        <v>57208615</v>
      </c>
      <c r="DB104" s="730">
        <f t="shared" si="102"/>
        <v>59611.376830000001</v>
      </c>
      <c r="DE104" s="729" t="s">
        <v>562</v>
      </c>
      <c r="DF104" s="687">
        <v>156178839</v>
      </c>
      <c r="DG104" s="687">
        <v>114824662</v>
      </c>
      <c r="DH104" s="687">
        <v>144088540</v>
      </c>
      <c r="DI104" s="687">
        <v>12090299</v>
      </c>
      <c r="DJ104" s="730">
        <f t="shared" si="103"/>
        <v>162738.35023800001</v>
      </c>
      <c r="DK104" s="730">
        <f t="shared" si="104"/>
        <v>119647.297804</v>
      </c>
      <c r="DL104" s="730">
        <f t="shared" si="105"/>
        <v>150140.25868000003</v>
      </c>
      <c r="DM104" s="730">
        <f t="shared" si="106"/>
        <v>12598.091558000002</v>
      </c>
      <c r="DP104" s="729"/>
      <c r="DQ104" s="687"/>
      <c r="DR104" s="730"/>
      <c r="DT104" s="729" t="s">
        <v>562</v>
      </c>
      <c r="DU104" s="687">
        <v>157418997</v>
      </c>
      <c r="DV104" s="687">
        <v>123890159</v>
      </c>
      <c r="DW104" s="687">
        <v>143240393</v>
      </c>
      <c r="DX104" s="687">
        <v>14178604</v>
      </c>
      <c r="DY104" s="730">
        <f t="shared" si="108"/>
        <v>157418.997</v>
      </c>
      <c r="DZ104" s="730">
        <f t="shared" si="109"/>
        <v>123890.159</v>
      </c>
      <c r="EA104" s="730">
        <f t="shared" si="110"/>
        <v>143240.39300000001</v>
      </c>
      <c r="EB104" s="730">
        <f t="shared" si="111"/>
        <v>14178.603999999999</v>
      </c>
      <c r="EI104" s="731" t="s">
        <v>383</v>
      </c>
      <c r="EJ104" s="730">
        <v>895524325</v>
      </c>
      <c r="EK104" s="730">
        <v>761591844</v>
      </c>
      <c r="EL104" s="730">
        <v>632678650</v>
      </c>
      <c r="EM104" s="734">
        <f t="shared" si="113"/>
        <v>895524.32499999995</v>
      </c>
      <c r="EN104" s="734">
        <f t="shared" si="114"/>
        <v>761591.84400000004</v>
      </c>
      <c r="EO104" s="734">
        <f t="shared" si="115"/>
        <v>632678.65</v>
      </c>
      <c r="ER104" s="729" t="s">
        <v>875</v>
      </c>
      <c r="ES104" s="687">
        <v>4109387127</v>
      </c>
      <c r="ET104" s="730">
        <f t="shared" si="116"/>
        <v>4109387.1269999999</v>
      </c>
      <c r="EW104" s="729" t="s">
        <v>468</v>
      </c>
      <c r="EX104" s="687">
        <v>0</v>
      </c>
      <c r="EY104" s="687">
        <v>28657984</v>
      </c>
      <c r="EZ104" s="687">
        <v>23657984</v>
      </c>
      <c r="FA104" s="687">
        <v>28657984</v>
      </c>
      <c r="FB104" s="687">
        <v>0</v>
      </c>
      <c r="FC104" s="730">
        <f t="shared" si="126"/>
        <v>0</v>
      </c>
      <c r="FD104" s="730">
        <f t="shared" si="127"/>
        <v>28657.984</v>
      </c>
      <c r="FE104" s="730">
        <f t="shared" si="128"/>
        <v>23657.984</v>
      </c>
      <c r="FF104" s="730">
        <f t="shared" si="129"/>
        <v>28657.984</v>
      </c>
      <c r="FG104" s="730">
        <f t="shared" si="130"/>
        <v>0</v>
      </c>
      <c r="FJ104" s="731" t="s">
        <v>569</v>
      </c>
      <c r="FK104" s="730">
        <v>7814222</v>
      </c>
      <c r="FL104" s="734">
        <f t="shared" si="122"/>
        <v>7814.2219999999998</v>
      </c>
      <c r="FN104" s="735" t="s">
        <v>384</v>
      </c>
      <c r="FO104" s="736">
        <v>91480436</v>
      </c>
      <c r="FP104" s="736">
        <v>90075968</v>
      </c>
      <c r="FQ104" s="736">
        <v>90813769</v>
      </c>
      <c r="FR104" s="736">
        <f t="shared" si="123"/>
        <v>91480.436000000002</v>
      </c>
      <c r="FS104" s="736">
        <f t="shared" si="124"/>
        <v>90075.967999999993</v>
      </c>
      <c r="FT104" s="736">
        <f t="shared" si="125"/>
        <v>90813.769</v>
      </c>
    </row>
    <row r="105" spans="1:176" ht="15" customHeight="1" x14ac:dyDescent="0.25">
      <c r="A105" s="728" t="s">
        <v>880</v>
      </c>
      <c r="B105" s="729" t="s">
        <v>387</v>
      </c>
      <c r="C105" s="687">
        <v>0</v>
      </c>
      <c r="D105" s="687">
        <v>881850000</v>
      </c>
      <c r="E105" s="687">
        <v>807644605</v>
      </c>
      <c r="F105" s="687">
        <v>74205395</v>
      </c>
      <c r="G105" s="687">
        <v>8603661</v>
      </c>
      <c r="H105" s="730">
        <f t="shared" si="72"/>
        <v>918887.70000000007</v>
      </c>
      <c r="I105" s="730">
        <f t="shared" si="73"/>
        <v>841565.67841000005</v>
      </c>
      <c r="J105" s="730">
        <f t="shared" si="74"/>
        <v>77322.021590000004</v>
      </c>
      <c r="K105" s="730">
        <f t="shared" si="75"/>
        <v>8965.0147620000007</v>
      </c>
      <c r="O105" s="729"/>
      <c r="P105" s="687"/>
      <c r="Q105" s="730"/>
      <c r="S105" s="729" t="s">
        <v>386</v>
      </c>
      <c r="T105" s="687">
        <v>1017260000</v>
      </c>
      <c r="U105" s="687">
        <v>65602635</v>
      </c>
      <c r="V105" s="687">
        <v>943048901</v>
      </c>
      <c r="W105" s="687">
        <v>74211099</v>
      </c>
      <c r="X105" s="730">
        <f t="shared" si="77"/>
        <v>1059984.92</v>
      </c>
      <c r="Y105" s="730">
        <f t="shared" si="78"/>
        <v>68357.945670000001</v>
      </c>
      <c r="Z105" s="730">
        <f t="shared" si="79"/>
        <v>982656.95484200004</v>
      </c>
      <c r="AA105" s="730">
        <f t="shared" si="80"/>
        <v>77327.965158000006</v>
      </c>
      <c r="AC105" s="729" t="s">
        <v>401</v>
      </c>
      <c r="AD105" s="687">
        <v>7143800375</v>
      </c>
      <c r="AE105" s="730">
        <f t="shared" si="81"/>
        <v>7443839.9907499999</v>
      </c>
      <c r="AG105" s="729" t="s">
        <v>385</v>
      </c>
      <c r="AH105" s="687">
        <v>214078655</v>
      </c>
      <c r="AI105" s="687">
        <v>18687209</v>
      </c>
      <c r="AJ105" s="687">
        <v>32654568</v>
      </c>
      <c r="AK105" s="687">
        <v>181424087</v>
      </c>
      <c r="AL105" s="687">
        <f t="shared" si="82"/>
        <v>223069.95851</v>
      </c>
      <c r="AM105" s="687">
        <f t="shared" si="83"/>
        <v>19472.071778000001</v>
      </c>
      <c r="AN105" s="687">
        <f t="shared" si="84"/>
        <v>34026.059856</v>
      </c>
      <c r="AO105" s="687">
        <f t="shared" si="85"/>
        <v>189043.89865400002</v>
      </c>
      <c r="AV105" s="729" t="s">
        <v>564</v>
      </c>
      <c r="AW105" s="687">
        <v>3000000</v>
      </c>
      <c r="AX105" s="687">
        <v>1861615</v>
      </c>
      <c r="AY105" s="687">
        <v>2240342</v>
      </c>
      <c r="AZ105" s="687">
        <v>759658</v>
      </c>
      <c r="BA105" s="730">
        <f t="shared" si="87"/>
        <v>3126</v>
      </c>
      <c r="BB105" s="730">
        <f t="shared" si="88"/>
        <v>1939.8028300000001</v>
      </c>
      <c r="BC105" s="730">
        <f t="shared" si="89"/>
        <v>2334.4363640000001</v>
      </c>
      <c r="BD105" s="730">
        <f t="shared" si="90"/>
        <v>791.56363600000009</v>
      </c>
      <c r="BK105" s="754" t="s">
        <v>563</v>
      </c>
      <c r="BL105" s="687">
        <v>77010001</v>
      </c>
      <c r="BM105" s="687">
        <v>23261580</v>
      </c>
      <c r="BN105" s="687">
        <v>66677715</v>
      </c>
      <c r="BO105" s="687">
        <v>10332286</v>
      </c>
      <c r="BP105" s="687">
        <f t="shared" si="92"/>
        <v>80244.421042000002</v>
      </c>
      <c r="BQ105" s="687">
        <f t="shared" si="93"/>
        <v>24238.566360000004</v>
      </c>
      <c r="BR105" s="687">
        <f t="shared" si="94"/>
        <v>69478.179029999999</v>
      </c>
      <c r="BS105" s="755">
        <f t="shared" si="95"/>
        <v>10766.242012000001</v>
      </c>
      <c r="BV105" s="729" t="s">
        <v>400</v>
      </c>
      <c r="BW105" s="687">
        <v>122198149</v>
      </c>
      <c r="BX105" s="730">
        <f t="shared" si="96"/>
        <v>127330.47125800001</v>
      </c>
      <c r="BZ105" s="729" t="s">
        <v>563</v>
      </c>
      <c r="CA105" s="687">
        <v>77010001</v>
      </c>
      <c r="CB105" s="687">
        <v>29939520</v>
      </c>
      <c r="CC105" s="687">
        <v>66677715</v>
      </c>
      <c r="CD105" s="687">
        <v>10332286</v>
      </c>
      <c r="CE105" s="687">
        <f t="shared" si="97"/>
        <v>80244.421042000002</v>
      </c>
      <c r="CF105" s="687">
        <f t="shared" si="98"/>
        <v>31196.97984</v>
      </c>
      <c r="CG105" s="687">
        <f t="shared" si="99"/>
        <v>69478.179029999999</v>
      </c>
      <c r="CH105" s="687">
        <f t="shared" si="100"/>
        <v>10766.242012000001</v>
      </c>
      <c r="CK105" s="731" t="s">
        <v>905</v>
      </c>
      <c r="CL105" s="730">
        <v>135527988</v>
      </c>
      <c r="CM105" s="730">
        <f t="shared" si="101"/>
        <v>141220.16349600002</v>
      </c>
      <c r="CP105" s="731" t="s">
        <v>564</v>
      </c>
      <c r="CQ105" s="730">
        <v>2787880</v>
      </c>
      <c r="CR105" s="730">
        <v>2125377</v>
      </c>
      <c r="CS105" s="730">
        <v>2372224</v>
      </c>
      <c r="CT105" s="730">
        <v>415656</v>
      </c>
      <c r="CU105" s="730">
        <f t="shared" si="131"/>
        <v>2904.9709600000001</v>
      </c>
      <c r="CV105" s="730">
        <f t="shared" si="132"/>
        <v>2214.6428340000002</v>
      </c>
      <c r="CW105" s="730">
        <f t="shared" si="133"/>
        <v>2471.8574080000003</v>
      </c>
      <c r="CX105" s="730">
        <f t="shared" si="134"/>
        <v>433.11355200000003</v>
      </c>
      <c r="CZ105" s="731" t="s">
        <v>577</v>
      </c>
      <c r="DA105" s="730">
        <v>56244420</v>
      </c>
      <c r="DB105" s="730">
        <f t="shared" si="102"/>
        <v>58606.685640000003</v>
      </c>
      <c r="DE105" s="729" t="s">
        <v>563</v>
      </c>
      <c r="DF105" s="687">
        <v>77010001</v>
      </c>
      <c r="DG105" s="687">
        <v>41616382</v>
      </c>
      <c r="DH105" s="687">
        <v>68517715</v>
      </c>
      <c r="DI105" s="687">
        <v>8492286</v>
      </c>
      <c r="DJ105" s="730">
        <f t="shared" si="103"/>
        <v>80244.421042000002</v>
      </c>
      <c r="DK105" s="730">
        <f t="shared" si="104"/>
        <v>43364.270043999997</v>
      </c>
      <c r="DL105" s="730">
        <f t="shared" si="105"/>
        <v>71395.459029999998</v>
      </c>
      <c r="DM105" s="730">
        <f t="shared" si="106"/>
        <v>8848.962012</v>
      </c>
      <c r="DT105" s="729" t="s">
        <v>563</v>
      </c>
      <c r="DU105" s="687">
        <v>77010001</v>
      </c>
      <c r="DV105" s="687">
        <v>48701364</v>
      </c>
      <c r="DW105" s="687">
        <v>76212697</v>
      </c>
      <c r="DX105" s="687">
        <v>797304</v>
      </c>
      <c r="DY105" s="730">
        <f t="shared" si="108"/>
        <v>77010.001000000004</v>
      </c>
      <c r="DZ105" s="730">
        <f t="shared" si="109"/>
        <v>48701.364000000001</v>
      </c>
      <c r="EA105" s="730">
        <f t="shared" si="110"/>
        <v>76212.697</v>
      </c>
      <c r="EB105" s="730">
        <f t="shared" si="111"/>
        <v>797.30399999999997</v>
      </c>
      <c r="EI105" s="731" t="s">
        <v>384</v>
      </c>
      <c r="EJ105" s="730">
        <v>138873013</v>
      </c>
      <c r="EK105" s="730">
        <v>105550441</v>
      </c>
      <c r="EL105" s="730">
        <v>72279232</v>
      </c>
      <c r="EM105" s="734">
        <f t="shared" si="113"/>
        <v>138873.01300000001</v>
      </c>
      <c r="EN105" s="734">
        <f t="shared" si="114"/>
        <v>105550.44100000001</v>
      </c>
      <c r="EO105" s="734">
        <f t="shared" si="115"/>
        <v>72279.232000000004</v>
      </c>
      <c r="EW105" s="729" t="s">
        <v>562</v>
      </c>
      <c r="EX105" s="687">
        <v>0</v>
      </c>
      <c r="EY105" s="687">
        <v>180510606</v>
      </c>
      <c r="EZ105" s="687">
        <v>154879145</v>
      </c>
      <c r="FA105" s="687">
        <v>171146123</v>
      </c>
      <c r="FB105" s="687">
        <v>9364483</v>
      </c>
      <c r="FC105" s="730">
        <f t="shared" si="126"/>
        <v>0</v>
      </c>
      <c r="FD105" s="730">
        <f t="shared" si="127"/>
        <v>180510.606</v>
      </c>
      <c r="FE105" s="730">
        <f t="shared" si="128"/>
        <v>154879.14499999999</v>
      </c>
      <c r="FF105" s="730">
        <f t="shared" si="129"/>
        <v>171146.12299999999</v>
      </c>
      <c r="FG105" s="730">
        <f t="shared" si="130"/>
        <v>9364.4830000000002</v>
      </c>
      <c r="FJ105" s="731" t="s">
        <v>393</v>
      </c>
      <c r="FK105" s="730">
        <v>2716137</v>
      </c>
      <c r="FL105" s="734">
        <f t="shared" si="122"/>
        <v>2716.1370000000002</v>
      </c>
      <c r="FN105" s="735" t="s">
        <v>468</v>
      </c>
      <c r="FO105" s="736">
        <v>25602094</v>
      </c>
      <c r="FP105" s="736">
        <v>25602094</v>
      </c>
      <c r="FQ105" s="736">
        <v>25602094</v>
      </c>
      <c r="FR105" s="736">
        <f t="shared" si="123"/>
        <v>25602.094000000001</v>
      </c>
      <c r="FS105" s="736">
        <f t="shared" si="124"/>
        <v>25602.094000000001</v>
      </c>
      <c r="FT105" s="736">
        <f t="shared" si="125"/>
        <v>25602.094000000001</v>
      </c>
    </row>
    <row r="106" spans="1:176" ht="15" customHeight="1" x14ac:dyDescent="0.25">
      <c r="A106" s="728" t="s">
        <v>880</v>
      </c>
      <c r="B106" s="729" t="s">
        <v>565</v>
      </c>
      <c r="C106" s="687">
        <v>0</v>
      </c>
      <c r="D106" s="687">
        <v>27000000</v>
      </c>
      <c r="E106" s="687">
        <v>27000000</v>
      </c>
      <c r="F106" s="687">
        <v>0</v>
      </c>
      <c r="G106" s="687">
        <v>1641259</v>
      </c>
      <c r="H106" s="730">
        <f t="shared" si="72"/>
        <v>28134</v>
      </c>
      <c r="I106" s="730">
        <f t="shared" si="73"/>
        <v>28134</v>
      </c>
      <c r="J106" s="730">
        <f t="shared" si="74"/>
        <v>0</v>
      </c>
      <c r="K106" s="730">
        <f t="shared" si="75"/>
        <v>1710.1918780000001</v>
      </c>
      <c r="O106" s="729"/>
      <c r="P106" s="687"/>
      <c r="Q106" s="730"/>
      <c r="S106" s="729" t="s">
        <v>387</v>
      </c>
      <c r="T106" s="687">
        <v>881850000</v>
      </c>
      <c r="U106" s="687">
        <v>56655308</v>
      </c>
      <c r="V106" s="687">
        <v>807644605</v>
      </c>
      <c r="W106" s="687">
        <v>74205395</v>
      </c>
      <c r="X106" s="730">
        <f t="shared" si="77"/>
        <v>918887.70000000007</v>
      </c>
      <c r="Y106" s="730">
        <f t="shared" si="78"/>
        <v>59034.830935999998</v>
      </c>
      <c r="Z106" s="730">
        <f t="shared" si="79"/>
        <v>841565.67841000005</v>
      </c>
      <c r="AA106" s="730">
        <f t="shared" si="80"/>
        <v>77322.021590000004</v>
      </c>
      <c r="AC106" s="729" t="s">
        <v>402</v>
      </c>
      <c r="AD106" s="687">
        <v>804151626</v>
      </c>
      <c r="AE106" s="730">
        <f t="shared" si="81"/>
        <v>837925.99429200008</v>
      </c>
      <c r="AG106" s="729" t="s">
        <v>386</v>
      </c>
      <c r="AH106" s="687">
        <v>897617000</v>
      </c>
      <c r="AI106" s="687">
        <v>123623283</v>
      </c>
      <c r="AJ106" s="687">
        <v>823405901</v>
      </c>
      <c r="AK106" s="687">
        <v>74211099</v>
      </c>
      <c r="AL106" s="687">
        <f t="shared" si="82"/>
        <v>935316.91399999999</v>
      </c>
      <c r="AM106" s="687">
        <f t="shared" si="83"/>
        <v>128815.460886</v>
      </c>
      <c r="AN106" s="687">
        <f t="shared" si="84"/>
        <v>857988.94884199998</v>
      </c>
      <c r="AO106" s="687">
        <f t="shared" si="85"/>
        <v>77327.965158000006</v>
      </c>
      <c r="AV106" s="729" t="s">
        <v>385</v>
      </c>
      <c r="AW106" s="687">
        <v>317985195</v>
      </c>
      <c r="AX106" s="687">
        <v>33385718</v>
      </c>
      <c r="AY106" s="687">
        <v>36695868</v>
      </c>
      <c r="AZ106" s="687">
        <v>281289327</v>
      </c>
      <c r="BA106" s="730">
        <f t="shared" si="87"/>
        <v>331340.57319000002</v>
      </c>
      <c r="BB106" s="730">
        <f t="shared" si="88"/>
        <v>34787.918156</v>
      </c>
      <c r="BC106" s="730">
        <f t="shared" si="89"/>
        <v>38237.094456000006</v>
      </c>
      <c r="BD106" s="730">
        <f t="shared" si="90"/>
        <v>293103.478734</v>
      </c>
      <c r="BK106" s="754" t="s">
        <v>564</v>
      </c>
      <c r="BL106" s="687">
        <v>2787880</v>
      </c>
      <c r="BM106" s="687">
        <v>2125377</v>
      </c>
      <c r="BN106" s="687">
        <v>2372224</v>
      </c>
      <c r="BO106" s="687">
        <v>415656</v>
      </c>
      <c r="BP106" s="687">
        <f t="shared" si="92"/>
        <v>2904.9709600000001</v>
      </c>
      <c r="BQ106" s="687">
        <f t="shared" si="93"/>
        <v>2214.6428340000002</v>
      </c>
      <c r="BR106" s="687">
        <f t="shared" si="94"/>
        <v>2471.8574080000003</v>
      </c>
      <c r="BS106" s="755">
        <f t="shared" si="95"/>
        <v>433.11355200000003</v>
      </c>
      <c r="BV106" s="729" t="s">
        <v>401</v>
      </c>
      <c r="BW106" s="687">
        <v>122198149</v>
      </c>
      <c r="BX106" s="730">
        <f t="shared" si="96"/>
        <v>127330.47125800001</v>
      </c>
      <c r="BZ106" s="729" t="s">
        <v>564</v>
      </c>
      <c r="CA106" s="687">
        <v>2787880</v>
      </c>
      <c r="CB106" s="687">
        <v>2125377</v>
      </c>
      <c r="CC106" s="687">
        <v>2372224</v>
      </c>
      <c r="CD106" s="687">
        <v>415656</v>
      </c>
      <c r="CE106" s="687">
        <f t="shared" si="97"/>
        <v>2904.9709600000001</v>
      </c>
      <c r="CF106" s="687">
        <f t="shared" si="98"/>
        <v>2214.6428340000002</v>
      </c>
      <c r="CG106" s="687">
        <f t="shared" si="99"/>
        <v>2471.8574080000003</v>
      </c>
      <c r="CH106" s="687">
        <f t="shared" si="100"/>
        <v>433.11355200000003</v>
      </c>
      <c r="CK106" s="731" t="s">
        <v>576</v>
      </c>
      <c r="CL106" s="730">
        <v>108758000</v>
      </c>
      <c r="CM106" s="730">
        <f t="shared" si="101"/>
        <v>113325.83600000001</v>
      </c>
      <c r="CP106" s="731" t="s">
        <v>385</v>
      </c>
      <c r="CQ106" s="730">
        <v>422463072</v>
      </c>
      <c r="CR106" s="730">
        <v>262922361</v>
      </c>
      <c r="CS106" s="730">
        <v>379224235</v>
      </c>
      <c r="CT106" s="730">
        <v>43238837</v>
      </c>
      <c r="CU106" s="730">
        <f t="shared" si="131"/>
        <v>440206.52102400002</v>
      </c>
      <c r="CV106" s="730">
        <f t="shared" si="132"/>
        <v>273965.10016199999</v>
      </c>
      <c r="CW106" s="730">
        <f t="shared" si="133"/>
        <v>395151.65286999999</v>
      </c>
      <c r="CX106" s="730">
        <f t="shared" si="134"/>
        <v>45054.868154000003</v>
      </c>
      <c r="CZ106" s="731" t="s">
        <v>824</v>
      </c>
      <c r="DA106" s="730">
        <v>1840930</v>
      </c>
      <c r="DB106" s="730">
        <f t="shared" si="102"/>
        <v>1918.2490600000001</v>
      </c>
      <c r="DE106" s="729" t="s">
        <v>564</v>
      </c>
      <c r="DF106" s="687">
        <v>2787880</v>
      </c>
      <c r="DG106" s="687">
        <v>2125377</v>
      </c>
      <c r="DH106" s="687">
        <v>2504103</v>
      </c>
      <c r="DI106" s="687">
        <v>283777</v>
      </c>
      <c r="DJ106" s="730">
        <f t="shared" si="103"/>
        <v>2904.9709600000001</v>
      </c>
      <c r="DK106" s="730">
        <f t="shared" si="104"/>
        <v>2214.6428340000002</v>
      </c>
      <c r="DL106" s="730">
        <f t="shared" si="105"/>
        <v>2609.2753259999999</v>
      </c>
      <c r="DM106" s="730">
        <f t="shared" si="106"/>
        <v>295.69563399999998</v>
      </c>
      <c r="DT106" s="729" t="s">
        <v>564</v>
      </c>
      <c r="DU106" s="687">
        <v>2787880</v>
      </c>
      <c r="DV106" s="687">
        <v>2257258</v>
      </c>
      <c r="DW106" s="687">
        <v>2504104</v>
      </c>
      <c r="DX106" s="687">
        <v>283776</v>
      </c>
      <c r="DY106" s="730">
        <f t="shared" si="108"/>
        <v>2787.88</v>
      </c>
      <c r="DZ106" s="730">
        <f t="shared" si="109"/>
        <v>2257.2579999999998</v>
      </c>
      <c r="EA106" s="730">
        <f t="shared" si="110"/>
        <v>2504.1039999999998</v>
      </c>
      <c r="EB106" s="730">
        <f t="shared" si="111"/>
        <v>283.77600000000001</v>
      </c>
      <c r="EI106" s="731" t="s">
        <v>468</v>
      </c>
      <c r="EJ106" s="730">
        <v>31888992</v>
      </c>
      <c r="EK106" s="730">
        <v>31888992</v>
      </c>
      <c r="EL106" s="730">
        <v>19731804</v>
      </c>
      <c r="EM106" s="734">
        <f t="shared" si="113"/>
        <v>31888.991999999998</v>
      </c>
      <c r="EN106" s="734">
        <f t="shared" si="114"/>
        <v>31888.991999999998</v>
      </c>
      <c r="EO106" s="734">
        <f t="shared" si="115"/>
        <v>19731.804</v>
      </c>
      <c r="EW106" s="729" t="s">
        <v>563</v>
      </c>
      <c r="EX106" s="687">
        <v>0</v>
      </c>
      <c r="EY106" s="687">
        <v>76903828</v>
      </c>
      <c r="EZ106" s="687">
        <v>62704690</v>
      </c>
      <c r="FA106" s="687">
        <v>76903828</v>
      </c>
      <c r="FB106" s="687">
        <v>0</v>
      </c>
      <c r="FC106" s="730">
        <f t="shared" si="126"/>
        <v>0</v>
      </c>
      <c r="FD106" s="730">
        <f t="shared" si="127"/>
        <v>76903.827999999994</v>
      </c>
      <c r="FE106" s="730">
        <f t="shared" si="128"/>
        <v>62704.69</v>
      </c>
      <c r="FF106" s="730">
        <f t="shared" si="129"/>
        <v>76903.827999999994</v>
      </c>
      <c r="FG106" s="730">
        <f t="shared" si="130"/>
        <v>0</v>
      </c>
      <c r="FJ106" s="731" t="s">
        <v>394</v>
      </c>
      <c r="FK106" s="730">
        <v>5098085</v>
      </c>
      <c r="FL106" s="734">
        <f t="shared" si="122"/>
        <v>5098.085</v>
      </c>
      <c r="FN106" s="735" t="s">
        <v>821</v>
      </c>
      <c r="FO106" s="736">
        <v>100000</v>
      </c>
      <c r="FP106" s="736">
        <v>100000</v>
      </c>
      <c r="FQ106" s="736">
        <v>100000</v>
      </c>
      <c r="FR106" s="736">
        <f t="shared" si="123"/>
        <v>100</v>
      </c>
      <c r="FS106" s="736">
        <f t="shared" si="124"/>
        <v>100</v>
      </c>
      <c r="FT106" s="736">
        <f t="shared" si="125"/>
        <v>100</v>
      </c>
    </row>
    <row r="107" spans="1:176" ht="15" customHeight="1" x14ac:dyDescent="0.25">
      <c r="A107" s="728" t="s">
        <v>880</v>
      </c>
      <c r="B107" s="729" t="s">
        <v>566</v>
      </c>
      <c r="C107" s="687">
        <v>0</v>
      </c>
      <c r="D107" s="687">
        <v>79738000</v>
      </c>
      <c r="E107" s="687">
        <v>79738000</v>
      </c>
      <c r="F107" s="687">
        <v>0</v>
      </c>
      <c r="G107" s="687">
        <v>0</v>
      </c>
      <c r="H107" s="730">
        <f t="shared" si="72"/>
        <v>83086.995999999999</v>
      </c>
      <c r="I107" s="730">
        <f t="shared" si="73"/>
        <v>83086.995999999999</v>
      </c>
      <c r="J107" s="730">
        <f t="shared" si="74"/>
        <v>0</v>
      </c>
      <c r="K107" s="730">
        <f t="shared" si="75"/>
        <v>0</v>
      </c>
      <c r="S107" s="729" t="s">
        <v>565</v>
      </c>
      <c r="T107" s="687">
        <v>27000000</v>
      </c>
      <c r="U107" s="687">
        <v>1641259</v>
      </c>
      <c r="V107" s="687">
        <v>27000000</v>
      </c>
      <c r="W107" s="687">
        <v>0</v>
      </c>
      <c r="X107" s="730">
        <f t="shared" si="77"/>
        <v>28134</v>
      </c>
      <c r="Y107" s="730">
        <f t="shared" si="78"/>
        <v>1710.1918780000001</v>
      </c>
      <c r="Z107" s="730">
        <f t="shared" si="79"/>
        <v>28134</v>
      </c>
      <c r="AA107" s="730">
        <f t="shared" si="80"/>
        <v>0</v>
      </c>
      <c r="AC107" s="729" t="s">
        <v>403</v>
      </c>
      <c r="AD107" s="687">
        <v>804151626</v>
      </c>
      <c r="AE107" s="730">
        <f t="shared" si="81"/>
        <v>837925.99429200008</v>
      </c>
      <c r="AG107" s="729" t="s">
        <v>387</v>
      </c>
      <c r="AH107" s="687">
        <v>761850000</v>
      </c>
      <c r="AI107" s="687">
        <v>107441354</v>
      </c>
      <c r="AJ107" s="687">
        <v>687644605</v>
      </c>
      <c r="AK107" s="687">
        <v>74205395</v>
      </c>
      <c r="AL107" s="687">
        <f t="shared" si="82"/>
        <v>793847.70000000007</v>
      </c>
      <c r="AM107" s="687">
        <f t="shared" si="83"/>
        <v>111953.89086800002</v>
      </c>
      <c r="AN107" s="687">
        <f t="shared" si="84"/>
        <v>716525.67841000005</v>
      </c>
      <c r="AO107" s="687">
        <f t="shared" si="85"/>
        <v>77322.021590000004</v>
      </c>
      <c r="AV107" s="729" t="s">
        <v>386</v>
      </c>
      <c r="AW107" s="687">
        <v>764684901</v>
      </c>
      <c r="AX107" s="687">
        <v>181486970</v>
      </c>
      <c r="AY107" s="687">
        <v>698535377</v>
      </c>
      <c r="AZ107" s="687">
        <v>66149524</v>
      </c>
      <c r="BA107" s="730">
        <f t="shared" si="87"/>
        <v>796801.66684199998</v>
      </c>
      <c r="BB107" s="730">
        <f t="shared" si="88"/>
        <v>189109.42274000001</v>
      </c>
      <c r="BC107" s="730">
        <f t="shared" si="89"/>
        <v>727873.86283400003</v>
      </c>
      <c r="BD107" s="730">
        <f t="shared" si="90"/>
        <v>68927.804008000006</v>
      </c>
      <c r="BK107" s="754" t="s">
        <v>385</v>
      </c>
      <c r="BL107" s="687">
        <v>398518846</v>
      </c>
      <c r="BM107" s="687">
        <v>35728309</v>
      </c>
      <c r="BN107" s="687">
        <v>256824911</v>
      </c>
      <c r="BO107" s="687">
        <v>141693935</v>
      </c>
      <c r="BP107" s="687">
        <f t="shared" si="92"/>
        <v>415256.63753200002</v>
      </c>
      <c r="BQ107" s="687">
        <f t="shared" si="93"/>
        <v>37228.897978000001</v>
      </c>
      <c r="BR107" s="687">
        <f t="shared" si="94"/>
        <v>267611.55726199999</v>
      </c>
      <c r="BS107" s="755">
        <f t="shared" si="95"/>
        <v>147645.08027000001</v>
      </c>
      <c r="BV107" s="729" t="s">
        <v>402</v>
      </c>
      <c r="BW107" s="687">
        <v>21673411</v>
      </c>
      <c r="BX107" s="730">
        <f t="shared" si="96"/>
        <v>22583.694262000001</v>
      </c>
      <c r="BZ107" s="729" t="s">
        <v>385</v>
      </c>
      <c r="CA107" s="687">
        <v>398454446</v>
      </c>
      <c r="CB107" s="687">
        <v>123764415</v>
      </c>
      <c r="CC107" s="687">
        <v>374034257</v>
      </c>
      <c r="CD107" s="687">
        <v>24420189</v>
      </c>
      <c r="CE107" s="687">
        <f t="shared" si="97"/>
        <v>415189.53273199999</v>
      </c>
      <c r="CF107" s="687">
        <f t="shared" si="98"/>
        <v>128962.52043</v>
      </c>
      <c r="CG107" s="687">
        <f t="shared" si="99"/>
        <v>389743.695794</v>
      </c>
      <c r="CH107" s="687">
        <f t="shared" si="100"/>
        <v>25445.836938</v>
      </c>
      <c r="CK107" s="731" t="s">
        <v>594</v>
      </c>
      <c r="CL107" s="730">
        <v>21327265</v>
      </c>
      <c r="CM107" s="730">
        <f t="shared" si="101"/>
        <v>22223.010129999999</v>
      </c>
      <c r="CP107" s="731" t="s">
        <v>386</v>
      </c>
      <c r="CQ107" s="730">
        <v>1062485808</v>
      </c>
      <c r="CR107" s="730">
        <v>461949332</v>
      </c>
      <c r="CS107" s="730">
        <v>1025090734</v>
      </c>
      <c r="CT107" s="730">
        <v>37395074</v>
      </c>
      <c r="CU107" s="730">
        <f t="shared" si="131"/>
        <v>1107110.211936</v>
      </c>
      <c r="CV107" s="730">
        <f t="shared" si="132"/>
        <v>481351.20394400001</v>
      </c>
      <c r="CW107" s="730">
        <f t="shared" si="133"/>
        <v>1068144.544828</v>
      </c>
      <c r="CX107" s="730">
        <f t="shared" si="134"/>
        <v>38965.667108000001</v>
      </c>
      <c r="CZ107" s="731" t="s">
        <v>397</v>
      </c>
      <c r="DA107" s="730">
        <v>35499999</v>
      </c>
      <c r="DB107" s="730">
        <f t="shared" si="102"/>
        <v>36990.998958000004</v>
      </c>
      <c r="DE107" s="729" t="s">
        <v>385</v>
      </c>
      <c r="DF107" s="687">
        <v>428263072</v>
      </c>
      <c r="DG107" s="687">
        <v>288045654</v>
      </c>
      <c r="DH107" s="687">
        <v>382190904</v>
      </c>
      <c r="DI107" s="687">
        <v>46072168</v>
      </c>
      <c r="DJ107" s="730">
        <f t="shared" si="103"/>
        <v>446250.12102399999</v>
      </c>
      <c r="DK107" s="730">
        <f t="shared" si="104"/>
        <v>300143.57146800001</v>
      </c>
      <c r="DL107" s="730">
        <f t="shared" si="105"/>
        <v>398242.92196800001</v>
      </c>
      <c r="DM107" s="730">
        <f t="shared" si="106"/>
        <v>48007.199055999998</v>
      </c>
      <c r="DT107" s="729" t="s">
        <v>385</v>
      </c>
      <c r="DU107" s="687">
        <v>438027158</v>
      </c>
      <c r="DV107" s="687">
        <v>290592254</v>
      </c>
      <c r="DW107" s="687">
        <v>387634135</v>
      </c>
      <c r="DX107" s="687">
        <v>50393023</v>
      </c>
      <c r="DY107" s="730">
        <f t="shared" si="108"/>
        <v>438027.158</v>
      </c>
      <c r="DZ107" s="730">
        <f t="shared" si="109"/>
        <v>290592.25400000002</v>
      </c>
      <c r="EA107" s="730">
        <f t="shared" si="110"/>
        <v>387634.13500000001</v>
      </c>
      <c r="EB107" s="730">
        <f t="shared" si="111"/>
        <v>50393.023000000001</v>
      </c>
      <c r="EI107" s="731" t="s">
        <v>562</v>
      </c>
      <c r="EJ107" s="730">
        <v>154437281</v>
      </c>
      <c r="EK107" s="730">
        <v>152927803</v>
      </c>
      <c r="EL107" s="730">
        <v>138756506</v>
      </c>
      <c r="EM107" s="734">
        <f t="shared" si="113"/>
        <v>154437.28099999999</v>
      </c>
      <c r="EN107" s="734">
        <f t="shared" si="114"/>
        <v>152927.80300000001</v>
      </c>
      <c r="EO107" s="734">
        <f t="shared" si="115"/>
        <v>138756.50599999999</v>
      </c>
      <c r="EW107" s="729" t="s">
        <v>564</v>
      </c>
      <c r="EX107" s="687">
        <v>0</v>
      </c>
      <c r="EY107" s="687">
        <v>2504104</v>
      </c>
      <c r="EZ107" s="687">
        <v>2257258</v>
      </c>
      <c r="FA107" s="687">
        <v>2504104</v>
      </c>
      <c r="FB107" s="687">
        <v>0</v>
      </c>
      <c r="FC107" s="730">
        <f t="shared" si="126"/>
        <v>0</v>
      </c>
      <c r="FD107" s="730">
        <f t="shared" si="127"/>
        <v>2504.1039999999998</v>
      </c>
      <c r="FE107" s="730">
        <f t="shared" si="128"/>
        <v>2257.2579999999998</v>
      </c>
      <c r="FF107" s="730">
        <f t="shared" si="129"/>
        <v>2504.1039999999998</v>
      </c>
      <c r="FG107" s="730">
        <f t="shared" si="130"/>
        <v>0</v>
      </c>
      <c r="FJ107" s="731" t="s">
        <v>571</v>
      </c>
      <c r="FK107" s="730">
        <v>380154780</v>
      </c>
      <c r="FL107" s="734">
        <f t="shared" si="122"/>
        <v>380154.78</v>
      </c>
      <c r="FN107" s="735" t="s">
        <v>562</v>
      </c>
      <c r="FO107" s="736">
        <v>171384520</v>
      </c>
      <c r="FP107" s="736">
        <v>169838269</v>
      </c>
      <c r="FQ107" s="736">
        <v>171384520</v>
      </c>
      <c r="FR107" s="736">
        <f t="shared" si="123"/>
        <v>171384.52</v>
      </c>
      <c r="FS107" s="736">
        <f t="shared" si="124"/>
        <v>169838.269</v>
      </c>
      <c r="FT107" s="736">
        <f t="shared" si="125"/>
        <v>171384.52</v>
      </c>
    </row>
    <row r="108" spans="1:176" ht="15" customHeight="1" x14ac:dyDescent="0.25">
      <c r="A108" s="728" t="s">
        <v>880</v>
      </c>
      <c r="B108" s="729" t="s">
        <v>469</v>
      </c>
      <c r="C108" s="687">
        <v>0</v>
      </c>
      <c r="D108" s="687">
        <v>28668000</v>
      </c>
      <c r="E108" s="687">
        <v>0</v>
      </c>
      <c r="F108" s="687">
        <v>28668000</v>
      </c>
      <c r="G108" s="687">
        <v>0</v>
      </c>
      <c r="H108" s="730">
        <f t="shared" si="72"/>
        <v>29872.056</v>
      </c>
      <c r="I108" s="730">
        <f t="shared" si="73"/>
        <v>0</v>
      </c>
      <c r="J108" s="730">
        <f t="shared" si="74"/>
        <v>29872.056</v>
      </c>
      <c r="K108" s="730">
        <f t="shared" si="75"/>
        <v>0</v>
      </c>
      <c r="S108" s="729" t="s">
        <v>566</v>
      </c>
      <c r="T108" s="687">
        <v>79738000</v>
      </c>
      <c r="U108" s="687">
        <v>7306068</v>
      </c>
      <c r="V108" s="687">
        <v>79738000</v>
      </c>
      <c r="W108" s="687">
        <v>0</v>
      </c>
      <c r="X108" s="730">
        <f t="shared" si="77"/>
        <v>83086.995999999999</v>
      </c>
      <c r="Y108" s="730">
        <f t="shared" si="78"/>
        <v>7612.9228560000001</v>
      </c>
      <c r="Z108" s="730">
        <f t="shared" si="79"/>
        <v>83086.995999999999</v>
      </c>
      <c r="AA108" s="730">
        <f t="shared" si="80"/>
        <v>0</v>
      </c>
      <c r="AC108" s="729" t="s">
        <v>580</v>
      </c>
      <c r="AD108" s="687">
        <v>804151626</v>
      </c>
      <c r="AE108" s="730">
        <f t="shared" si="81"/>
        <v>837925.99429200008</v>
      </c>
      <c r="AG108" s="729" t="s">
        <v>565</v>
      </c>
      <c r="AH108" s="687">
        <v>27000000</v>
      </c>
      <c r="AI108" s="687">
        <v>3741145</v>
      </c>
      <c r="AJ108" s="687">
        <v>27000000</v>
      </c>
      <c r="AK108" s="687">
        <v>0</v>
      </c>
      <c r="AL108" s="687">
        <f t="shared" si="82"/>
        <v>28134</v>
      </c>
      <c r="AM108" s="687">
        <f t="shared" si="83"/>
        <v>3898.2730900000001</v>
      </c>
      <c r="AN108" s="687">
        <f t="shared" si="84"/>
        <v>28134</v>
      </c>
      <c r="AO108" s="687">
        <f t="shared" si="85"/>
        <v>0</v>
      </c>
      <c r="AV108" s="729" t="s">
        <v>387</v>
      </c>
      <c r="AW108" s="687">
        <v>628917901</v>
      </c>
      <c r="AX108" s="687">
        <v>141221644</v>
      </c>
      <c r="AY108" s="687">
        <v>562774081</v>
      </c>
      <c r="AZ108" s="687">
        <v>66143820</v>
      </c>
      <c r="BA108" s="730">
        <f t="shared" si="87"/>
        <v>655332.45284199994</v>
      </c>
      <c r="BB108" s="730">
        <f t="shared" si="88"/>
        <v>147152.953048</v>
      </c>
      <c r="BC108" s="730">
        <f t="shared" si="89"/>
        <v>586410.59240199998</v>
      </c>
      <c r="BD108" s="730">
        <f t="shared" si="90"/>
        <v>68921.860440000004</v>
      </c>
      <c r="BK108" s="754" t="s">
        <v>386</v>
      </c>
      <c r="BL108" s="687">
        <v>1024141451</v>
      </c>
      <c r="BM108" s="687">
        <v>307304906</v>
      </c>
      <c r="BN108" s="687">
        <v>958335377</v>
      </c>
      <c r="BO108" s="687">
        <v>65806074</v>
      </c>
      <c r="BP108" s="687">
        <f t="shared" si="92"/>
        <v>1067155.391942</v>
      </c>
      <c r="BQ108" s="687">
        <f t="shared" si="93"/>
        <v>320211.71205200005</v>
      </c>
      <c r="BR108" s="687">
        <f t="shared" si="94"/>
        <v>998585.46283400001</v>
      </c>
      <c r="BS108" s="755">
        <f t="shared" si="95"/>
        <v>68569.929107999997</v>
      </c>
      <c r="BV108" s="729" t="s">
        <v>403</v>
      </c>
      <c r="BW108" s="687">
        <v>21673411</v>
      </c>
      <c r="BX108" s="730">
        <f t="shared" si="96"/>
        <v>22583.694262000001</v>
      </c>
      <c r="BZ108" s="729" t="s">
        <v>386</v>
      </c>
      <c r="CA108" s="687">
        <v>1025078645</v>
      </c>
      <c r="CB108" s="687">
        <v>338120250</v>
      </c>
      <c r="CC108" s="687">
        <v>959272571</v>
      </c>
      <c r="CD108" s="687">
        <v>65806074</v>
      </c>
      <c r="CE108" s="687">
        <f t="shared" si="97"/>
        <v>1068131.9480900001</v>
      </c>
      <c r="CF108" s="687">
        <f t="shared" si="98"/>
        <v>352321.30050000001</v>
      </c>
      <c r="CG108" s="687">
        <f t="shared" si="99"/>
        <v>999562.01898200007</v>
      </c>
      <c r="CH108" s="687">
        <f t="shared" si="100"/>
        <v>68569.929107999997</v>
      </c>
      <c r="CK108" s="731" t="s">
        <v>595</v>
      </c>
      <c r="CL108" s="730">
        <v>21327265</v>
      </c>
      <c r="CM108" s="730">
        <f t="shared" si="101"/>
        <v>22223.010129999999</v>
      </c>
      <c r="CP108" s="731" t="s">
        <v>387</v>
      </c>
      <c r="CQ108" s="730">
        <v>889318808</v>
      </c>
      <c r="CR108" s="730">
        <v>378287031</v>
      </c>
      <c r="CS108" s="730">
        <v>851929438</v>
      </c>
      <c r="CT108" s="730">
        <v>37389370</v>
      </c>
      <c r="CU108" s="730">
        <f t="shared" si="131"/>
        <v>926670.19793599995</v>
      </c>
      <c r="CV108" s="730">
        <f t="shared" si="132"/>
        <v>394175.08630200004</v>
      </c>
      <c r="CW108" s="730">
        <f t="shared" si="133"/>
        <v>887710.47439600003</v>
      </c>
      <c r="CX108" s="730">
        <f t="shared" si="134"/>
        <v>38959.723540000006</v>
      </c>
      <c r="CZ108" s="731" t="s">
        <v>926</v>
      </c>
      <c r="DA108" s="730">
        <v>35499999</v>
      </c>
      <c r="DB108" s="730">
        <f t="shared" si="102"/>
        <v>36990.998958000004</v>
      </c>
      <c r="DE108" s="729" t="s">
        <v>386</v>
      </c>
      <c r="DF108" s="687">
        <v>1062485808</v>
      </c>
      <c r="DG108" s="687">
        <v>503831669</v>
      </c>
      <c r="DH108" s="687">
        <v>1028290734</v>
      </c>
      <c r="DI108" s="687">
        <v>34195074</v>
      </c>
      <c r="DJ108" s="730">
        <f t="shared" si="103"/>
        <v>1107110.211936</v>
      </c>
      <c r="DK108" s="730">
        <f t="shared" si="104"/>
        <v>524992.59909799998</v>
      </c>
      <c r="DL108" s="730">
        <f t="shared" si="105"/>
        <v>1071478.9448280002</v>
      </c>
      <c r="DM108" s="730">
        <f t="shared" si="106"/>
        <v>35631.267108</v>
      </c>
      <c r="DT108" s="729" t="s">
        <v>386</v>
      </c>
      <c r="DU108" s="687">
        <v>1062485808</v>
      </c>
      <c r="DV108" s="687">
        <v>771514348</v>
      </c>
      <c r="DW108" s="687">
        <v>1028300734</v>
      </c>
      <c r="DX108" s="687">
        <v>34185074</v>
      </c>
      <c r="DY108" s="730">
        <f t="shared" si="108"/>
        <v>1062485.808</v>
      </c>
      <c r="DZ108" s="730">
        <f t="shared" si="109"/>
        <v>771514.348</v>
      </c>
      <c r="EA108" s="730">
        <f t="shared" si="110"/>
        <v>1028300.7340000001</v>
      </c>
      <c r="EB108" s="730">
        <f t="shared" si="111"/>
        <v>34185.074000000001</v>
      </c>
      <c r="EI108" s="731" t="s">
        <v>563</v>
      </c>
      <c r="EJ108" s="730">
        <v>77010001</v>
      </c>
      <c r="EK108" s="730">
        <v>76903828</v>
      </c>
      <c r="EL108" s="730">
        <v>56119695</v>
      </c>
      <c r="EM108" s="734">
        <f t="shared" si="113"/>
        <v>77010.001000000004</v>
      </c>
      <c r="EN108" s="734">
        <f t="shared" si="114"/>
        <v>76903.827999999994</v>
      </c>
      <c r="EO108" s="734">
        <f t="shared" si="115"/>
        <v>56119.695</v>
      </c>
      <c r="EW108" s="729" t="s">
        <v>385</v>
      </c>
      <c r="EX108" s="687">
        <v>0</v>
      </c>
      <c r="EY108" s="687">
        <v>484095384</v>
      </c>
      <c r="EZ108" s="687">
        <v>443410663</v>
      </c>
      <c r="FA108" s="687">
        <v>475294148</v>
      </c>
      <c r="FB108" s="687">
        <v>8801236</v>
      </c>
      <c r="FC108" s="730">
        <f t="shared" ref="FC108:FC131" si="135">+EX108/$FF$1*$FG$1</f>
        <v>0</v>
      </c>
      <c r="FD108" s="730">
        <f t="shared" ref="FD108:FD131" si="136">+EY108/$FF$1*$FG$1</f>
        <v>484095.38400000002</v>
      </c>
      <c r="FE108" s="730">
        <f t="shared" ref="FE108:FE131" si="137">+EZ108/$FF$1*$FG$1</f>
        <v>443410.663</v>
      </c>
      <c r="FF108" s="730">
        <f t="shared" ref="FF108:FF131" si="138">+FA108/$FF$1*$FG$1</f>
        <v>475294.14799999999</v>
      </c>
      <c r="FG108" s="730">
        <f t="shared" ref="FG108:FG131" si="139">+FB108/$FF$1*$FG$1</f>
        <v>8801.2360000000008</v>
      </c>
      <c r="FJ108" s="731" t="s">
        <v>572</v>
      </c>
      <c r="FK108" s="730">
        <v>380154780</v>
      </c>
      <c r="FL108" s="734">
        <f t="shared" si="122"/>
        <v>380154.78</v>
      </c>
      <c r="FN108" s="735" t="s">
        <v>563</v>
      </c>
      <c r="FO108" s="736">
        <v>75160490</v>
      </c>
      <c r="FP108" s="736">
        <v>73665490</v>
      </c>
      <c r="FQ108" s="736">
        <v>73665490</v>
      </c>
      <c r="FR108" s="736">
        <f t="shared" si="123"/>
        <v>75160.490000000005</v>
      </c>
      <c r="FS108" s="736">
        <f t="shared" si="124"/>
        <v>73665.490000000005</v>
      </c>
      <c r="FT108" s="736">
        <f t="shared" si="125"/>
        <v>73665.490000000005</v>
      </c>
    </row>
    <row r="109" spans="1:176" ht="15" customHeight="1" x14ac:dyDescent="0.25">
      <c r="A109" s="728" t="s">
        <v>879</v>
      </c>
      <c r="B109" s="729" t="s">
        <v>567</v>
      </c>
      <c r="C109" s="687">
        <v>0</v>
      </c>
      <c r="D109" s="687">
        <v>19009564</v>
      </c>
      <c r="E109" s="687">
        <v>9564</v>
      </c>
      <c r="F109" s="687">
        <v>19000000</v>
      </c>
      <c r="G109" s="687">
        <v>9564</v>
      </c>
      <c r="H109" s="730">
        <f t="shared" si="72"/>
        <v>19807.965688</v>
      </c>
      <c r="I109" s="730">
        <f t="shared" si="73"/>
        <v>9.9656880000000001</v>
      </c>
      <c r="J109" s="730">
        <f t="shared" si="74"/>
        <v>19798</v>
      </c>
      <c r="K109" s="730">
        <f t="shared" si="75"/>
        <v>9.9656880000000001</v>
      </c>
      <c r="S109" s="729" t="s">
        <v>469</v>
      </c>
      <c r="T109" s="687">
        <v>28672000</v>
      </c>
      <c r="U109" s="687">
        <v>0</v>
      </c>
      <c r="V109" s="687">
        <v>28666296</v>
      </c>
      <c r="W109" s="687">
        <v>5704</v>
      </c>
      <c r="X109" s="730">
        <f t="shared" si="77"/>
        <v>29876.224000000002</v>
      </c>
      <c r="Y109" s="730">
        <f t="shared" si="78"/>
        <v>0</v>
      </c>
      <c r="Z109" s="730">
        <f t="shared" si="79"/>
        <v>29870.280432</v>
      </c>
      <c r="AA109" s="730">
        <f t="shared" si="80"/>
        <v>5.943568</v>
      </c>
      <c r="AC109" s="729" t="s">
        <v>404</v>
      </c>
      <c r="AD109" s="687">
        <v>-97064</v>
      </c>
      <c r="AE109" s="730">
        <f t="shared" si="81"/>
        <v>-101.140688</v>
      </c>
      <c r="AG109" s="729" t="s">
        <v>566</v>
      </c>
      <c r="AH109" s="687">
        <v>79738000</v>
      </c>
      <c r="AI109" s="687">
        <v>7306068</v>
      </c>
      <c r="AJ109" s="687">
        <v>79738000</v>
      </c>
      <c r="AK109" s="687">
        <v>0</v>
      </c>
      <c r="AL109" s="687">
        <f t="shared" si="82"/>
        <v>83086.995999999999</v>
      </c>
      <c r="AM109" s="687">
        <f t="shared" si="83"/>
        <v>7612.9228560000001</v>
      </c>
      <c r="AN109" s="687">
        <f t="shared" si="84"/>
        <v>83086.995999999999</v>
      </c>
      <c r="AO109" s="687">
        <f t="shared" si="85"/>
        <v>0</v>
      </c>
      <c r="AV109" s="729" t="s">
        <v>565</v>
      </c>
      <c r="AW109" s="687">
        <v>27000000</v>
      </c>
      <c r="AX109" s="687">
        <v>3741145</v>
      </c>
      <c r="AY109" s="687">
        <v>27000000</v>
      </c>
      <c r="AZ109" s="687">
        <v>0</v>
      </c>
      <c r="BA109" s="730">
        <f t="shared" si="87"/>
        <v>28134</v>
      </c>
      <c r="BB109" s="730">
        <f t="shared" si="88"/>
        <v>3898.2730900000001</v>
      </c>
      <c r="BC109" s="730">
        <f t="shared" si="89"/>
        <v>28134</v>
      </c>
      <c r="BD109" s="730">
        <f t="shared" si="90"/>
        <v>0</v>
      </c>
      <c r="BK109" s="754" t="s">
        <v>387</v>
      </c>
      <c r="BL109" s="687">
        <v>888374451</v>
      </c>
      <c r="BM109" s="687">
        <v>251738882</v>
      </c>
      <c r="BN109" s="687">
        <v>822574081</v>
      </c>
      <c r="BO109" s="687">
        <v>65800370</v>
      </c>
      <c r="BP109" s="687">
        <f t="shared" si="92"/>
        <v>925686.17794199998</v>
      </c>
      <c r="BQ109" s="687">
        <f t="shared" si="93"/>
        <v>262311.91504400002</v>
      </c>
      <c r="BR109" s="687">
        <f t="shared" si="94"/>
        <v>857122.19240200007</v>
      </c>
      <c r="BS109" s="755">
        <f t="shared" si="95"/>
        <v>68563.985539999994</v>
      </c>
      <c r="BV109" s="729" t="s">
        <v>580</v>
      </c>
      <c r="BW109" s="687">
        <v>21673411</v>
      </c>
      <c r="BX109" s="730">
        <f t="shared" si="96"/>
        <v>22583.694262000001</v>
      </c>
      <c r="BZ109" s="729" t="s">
        <v>387</v>
      </c>
      <c r="CA109" s="687">
        <v>889311645</v>
      </c>
      <c r="CB109" s="687">
        <v>268339993</v>
      </c>
      <c r="CC109" s="687">
        <v>823511275</v>
      </c>
      <c r="CD109" s="687">
        <v>65800370</v>
      </c>
      <c r="CE109" s="687">
        <f t="shared" si="97"/>
        <v>926662.73409000004</v>
      </c>
      <c r="CF109" s="687">
        <f t="shared" si="98"/>
        <v>279610.27270600002</v>
      </c>
      <c r="CG109" s="687">
        <f t="shared" si="99"/>
        <v>858098.74855000002</v>
      </c>
      <c r="CH109" s="687">
        <f t="shared" si="100"/>
        <v>68563.985539999994</v>
      </c>
      <c r="CK109" s="731" t="s">
        <v>844</v>
      </c>
      <c r="CL109" s="730">
        <v>21327265</v>
      </c>
      <c r="CM109" s="730">
        <f t="shared" si="101"/>
        <v>22223.010129999999</v>
      </c>
      <c r="CP109" s="731" t="s">
        <v>565</v>
      </c>
      <c r="CQ109" s="730">
        <v>27000000</v>
      </c>
      <c r="CR109" s="730">
        <v>11716800</v>
      </c>
      <c r="CS109" s="730">
        <v>27000000</v>
      </c>
      <c r="CT109" s="730">
        <v>0</v>
      </c>
      <c r="CU109" s="730">
        <f t="shared" si="131"/>
        <v>28134</v>
      </c>
      <c r="CV109" s="730">
        <f t="shared" si="132"/>
        <v>12208.9056</v>
      </c>
      <c r="CW109" s="730">
        <f t="shared" si="133"/>
        <v>28134</v>
      </c>
      <c r="CX109" s="730">
        <f t="shared" si="134"/>
        <v>0</v>
      </c>
      <c r="CZ109" s="731" t="s">
        <v>398</v>
      </c>
      <c r="DA109" s="730">
        <v>18903491</v>
      </c>
      <c r="DB109" s="730">
        <f t="shared" si="102"/>
        <v>19697.437622000001</v>
      </c>
      <c r="DE109" s="729" t="s">
        <v>387</v>
      </c>
      <c r="DF109" s="687">
        <v>889318808</v>
      </c>
      <c r="DG109" s="687">
        <v>406322585</v>
      </c>
      <c r="DH109" s="687">
        <v>855129438</v>
      </c>
      <c r="DI109" s="687">
        <v>34189370</v>
      </c>
      <c r="DJ109" s="730">
        <f t="shared" si="103"/>
        <v>926670.19793599995</v>
      </c>
      <c r="DK109" s="730">
        <f t="shared" si="104"/>
        <v>423388.13357000006</v>
      </c>
      <c r="DL109" s="730">
        <f t="shared" si="105"/>
        <v>891044.87439599994</v>
      </c>
      <c r="DM109" s="730">
        <f t="shared" si="106"/>
        <v>35625.323540000005</v>
      </c>
      <c r="DT109" s="729" t="s">
        <v>387</v>
      </c>
      <c r="DU109" s="687">
        <v>889318808</v>
      </c>
      <c r="DV109" s="687">
        <v>657982011</v>
      </c>
      <c r="DW109" s="687">
        <v>855139438</v>
      </c>
      <c r="DX109" s="687">
        <v>34179370</v>
      </c>
      <c r="DY109" s="730">
        <f t="shared" si="108"/>
        <v>889318.80799999996</v>
      </c>
      <c r="DZ109" s="730">
        <f t="shared" si="109"/>
        <v>657982.01100000006</v>
      </c>
      <c r="EA109" s="730">
        <f t="shared" si="110"/>
        <v>855139.43799999997</v>
      </c>
      <c r="EB109" s="730">
        <f t="shared" si="111"/>
        <v>34179.370000000003</v>
      </c>
      <c r="EI109" s="731" t="s">
        <v>564</v>
      </c>
      <c r="EJ109" s="730">
        <v>2787880</v>
      </c>
      <c r="EK109" s="730">
        <v>2504104</v>
      </c>
      <c r="EL109" s="730">
        <v>2257258</v>
      </c>
      <c r="EM109" s="734">
        <f t="shared" si="113"/>
        <v>2787.88</v>
      </c>
      <c r="EN109" s="734">
        <f t="shared" si="114"/>
        <v>2504.1039999999998</v>
      </c>
      <c r="EO109" s="734">
        <f t="shared" si="115"/>
        <v>2257.2579999999998</v>
      </c>
      <c r="EW109" s="729" t="s">
        <v>386</v>
      </c>
      <c r="EX109" s="687">
        <v>0</v>
      </c>
      <c r="EY109" s="687">
        <v>1190271705</v>
      </c>
      <c r="EZ109" s="687">
        <v>875813732</v>
      </c>
      <c r="FA109" s="687">
        <v>938920167</v>
      </c>
      <c r="FB109" s="687">
        <v>251351538</v>
      </c>
      <c r="FC109" s="730">
        <f t="shared" si="135"/>
        <v>0</v>
      </c>
      <c r="FD109" s="730">
        <f t="shared" si="136"/>
        <v>1190271.7050000001</v>
      </c>
      <c r="FE109" s="730">
        <f t="shared" si="137"/>
        <v>875813.73199999996</v>
      </c>
      <c r="FF109" s="730">
        <f t="shared" si="138"/>
        <v>938920.16700000002</v>
      </c>
      <c r="FG109" s="730">
        <f t="shared" si="139"/>
        <v>251351.538</v>
      </c>
      <c r="FJ109" s="731" t="s">
        <v>573</v>
      </c>
      <c r="FK109" s="730">
        <v>380154780</v>
      </c>
      <c r="FL109" s="734">
        <f t="shared" si="122"/>
        <v>380154.78</v>
      </c>
      <c r="FN109" s="735" t="s">
        <v>564</v>
      </c>
      <c r="FO109" s="736">
        <v>2504104</v>
      </c>
      <c r="FP109" s="736">
        <v>2504104</v>
      </c>
      <c r="FQ109" s="736">
        <v>2504104</v>
      </c>
      <c r="FR109" s="736">
        <f t="shared" si="123"/>
        <v>2504.1039999999998</v>
      </c>
      <c r="FS109" s="736">
        <f t="shared" si="124"/>
        <v>2504.1039999999998</v>
      </c>
      <c r="FT109" s="736">
        <f t="shared" si="125"/>
        <v>2504.1039999999998</v>
      </c>
    </row>
    <row r="110" spans="1:176" ht="15" customHeight="1" x14ac:dyDescent="0.25">
      <c r="A110" s="728" t="s">
        <v>880</v>
      </c>
      <c r="B110" s="729" t="s">
        <v>388</v>
      </c>
      <c r="C110" s="687">
        <v>0</v>
      </c>
      <c r="D110" s="687">
        <v>19000000</v>
      </c>
      <c r="E110" s="687">
        <v>0</v>
      </c>
      <c r="F110" s="687">
        <v>19000000</v>
      </c>
      <c r="G110" s="687">
        <v>0</v>
      </c>
      <c r="H110" s="730">
        <f t="shared" si="72"/>
        <v>19798</v>
      </c>
      <c r="I110" s="730">
        <f t="shared" si="73"/>
        <v>0</v>
      </c>
      <c r="J110" s="730">
        <f t="shared" si="74"/>
        <v>19798</v>
      </c>
      <c r="K110" s="730">
        <f t="shared" si="75"/>
        <v>0</v>
      </c>
      <c r="S110" s="729" t="s">
        <v>567</v>
      </c>
      <c r="T110" s="687">
        <v>19009564</v>
      </c>
      <c r="U110" s="687">
        <v>9564</v>
      </c>
      <c r="V110" s="687">
        <v>4535908</v>
      </c>
      <c r="W110" s="687">
        <v>14473656</v>
      </c>
      <c r="X110" s="730">
        <f t="shared" si="77"/>
        <v>19807.965688</v>
      </c>
      <c r="Y110" s="730">
        <f t="shared" si="78"/>
        <v>9.9656880000000001</v>
      </c>
      <c r="Z110" s="730">
        <f t="shared" si="79"/>
        <v>4726.4161360000007</v>
      </c>
      <c r="AA110" s="730">
        <f t="shared" si="80"/>
        <v>15081.549552000002</v>
      </c>
      <c r="AG110" s="729" t="s">
        <v>469</v>
      </c>
      <c r="AH110" s="687">
        <v>29029000</v>
      </c>
      <c r="AI110" s="687">
        <v>5134716</v>
      </c>
      <c r="AJ110" s="687">
        <v>29023296</v>
      </c>
      <c r="AK110" s="687">
        <v>5704</v>
      </c>
      <c r="AL110" s="687">
        <f t="shared" si="82"/>
        <v>30248.218000000001</v>
      </c>
      <c r="AM110" s="687">
        <f t="shared" si="83"/>
        <v>5350.3740720000005</v>
      </c>
      <c r="AN110" s="687">
        <f t="shared" si="84"/>
        <v>30242.274431999998</v>
      </c>
      <c r="AO110" s="687">
        <f t="shared" si="85"/>
        <v>5.943568</v>
      </c>
      <c r="AV110" s="729" t="s">
        <v>566</v>
      </c>
      <c r="AW110" s="687">
        <v>79738000</v>
      </c>
      <c r="AX110" s="687">
        <v>29000607</v>
      </c>
      <c r="AY110" s="687">
        <v>79738000</v>
      </c>
      <c r="AZ110" s="687">
        <v>0</v>
      </c>
      <c r="BA110" s="730">
        <f t="shared" si="87"/>
        <v>83086.995999999999</v>
      </c>
      <c r="BB110" s="730">
        <f t="shared" si="88"/>
        <v>30218.632494000001</v>
      </c>
      <c r="BC110" s="730">
        <f t="shared" si="89"/>
        <v>83086.995999999999</v>
      </c>
      <c r="BD110" s="730">
        <f t="shared" si="90"/>
        <v>0</v>
      </c>
      <c r="BK110" s="754" t="s">
        <v>565</v>
      </c>
      <c r="BL110" s="687">
        <v>27000000</v>
      </c>
      <c r="BM110" s="687">
        <v>9663860</v>
      </c>
      <c r="BN110" s="687">
        <v>27000000</v>
      </c>
      <c r="BO110" s="687">
        <v>0</v>
      </c>
      <c r="BP110" s="687">
        <f t="shared" si="92"/>
        <v>28134</v>
      </c>
      <c r="BQ110" s="687">
        <f t="shared" si="93"/>
        <v>10069.742120000001</v>
      </c>
      <c r="BR110" s="687">
        <f t="shared" si="94"/>
        <v>28134</v>
      </c>
      <c r="BS110" s="755">
        <f t="shared" si="95"/>
        <v>0</v>
      </c>
      <c r="BZ110" s="729" t="s">
        <v>565</v>
      </c>
      <c r="CA110" s="687">
        <v>27000000</v>
      </c>
      <c r="CB110" s="687">
        <v>9663860</v>
      </c>
      <c r="CC110" s="687">
        <v>27000000</v>
      </c>
      <c r="CD110" s="687">
        <v>0</v>
      </c>
      <c r="CE110" s="687">
        <f t="shared" si="97"/>
        <v>28134</v>
      </c>
      <c r="CF110" s="687">
        <f t="shared" si="98"/>
        <v>10069.742120000001</v>
      </c>
      <c r="CG110" s="687">
        <f t="shared" si="99"/>
        <v>28134</v>
      </c>
      <c r="CH110" s="687">
        <f t="shared" si="100"/>
        <v>0</v>
      </c>
      <c r="CK110" s="731" t="s">
        <v>577</v>
      </c>
      <c r="CL110" s="730">
        <v>4814725</v>
      </c>
      <c r="CM110" s="730">
        <f t="shared" si="101"/>
        <v>5016.9434500000007</v>
      </c>
      <c r="CP110" s="731" t="s">
        <v>566</v>
      </c>
      <c r="CQ110" s="730">
        <v>117138000</v>
      </c>
      <c r="CR110" s="730">
        <v>57255353</v>
      </c>
      <c r="CS110" s="730">
        <v>117138000</v>
      </c>
      <c r="CT110" s="730">
        <v>0</v>
      </c>
      <c r="CU110" s="730">
        <f t="shared" si="131"/>
        <v>122057.796</v>
      </c>
      <c r="CV110" s="730">
        <f t="shared" si="132"/>
        <v>59660.077826000008</v>
      </c>
      <c r="CW110" s="730">
        <f t="shared" si="133"/>
        <v>122057.796</v>
      </c>
      <c r="CX110" s="730">
        <f t="shared" si="134"/>
        <v>0</v>
      </c>
      <c r="CZ110" s="731" t="s">
        <v>579</v>
      </c>
      <c r="DA110" s="730">
        <v>18903491</v>
      </c>
      <c r="DB110" s="730">
        <f t="shared" si="102"/>
        <v>19697.437622000001</v>
      </c>
      <c r="DE110" s="729" t="s">
        <v>565</v>
      </c>
      <c r="DF110" s="687">
        <v>27000000</v>
      </c>
      <c r="DG110" s="687">
        <v>13784335</v>
      </c>
      <c r="DH110" s="687">
        <v>27000000</v>
      </c>
      <c r="DI110" s="687">
        <v>0</v>
      </c>
      <c r="DJ110" s="730">
        <f t="shared" si="103"/>
        <v>28134</v>
      </c>
      <c r="DK110" s="730">
        <f t="shared" si="104"/>
        <v>14363.27707</v>
      </c>
      <c r="DL110" s="730">
        <f t="shared" si="105"/>
        <v>28134</v>
      </c>
      <c r="DM110" s="730">
        <f t="shared" si="106"/>
        <v>0</v>
      </c>
      <c r="DT110" s="729" t="s">
        <v>565</v>
      </c>
      <c r="DU110" s="687">
        <v>27000000</v>
      </c>
      <c r="DV110" s="687">
        <v>17924822</v>
      </c>
      <c r="DW110" s="687">
        <v>27000000</v>
      </c>
      <c r="DX110" s="687">
        <v>0</v>
      </c>
      <c r="DY110" s="730">
        <f t="shared" si="108"/>
        <v>27000</v>
      </c>
      <c r="DZ110" s="730">
        <f t="shared" si="109"/>
        <v>17924.822</v>
      </c>
      <c r="EA110" s="730">
        <f t="shared" si="110"/>
        <v>27000</v>
      </c>
      <c r="EB110" s="730">
        <f t="shared" si="111"/>
        <v>0</v>
      </c>
      <c r="EI110" s="731" t="s">
        <v>385</v>
      </c>
      <c r="EJ110" s="730">
        <v>490527158</v>
      </c>
      <c r="EK110" s="730">
        <v>391816676</v>
      </c>
      <c r="EL110" s="730">
        <v>343534155</v>
      </c>
      <c r="EM110" s="734">
        <f t="shared" si="113"/>
        <v>490527.158</v>
      </c>
      <c r="EN110" s="734">
        <f t="shared" si="114"/>
        <v>391816.67599999998</v>
      </c>
      <c r="EO110" s="734">
        <f t="shared" si="115"/>
        <v>343534.15500000003</v>
      </c>
      <c r="EW110" s="729" t="s">
        <v>387</v>
      </c>
      <c r="EX110" s="687">
        <v>0</v>
      </c>
      <c r="EY110" s="687">
        <v>780493705</v>
      </c>
      <c r="EZ110" s="687">
        <v>732205014</v>
      </c>
      <c r="FA110" s="687">
        <v>779044167</v>
      </c>
      <c r="FB110" s="687">
        <v>1449538</v>
      </c>
      <c r="FC110" s="730">
        <f t="shared" si="135"/>
        <v>0</v>
      </c>
      <c r="FD110" s="730">
        <f t="shared" si="136"/>
        <v>780493.70499999996</v>
      </c>
      <c r="FE110" s="730">
        <f t="shared" si="137"/>
        <v>732205.01399999997</v>
      </c>
      <c r="FF110" s="730">
        <f t="shared" si="138"/>
        <v>779044.16700000002</v>
      </c>
      <c r="FG110" s="730">
        <f t="shared" si="139"/>
        <v>1449.538</v>
      </c>
      <c r="FJ110" s="731" t="s">
        <v>395</v>
      </c>
      <c r="FK110" s="730">
        <v>728892168</v>
      </c>
      <c r="FL110" s="734">
        <f t="shared" si="122"/>
        <v>728892.16799999995</v>
      </c>
      <c r="FN110" s="735" t="s">
        <v>385</v>
      </c>
      <c r="FO110" s="736">
        <v>472255664</v>
      </c>
      <c r="FP110" s="736">
        <v>471874864</v>
      </c>
      <c r="FQ110" s="736">
        <v>472255664</v>
      </c>
      <c r="FR110" s="736">
        <f t="shared" si="123"/>
        <v>472255.66399999999</v>
      </c>
      <c r="FS110" s="736">
        <f t="shared" si="124"/>
        <v>471874.864</v>
      </c>
      <c r="FT110" s="736">
        <f t="shared" si="125"/>
        <v>472255.66399999999</v>
      </c>
    </row>
    <row r="111" spans="1:176" ht="15" customHeight="1" x14ac:dyDescent="0.25">
      <c r="A111" s="728" t="s">
        <v>880</v>
      </c>
      <c r="B111" s="729" t="s">
        <v>478</v>
      </c>
      <c r="C111" s="687">
        <v>0</v>
      </c>
      <c r="D111" s="687">
        <v>9564</v>
      </c>
      <c r="E111" s="687">
        <v>9564</v>
      </c>
      <c r="F111" s="687">
        <v>0</v>
      </c>
      <c r="G111" s="687">
        <v>9564</v>
      </c>
      <c r="H111" s="730">
        <f t="shared" si="72"/>
        <v>9.9656880000000001</v>
      </c>
      <c r="I111" s="730">
        <f t="shared" si="73"/>
        <v>9.9656880000000001</v>
      </c>
      <c r="J111" s="730">
        <f t="shared" si="74"/>
        <v>0</v>
      </c>
      <c r="K111" s="730">
        <f t="shared" si="75"/>
        <v>9.9656880000000001</v>
      </c>
      <c r="S111" s="729" t="s">
        <v>388</v>
      </c>
      <c r="T111" s="687">
        <v>19000000</v>
      </c>
      <c r="U111" s="687">
        <v>0</v>
      </c>
      <c r="V111" s="687">
        <v>4526344</v>
      </c>
      <c r="W111" s="687">
        <v>14473656</v>
      </c>
      <c r="X111" s="730">
        <f t="shared" si="77"/>
        <v>19798</v>
      </c>
      <c r="Y111" s="730">
        <f t="shared" si="78"/>
        <v>0</v>
      </c>
      <c r="Z111" s="730">
        <f t="shared" si="79"/>
        <v>4716.4504480000005</v>
      </c>
      <c r="AA111" s="730">
        <f t="shared" si="80"/>
        <v>15081.549552000002</v>
      </c>
      <c r="AG111" s="729" t="s">
        <v>567</v>
      </c>
      <c r="AH111" s="687">
        <v>19009564</v>
      </c>
      <c r="AI111" s="687">
        <v>4535908</v>
      </c>
      <c r="AJ111" s="687">
        <v>4535908</v>
      </c>
      <c r="AK111" s="687">
        <v>14473656</v>
      </c>
      <c r="AL111" s="687">
        <f t="shared" si="82"/>
        <v>19807.965688</v>
      </c>
      <c r="AM111" s="687">
        <f t="shared" si="83"/>
        <v>4726.4161360000007</v>
      </c>
      <c r="AN111" s="687">
        <f t="shared" si="84"/>
        <v>4726.4161360000007</v>
      </c>
      <c r="AO111" s="687">
        <f t="shared" si="85"/>
        <v>15081.549552000002</v>
      </c>
      <c r="AV111" s="729" t="s">
        <v>469</v>
      </c>
      <c r="AW111" s="687">
        <v>29029000</v>
      </c>
      <c r="AX111" s="687">
        <v>7523574</v>
      </c>
      <c r="AY111" s="687">
        <v>29023296</v>
      </c>
      <c r="AZ111" s="687">
        <v>5704</v>
      </c>
      <c r="BA111" s="730">
        <f t="shared" si="87"/>
        <v>30248.218000000001</v>
      </c>
      <c r="BB111" s="730">
        <f t="shared" si="88"/>
        <v>7839.5641079999996</v>
      </c>
      <c r="BC111" s="730">
        <f t="shared" si="89"/>
        <v>30242.274431999998</v>
      </c>
      <c r="BD111" s="730">
        <f t="shared" si="90"/>
        <v>5.943568</v>
      </c>
      <c r="BK111" s="754" t="s">
        <v>566</v>
      </c>
      <c r="BL111" s="687">
        <v>79738000</v>
      </c>
      <c r="BM111" s="687">
        <v>38378590</v>
      </c>
      <c r="BN111" s="687">
        <v>79738000</v>
      </c>
      <c r="BO111" s="687">
        <v>0</v>
      </c>
      <c r="BP111" s="687">
        <f t="shared" si="92"/>
        <v>83086.995999999999</v>
      </c>
      <c r="BQ111" s="687">
        <f t="shared" si="93"/>
        <v>39990.49078</v>
      </c>
      <c r="BR111" s="687">
        <f t="shared" si="94"/>
        <v>83086.995999999999</v>
      </c>
      <c r="BS111" s="755">
        <f t="shared" si="95"/>
        <v>0</v>
      </c>
      <c r="BZ111" s="729" t="s">
        <v>566</v>
      </c>
      <c r="CA111" s="687">
        <v>79738000</v>
      </c>
      <c r="CB111" s="687">
        <v>47815107</v>
      </c>
      <c r="CC111" s="687">
        <v>79738000</v>
      </c>
      <c r="CD111" s="687">
        <v>0</v>
      </c>
      <c r="CE111" s="687">
        <f t="shared" si="97"/>
        <v>83086.995999999999</v>
      </c>
      <c r="CF111" s="687">
        <f t="shared" si="98"/>
        <v>49823.341494000008</v>
      </c>
      <c r="CG111" s="687">
        <f t="shared" si="99"/>
        <v>83086.995999999999</v>
      </c>
      <c r="CH111" s="687">
        <f t="shared" si="100"/>
        <v>0</v>
      </c>
      <c r="CK111" s="731" t="s">
        <v>824</v>
      </c>
      <c r="CL111" s="730">
        <v>226100</v>
      </c>
      <c r="CM111" s="730">
        <f t="shared" si="101"/>
        <v>235.59620000000001</v>
      </c>
      <c r="CP111" s="731" t="s">
        <v>469</v>
      </c>
      <c r="CQ111" s="730">
        <v>29029000</v>
      </c>
      <c r="CR111" s="730">
        <v>14690148</v>
      </c>
      <c r="CS111" s="730">
        <v>29023296</v>
      </c>
      <c r="CT111" s="730">
        <v>5704</v>
      </c>
      <c r="CU111" s="730">
        <f t="shared" si="131"/>
        <v>30248.218000000001</v>
      </c>
      <c r="CV111" s="730">
        <f t="shared" si="132"/>
        <v>15307.134216</v>
      </c>
      <c r="CW111" s="730">
        <f t="shared" si="133"/>
        <v>30242.274431999998</v>
      </c>
      <c r="CX111" s="730">
        <f t="shared" si="134"/>
        <v>5.943568</v>
      </c>
      <c r="DB111" s="734">
        <f>SUM(DB3:DB110)</f>
        <v>8084424.9592399988</v>
      </c>
      <c r="DE111" s="729" t="s">
        <v>566</v>
      </c>
      <c r="DF111" s="687">
        <v>117138000</v>
      </c>
      <c r="DG111" s="687">
        <v>66645743</v>
      </c>
      <c r="DH111" s="687">
        <v>117138000</v>
      </c>
      <c r="DI111" s="687">
        <v>0</v>
      </c>
      <c r="DJ111" s="730">
        <f t="shared" si="103"/>
        <v>122057.796</v>
      </c>
      <c r="DK111" s="730">
        <f t="shared" si="104"/>
        <v>69444.864205999998</v>
      </c>
      <c r="DL111" s="730">
        <f t="shared" si="105"/>
        <v>122057.796</v>
      </c>
      <c r="DM111" s="730">
        <f t="shared" si="106"/>
        <v>0</v>
      </c>
      <c r="DT111" s="729" t="s">
        <v>566</v>
      </c>
      <c r="DU111" s="687">
        <v>117138000</v>
      </c>
      <c r="DV111" s="687">
        <v>76139651</v>
      </c>
      <c r="DW111" s="687">
        <v>117138000</v>
      </c>
      <c r="DX111" s="687">
        <v>0</v>
      </c>
      <c r="DY111" s="730">
        <f t="shared" si="108"/>
        <v>117138</v>
      </c>
      <c r="DZ111" s="730">
        <f t="shared" si="109"/>
        <v>76139.650999999998</v>
      </c>
      <c r="EA111" s="730">
        <f t="shared" si="110"/>
        <v>117138</v>
      </c>
      <c r="EB111" s="730">
        <f t="shared" si="111"/>
        <v>0</v>
      </c>
      <c r="EI111" s="731" t="s">
        <v>386</v>
      </c>
      <c r="EJ111" s="730">
        <v>1069695375</v>
      </c>
      <c r="EK111" s="730">
        <v>1028800660</v>
      </c>
      <c r="EL111" s="730">
        <v>825984539</v>
      </c>
      <c r="EM111" s="734">
        <f t="shared" si="113"/>
        <v>1069695.375</v>
      </c>
      <c r="EN111" s="734">
        <f t="shared" si="114"/>
        <v>1028800.66</v>
      </c>
      <c r="EO111" s="734">
        <f t="shared" si="115"/>
        <v>825984.53899999999</v>
      </c>
      <c r="EW111" s="729" t="s">
        <v>565</v>
      </c>
      <c r="EX111" s="687">
        <v>0</v>
      </c>
      <c r="EY111" s="687">
        <v>24006411</v>
      </c>
      <c r="EZ111" s="687">
        <v>21906411</v>
      </c>
      <c r="FA111" s="687">
        <v>24006411</v>
      </c>
      <c r="FB111" s="687">
        <v>0</v>
      </c>
      <c r="FC111" s="730">
        <f t="shared" si="135"/>
        <v>0</v>
      </c>
      <c r="FD111" s="730">
        <f t="shared" si="136"/>
        <v>24006.411</v>
      </c>
      <c r="FE111" s="730">
        <f t="shared" si="137"/>
        <v>21906.411</v>
      </c>
      <c r="FF111" s="730">
        <f t="shared" si="138"/>
        <v>24006.411</v>
      </c>
      <c r="FG111" s="730">
        <f t="shared" si="139"/>
        <v>0</v>
      </c>
      <c r="FJ111" s="731" t="s">
        <v>396</v>
      </c>
      <c r="FK111" s="730">
        <v>218292168</v>
      </c>
      <c r="FL111" s="734">
        <f t="shared" si="122"/>
        <v>218292.16800000001</v>
      </c>
      <c r="FN111" s="735" t="s">
        <v>386</v>
      </c>
      <c r="FO111" s="736">
        <v>949173335</v>
      </c>
      <c r="FP111" s="736">
        <v>949173335</v>
      </c>
      <c r="FQ111" s="736">
        <v>949173335</v>
      </c>
      <c r="FR111" s="736">
        <f t="shared" si="123"/>
        <v>949173.33499999996</v>
      </c>
      <c r="FS111" s="736">
        <f t="shared" si="124"/>
        <v>949173.33499999996</v>
      </c>
      <c r="FT111" s="736">
        <f t="shared" si="125"/>
        <v>949173.33499999996</v>
      </c>
    </row>
    <row r="112" spans="1:176" ht="15" customHeight="1" x14ac:dyDescent="0.25">
      <c r="A112" s="728" t="s">
        <v>879</v>
      </c>
      <c r="B112" s="729" t="s">
        <v>568</v>
      </c>
      <c r="C112" s="687">
        <v>0</v>
      </c>
      <c r="D112" s="687">
        <v>630044915</v>
      </c>
      <c r="E112" s="687">
        <v>65110080</v>
      </c>
      <c r="F112" s="687">
        <v>564934835</v>
      </c>
      <c r="G112" s="687">
        <v>952000</v>
      </c>
      <c r="H112" s="730">
        <f>+D112/$I$1*$J$1</f>
        <v>656506.80143000011</v>
      </c>
      <c r="I112" s="730">
        <f t="shared" si="73"/>
        <v>67844.70336</v>
      </c>
      <c r="J112" s="730">
        <f t="shared" si="74"/>
        <v>588662.09806999995</v>
      </c>
      <c r="K112" s="730">
        <f t="shared" si="75"/>
        <v>991.98400000000004</v>
      </c>
      <c r="S112" s="729" t="s">
        <v>478</v>
      </c>
      <c r="T112" s="687">
        <v>9564</v>
      </c>
      <c r="U112" s="687">
        <v>9564</v>
      </c>
      <c r="V112" s="687">
        <v>9564</v>
      </c>
      <c r="W112" s="687">
        <v>0</v>
      </c>
      <c r="X112" s="730">
        <f t="shared" si="77"/>
        <v>9.9656880000000001</v>
      </c>
      <c r="Y112" s="730">
        <f t="shared" si="78"/>
        <v>9.9656880000000001</v>
      </c>
      <c r="Z112" s="730">
        <f t="shared" si="79"/>
        <v>9.9656880000000001</v>
      </c>
      <c r="AA112" s="730">
        <f t="shared" si="80"/>
        <v>0</v>
      </c>
      <c r="AG112" s="729" t="s">
        <v>388</v>
      </c>
      <c r="AH112" s="687">
        <v>19000000</v>
      </c>
      <c r="AI112" s="687">
        <v>4526344</v>
      </c>
      <c r="AJ112" s="687">
        <v>4526344</v>
      </c>
      <c r="AK112" s="687">
        <v>14473656</v>
      </c>
      <c r="AL112" s="687">
        <f t="shared" si="82"/>
        <v>19798</v>
      </c>
      <c r="AM112" s="687">
        <f t="shared" si="83"/>
        <v>4716.4504480000005</v>
      </c>
      <c r="AN112" s="687">
        <f t="shared" si="84"/>
        <v>4716.4504480000005</v>
      </c>
      <c r="AO112" s="687">
        <f t="shared" si="85"/>
        <v>15081.549552000002</v>
      </c>
      <c r="AV112" s="729" t="s">
        <v>567</v>
      </c>
      <c r="AW112" s="687">
        <v>19009564</v>
      </c>
      <c r="AX112" s="687">
        <v>4535908</v>
      </c>
      <c r="AY112" s="687">
        <v>4535908</v>
      </c>
      <c r="AZ112" s="687">
        <v>14473656</v>
      </c>
      <c r="BA112" s="730">
        <f t="shared" si="87"/>
        <v>19807.965688</v>
      </c>
      <c r="BB112" s="730">
        <f t="shared" si="88"/>
        <v>4726.4161360000007</v>
      </c>
      <c r="BC112" s="730">
        <f t="shared" si="89"/>
        <v>4726.4161360000007</v>
      </c>
      <c r="BD112" s="730">
        <f t="shared" si="90"/>
        <v>15081.549552000002</v>
      </c>
      <c r="BK112" s="754" t="s">
        <v>469</v>
      </c>
      <c r="BL112" s="687">
        <v>29029000</v>
      </c>
      <c r="BM112" s="687">
        <v>7523574</v>
      </c>
      <c r="BN112" s="687">
        <v>29023296</v>
      </c>
      <c r="BO112" s="687">
        <v>5704</v>
      </c>
      <c r="BP112" s="687">
        <f t="shared" si="92"/>
        <v>30248.218000000001</v>
      </c>
      <c r="BQ112" s="687">
        <f t="shared" si="93"/>
        <v>7839.5641079999996</v>
      </c>
      <c r="BR112" s="687">
        <f t="shared" si="94"/>
        <v>30242.274431999998</v>
      </c>
      <c r="BS112" s="755">
        <f t="shared" si="95"/>
        <v>5.943568</v>
      </c>
      <c r="BZ112" s="729" t="s">
        <v>469</v>
      </c>
      <c r="CA112" s="687">
        <v>29029000</v>
      </c>
      <c r="CB112" s="687">
        <v>12301290</v>
      </c>
      <c r="CC112" s="687">
        <v>29023296</v>
      </c>
      <c r="CD112" s="687">
        <v>5704</v>
      </c>
      <c r="CE112" s="687">
        <f t="shared" si="97"/>
        <v>30248.218000000001</v>
      </c>
      <c r="CF112" s="687">
        <f t="shared" si="98"/>
        <v>12817.944180000002</v>
      </c>
      <c r="CG112" s="687">
        <f t="shared" si="99"/>
        <v>30242.274431999998</v>
      </c>
      <c r="CH112" s="687">
        <f t="shared" si="100"/>
        <v>5.943568</v>
      </c>
      <c r="CK112" s="731" t="s">
        <v>397</v>
      </c>
      <c r="CL112" s="730">
        <v>1948625</v>
      </c>
      <c r="CM112" s="730">
        <f t="shared" si="101"/>
        <v>2030.4672500000001</v>
      </c>
      <c r="CP112" s="731" t="s">
        <v>567</v>
      </c>
      <c r="CQ112" s="730">
        <v>14724640</v>
      </c>
      <c r="CR112" s="730">
        <v>14054088</v>
      </c>
      <c r="CS112" s="730">
        <v>14054088</v>
      </c>
      <c r="CT112" s="730">
        <v>670552</v>
      </c>
      <c r="CU112" s="730">
        <f t="shared" si="131"/>
        <v>15343.07488</v>
      </c>
      <c r="CV112" s="730">
        <f t="shared" si="132"/>
        <v>14644.359696</v>
      </c>
      <c r="CW112" s="730">
        <f t="shared" si="133"/>
        <v>14644.359696</v>
      </c>
      <c r="CX112" s="730">
        <f t="shared" si="134"/>
        <v>698.71518400000002</v>
      </c>
      <c r="DB112" s="737"/>
      <c r="DE112" s="729" t="s">
        <v>469</v>
      </c>
      <c r="DF112" s="687">
        <v>29029000</v>
      </c>
      <c r="DG112" s="687">
        <v>17079006</v>
      </c>
      <c r="DH112" s="687">
        <v>29023296</v>
      </c>
      <c r="DI112" s="687">
        <v>5704</v>
      </c>
      <c r="DJ112" s="730">
        <f t="shared" si="103"/>
        <v>30248.218000000001</v>
      </c>
      <c r="DK112" s="730">
        <f t="shared" si="104"/>
        <v>17796.324252000002</v>
      </c>
      <c r="DL112" s="730">
        <f t="shared" si="105"/>
        <v>30242.274431999998</v>
      </c>
      <c r="DM112" s="730">
        <f t="shared" si="106"/>
        <v>5.943568</v>
      </c>
      <c r="DT112" s="729" t="s">
        <v>469</v>
      </c>
      <c r="DU112" s="687">
        <v>29029000</v>
      </c>
      <c r="DV112" s="687">
        <v>19467864</v>
      </c>
      <c r="DW112" s="687">
        <v>29023296</v>
      </c>
      <c r="DX112" s="687">
        <v>5704</v>
      </c>
      <c r="DY112" s="730">
        <f t="shared" si="108"/>
        <v>29029</v>
      </c>
      <c r="DZ112" s="730">
        <f t="shared" si="109"/>
        <v>19467.864000000001</v>
      </c>
      <c r="EA112" s="730">
        <f t="shared" si="110"/>
        <v>29023.295999999998</v>
      </c>
      <c r="EB112" s="730">
        <f t="shared" si="111"/>
        <v>5.7039999999999997</v>
      </c>
      <c r="EI112" s="731" t="s">
        <v>387</v>
      </c>
      <c r="EJ112" s="730">
        <v>896528375</v>
      </c>
      <c r="EK112" s="730">
        <v>855639364</v>
      </c>
      <c r="EL112" s="730">
        <v>698603723</v>
      </c>
      <c r="EM112" s="734">
        <f t="shared" si="113"/>
        <v>896528.375</v>
      </c>
      <c r="EN112" s="734">
        <f t="shared" si="114"/>
        <v>855639.36399999994</v>
      </c>
      <c r="EO112" s="734">
        <f t="shared" si="115"/>
        <v>698603.723</v>
      </c>
      <c r="EW112" s="729" t="s">
        <v>566</v>
      </c>
      <c r="EX112" s="687">
        <v>0</v>
      </c>
      <c r="EY112" s="687">
        <v>106846293</v>
      </c>
      <c r="EZ112" s="687">
        <v>95067869</v>
      </c>
      <c r="FA112" s="687">
        <v>106846293</v>
      </c>
      <c r="FB112" s="687">
        <v>0</v>
      </c>
      <c r="FC112" s="730">
        <f t="shared" si="135"/>
        <v>0</v>
      </c>
      <c r="FD112" s="730">
        <f t="shared" si="136"/>
        <v>106846.29300000001</v>
      </c>
      <c r="FE112" s="730">
        <f t="shared" si="137"/>
        <v>95067.869000000006</v>
      </c>
      <c r="FF112" s="730">
        <f t="shared" si="138"/>
        <v>106846.29300000001</v>
      </c>
      <c r="FG112" s="730">
        <f t="shared" si="139"/>
        <v>0</v>
      </c>
      <c r="FJ112" s="731" t="s">
        <v>860</v>
      </c>
      <c r="FK112" s="730">
        <v>150000000</v>
      </c>
      <c r="FL112" s="734">
        <f t="shared" si="122"/>
        <v>150000</v>
      </c>
      <c r="FN112" s="735" t="s">
        <v>387</v>
      </c>
      <c r="FO112" s="736">
        <v>778475163</v>
      </c>
      <c r="FP112" s="736">
        <v>778475163</v>
      </c>
      <c r="FQ112" s="736">
        <v>778475163</v>
      </c>
      <c r="FR112" s="736">
        <f t="shared" si="123"/>
        <v>778475.16299999994</v>
      </c>
      <c r="FS112" s="736">
        <f t="shared" si="124"/>
        <v>778475.16299999994</v>
      </c>
      <c r="FT112" s="736">
        <f t="shared" si="125"/>
        <v>778475.16299999994</v>
      </c>
    </row>
    <row r="113" spans="1:176" ht="15" customHeight="1" x14ac:dyDescent="0.25">
      <c r="A113" s="728" t="s">
        <v>880</v>
      </c>
      <c r="B113" s="729" t="s">
        <v>389</v>
      </c>
      <c r="C113" s="687">
        <v>0</v>
      </c>
      <c r="D113" s="687">
        <v>163658485</v>
      </c>
      <c r="E113" s="687">
        <v>0</v>
      </c>
      <c r="F113" s="687">
        <v>163658485</v>
      </c>
      <c r="G113" s="687">
        <v>0</v>
      </c>
      <c r="H113" s="738">
        <f t="shared" si="72"/>
        <v>170532.14137</v>
      </c>
      <c r="I113" s="730">
        <f t="shared" si="73"/>
        <v>0</v>
      </c>
      <c r="J113" s="730">
        <f t="shared" si="74"/>
        <v>170532.14137</v>
      </c>
      <c r="K113" s="730">
        <f t="shared" si="75"/>
        <v>0</v>
      </c>
      <c r="S113" s="729" t="s">
        <v>568</v>
      </c>
      <c r="T113" s="687">
        <v>742784055</v>
      </c>
      <c r="U113" s="687">
        <v>26386590</v>
      </c>
      <c r="V113" s="687">
        <v>164868081</v>
      </c>
      <c r="W113" s="687">
        <v>577915974</v>
      </c>
      <c r="X113" s="730">
        <f t="shared" si="77"/>
        <v>773980.98531000013</v>
      </c>
      <c r="Y113" s="730">
        <f t="shared" si="78"/>
        <v>27494.826779999999</v>
      </c>
      <c r="Z113" s="730">
        <f t="shared" si="79"/>
        <v>171792.54040200001</v>
      </c>
      <c r="AA113" s="730">
        <f t="shared" si="80"/>
        <v>602188.44490800006</v>
      </c>
      <c r="AG113" s="729" t="s">
        <v>478</v>
      </c>
      <c r="AH113" s="687">
        <v>9564</v>
      </c>
      <c r="AI113" s="687">
        <v>9564</v>
      </c>
      <c r="AJ113" s="687">
        <v>9564</v>
      </c>
      <c r="AK113" s="687">
        <v>0</v>
      </c>
      <c r="AL113" s="687">
        <f t="shared" si="82"/>
        <v>9.9656880000000001</v>
      </c>
      <c r="AM113" s="687">
        <f t="shared" si="83"/>
        <v>9.9656880000000001</v>
      </c>
      <c r="AN113" s="687">
        <f t="shared" si="84"/>
        <v>9.9656880000000001</v>
      </c>
      <c r="AO113" s="687">
        <f t="shared" si="85"/>
        <v>0</v>
      </c>
      <c r="AV113" s="729" t="s">
        <v>388</v>
      </c>
      <c r="AW113" s="687">
        <v>19000000</v>
      </c>
      <c r="AX113" s="687">
        <v>4526344</v>
      </c>
      <c r="AY113" s="687">
        <v>4526344</v>
      </c>
      <c r="AZ113" s="687">
        <v>14473656</v>
      </c>
      <c r="BA113" s="730">
        <f t="shared" si="87"/>
        <v>19798</v>
      </c>
      <c r="BB113" s="730">
        <f t="shared" si="88"/>
        <v>4716.4504480000005</v>
      </c>
      <c r="BC113" s="730">
        <f t="shared" si="89"/>
        <v>4716.4504480000005</v>
      </c>
      <c r="BD113" s="730">
        <f t="shared" si="90"/>
        <v>15081.549552000002</v>
      </c>
      <c r="BK113" s="754" t="s">
        <v>567</v>
      </c>
      <c r="BL113" s="687">
        <v>15439564</v>
      </c>
      <c r="BM113" s="687">
        <v>4535908</v>
      </c>
      <c r="BN113" s="687">
        <v>14024197</v>
      </c>
      <c r="BO113" s="687">
        <v>1415367</v>
      </c>
      <c r="BP113" s="687">
        <f t="shared" si="92"/>
        <v>16088.025688000002</v>
      </c>
      <c r="BQ113" s="687">
        <f t="shared" si="93"/>
        <v>4726.4161360000007</v>
      </c>
      <c r="BR113" s="687">
        <f t="shared" si="94"/>
        <v>14613.213274000002</v>
      </c>
      <c r="BS113" s="755">
        <f t="shared" si="95"/>
        <v>1474.812414</v>
      </c>
      <c r="BZ113" s="729" t="s">
        <v>567</v>
      </c>
      <c r="CA113" s="687">
        <v>15081564</v>
      </c>
      <c r="CB113" s="687">
        <v>4535908</v>
      </c>
      <c r="CC113" s="687">
        <v>14024197</v>
      </c>
      <c r="CD113" s="687">
        <v>1057367</v>
      </c>
      <c r="CE113" s="687">
        <f t="shared" si="97"/>
        <v>15714.989688000001</v>
      </c>
      <c r="CF113" s="687">
        <f t="shared" si="98"/>
        <v>4726.4161360000007</v>
      </c>
      <c r="CG113" s="687">
        <f t="shared" si="99"/>
        <v>14613.213274000002</v>
      </c>
      <c r="CH113" s="687">
        <f t="shared" si="100"/>
        <v>1101.7764139999999</v>
      </c>
      <c r="CK113" s="731" t="s">
        <v>578</v>
      </c>
      <c r="CL113" s="730">
        <v>1948625</v>
      </c>
      <c r="CM113" s="730">
        <f t="shared" si="101"/>
        <v>2030.4672500000001</v>
      </c>
      <c r="CP113" s="731" t="s">
        <v>388</v>
      </c>
      <c r="CQ113" s="730">
        <v>14685185</v>
      </c>
      <c r="CR113" s="730">
        <v>14014633</v>
      </c>
      <c r="CS113" s="730">
        <v>14014633</v>
      </c>
      <c r="CT113" s="730">
        <v>670552</v>
      </c>
      <c r="CU113" s="730">
        <f t="shared" si="131"/>
        <v>15301.96277</v>
      </c>
      <c r="CV113" s="730">
        <f t="shared" si="132"/>
        <v>14603.247586</v>
      </c>
      <c r="CW113" s="730">
        <f t="shared" si="133"/>
        <v>14603.247586</v>
      </c>
      <c r="CX113" s="730">
        <f t="shared" si="134"/>
        <v>698.71518400000002</v>
      </c>
      <c r="DE113" s="729" t="s">
        <v>567</v>
      </c>
      <c r="DF113" s="687">
        <v>14652950</v>
      </c>
      <c r="DG113" s="687">
        <v>14054088</v>
      </c>
      <c r="DH113" s="687">
        <v>14054088</v>
      </c>
      <c r="DI113" s="687">
        <v>598862</v>
      </c>
      <c r="DJ113" s="730">
        <f t="shared" si="103"/>
        <v>15268.373900000001</v>
      </c>
      <c r="DK113" s="730">
        <f t="shared" si="104"/>
        <v>14644.359696</v>
      </c>
      <c r="DL113" s="730">
        <f t="shared" si="105"/>
        <v>14644.359696</v>
      </c>
      <c r="DM113" s="730">
        <f t="shared" si="106"/>
        <v>624.01420399999995</v>
      </c>
      <c r="DT113" s="729" t="s">
        <v>567</v>
      </c>
      <c r="DU113" s="687">
        <v>14652950</v>
      </c>
      <c r="DV113" s="687">
        <v>14054088</v>
      </c>
      <c r="DW113" s="687">
        <v>14054088</v>
      </c>
      <c r="DX113" s="687">
        <v>598862</v>
      </c>
      <c r="DY113" s="730">
        <f t="shared" si="108"/>
        <v>14652.95</v>
      </c>
      <c r="DZ113" s="730">
        <f t="shared" si="109"/>
        <v>14054.088</v>
      </c>
      <c r="EA113" s="730">
        <f t="shared" si="110"/>
        <v>14054.088</v>
      </c>
      <c r="EB113" s="730">
        <f t="shared" si="111"/>
        <v>598.86199999999997</v>
      </c>
      <c r="EI113" s="731" t="s">
        <v>565</v>
      </c>
      <c r="EJ113" s="730">
        <v>27000000</v>
      </c>
      <c r="EK113" s="730">
        <v>27000000</v>
      </c>
      <c r="EL113" s="730">
        <v>19986440</v>
      </c>
      <c r="EM113" s="734">
        <f t="shared" si="113"/>
        <v>27000</v>
      </c>
      <c r="EN113" s="734">
        <f t="shared" si="114"/>
        <v>27000</v>
      </c>
      <c r="EO113" s="734">
        <f t="shared" si="115"/>
        <v>19986.439999999999</v>
      </c>
      <c r="EW113" s="729" t="s">
        <v>469</v>
      </c>
      <c r="EX113" s="687">
        <v>0</v>
      </c>
      <c r="EY113" s="687">
        <v>278925296</v>
      </c>
      <c r="EZ113" s="687">
        <v>26634438</v>
      </c>
      <c r="FA113" s="687">
        <v>29023296</v>
      </c>
      <c r="FB113" s="687">
        <v>249902000</v>
      </c>
      <c r="FC113" s="730">
        <f t="shared" si="135"/>
        <v>0</v>
      </c>
      <c r="FD113" s="730">
        <f t="shared" si="136"/>
        <v>278925.29599999997</v>
      </c>
      <c r="FE113" s="730">
        <f t="shared" si="137"/>
        <v>26634.437999999998</v>
      </c>
      <c r="FF113" s="730">
        <f t="shared" si="138"/>
        <v>29023.295999999998</v>
      </c>
      <c r="FG113" s="730">
        <f t="shared" si="139"/>
        <v>249902</v>
      </c>
      <c r="FJ113" s="731" t="s">
        <v>903</v>
      </c>
      <c r="FK113" s="730">
        <v>55000000</v>
      </c>
      <c r="FL113" s="734">
        <f t="shared" si="122"/>
        <v>55000</v>
      </c>
      <c r="FN113" s="735" t="s">
        <v>565</v>
      </c>
      <c r="FO113" s="736">
        <v>26232209</v>
      </c>
      <c r="FP113" s="736">
        <v>26232209</v>
      </c>
      <c r="FQ113" s="736">
        <v>26232209</v>
      </c>
      <c r="FR113" s="736">
        <f t="shared" si="123"/>
        <v>26232.208999999999</v>
      </c>
      <c r="FS113" s="736">
        <f t="shared" si="124"/>
        <v>26232.208999999999</v>
      </c>
      <c r="FT113" s="736">
        <f t="shared" si="125"/>
        <v>26232.208999999999</v>
      </c>
    </row>
    <row r="114" spans="1:176" ht="15" customHeight="1" x14ac:dyDescent="0.25">
      <c r="A114" s="728" t="s">
        <v>880</v>
      </c>
      <c r="B114" s="729" t="s">
        <v>390</v>
      </c>
      <c r="C114" s="687">
        <v>0</v>
      </c>
      <c r="D114" s="687">
        <v>49056000</v>
      </c>
      <c r="E114" s="687">
        <v>0</v>
      </c>
      <c r="F114" s="687">
        <v>49056000</v>
      </c>
      <c r="G114" s="687">
        <v>0</v>
      </c>
      <c r="H114" s="738">
        <f t="shared" si="72"/>
        <v>51116.351999999999</v>
      </c>
      <c r="I114" s="730">
        <f t="shared" si="73"/>
        <v>0</v>
      </c>
      <c r="J114" s="730">
        <f t="shared" si="74"/>
        <v>51116.351999999999</v>
      </c>
      <c r="K114" s="730">
        <f t="shared" si="75"/>
        <v>0</v>
      </c>
      <c r="S114" s="729" t="s">
        <v>389</v>
      </c>
      <c r="T114" s="687">
        <v>163658485</v>
      </c>
      <c r="U114" s="687">
        <v>0</v>
      </c>
      <c r="V114" s="687">
        <v>79730001</v>
      </c>
      <c r="W114" s="687">
        <v>83928484</v>
      </c>
      <c r="X114" s="730">
        <f t="shared" si="77"/>
        <v>170532.14137</v>
      </c>
      <c r="Y114" s="730">
        <f t="shared" si="78"/>
        <v>0</v>
      </c>
      <c r="Z114" s="730">
        <f t="shared" si="79"/>
        <v>83078.661042000007</v>
      </c>
      <c r="AA114" s="730">
        <f t="shared" si="80"/>
        <v>87453.480328000005</v>
      </c>
      <c r="AG114" s="729" t="s">
        <v>568</v>
      </c>
      <c r="AH114" s="687">
        <v>684105165</v>
      </c>
      <c r="AI114" s="687">
        <v>233440602</v>
      </c>
      <c r="AJ114" s="687">
        <v>451826724</v>
      </c>
      <c r="AK114" s="687">
        <v>232278441</v>
      </c>
      <c r="AL114" s="687">
        <f t="shared" si="82"/>
        <v>712837.5819300001</v>
      </c>
      <c r="AM114" s="687">
        <f t="shared" si="83"/>
        <v>243245.10728400003</v>
      </c>
      <c r="AN114" s="687">
        <f t="shared" si="84"/>
        <v>470803.44640800002</v>
      </c>
      <c r="AO114" s="687">
        <f t="shared" si="85"/>
        <v>242034.135522</v>
      </c>
      <c r="AV114" s="729" t="s">
        <v>478</v>
      </c>
      <c r="AW114" s="687">
        <v>9564</v>
      </c>
      <c r="AX114" s="687">
        <v>9564</v>
      </c>
      <c r="AY114" s="687">
        <v>9564</v>
      </c>
      <c r="AZ114" s="687">
        <v>0</v>
      </c>
      <c r="BA114" s="730">
        <f t="shared" si="87"/>
        <v>9.9656880000000001</v>
      </c>
      <c r="BB114" s="730">
        <f t="shared" si="88"/>
        <v>9.9656880000000001</v>
      </c>
      <c r="BC114" s="730">
        <f t="shared" si="89"/>
        <v>9.9656880000000001</v>
      </c>
      <c r="BD114" s="730">
        <f t="shared" si="90"/>
        <v>0</v>
      </c>
      <c r="BK114" s="754" t="s">
        <v>388</v>
      </c>
      <c r="BL114" s="687">
        <v>15430000</v>
      </c>
      <c r="BM114" s="687">
        <v>4526344</v>
      </c>
      <c r="BN114" s="687">
        <v>14014633</v>
      </c>
      <c r="BO114" s="687">
        <v>1415367</v>
      </c>
      <c r="BP114" s="687">
        <f t="shared" si="92"/>
        <v>16078.060000000001</v>
      </c>
      <c r="BQ114" s="687">
        <f t="shared" si="93"/>
        <v>4716.4504480000005</v>
      </c>
      <c r="BR114" s="687">
        <f t="shared" si="94"/>
        <v>14603.247586</v>
      </c>
      <c r="BS114" s="755">
        <f t="shared" si="95"/>
        <v>1474.812414</v>
      </c>
      <c r="BZ114" s="729" t="s">
        <v>388</v>
      </c>
      <c r="CA114" s="687">
        <v>15072000</v>
      </c>
      <c r="CB114" s="687">
        <v>4526344</v>
      </c>
      <c r="CC114" s="687">
        <v>14014633</v>
      </c>
      <c r="CD114" s="687">
        <v>1057367</v>
      </c>
      <c r="CE114" s="687">
        <f t="shared" si="97"/>
        <v>15705.024000000001</v>
      </c>
      <c r="CF114" s="687">
        <f t="shared" si="98"/>
        <v>4716.4504480000005</v>
      </c>
      <c r="CG114" s="687">
        <f t="shared" si="99"/>
        <v>14603.247586</v>
      </c>
      <c r="CH114" s="687">
        <f t="shared" si="100"/>
        <v>1101.7764139999999</v>
      </c>
      <c r="CK114" s="731" t="s">
        <v>398</v>
      </c>
      <c r="CL114" s="730">
        <v>2640000</v>
      </c>
      <c r="CM114" s="730">
        <f t="shared" si="101"/>
        <v>2750.88</v>
      </c>
      <c r="CP114" s="731" t="s">
        <v>478</v>
      </c>
      <c r="CQ114" s="730">
        <v>39455</v>
      </c>
      <c r="CR114" s="730">
        <v>39455</v>
      </c>
      <c r="CS114" s="730">
        <v>39455</v>
      </c>
      <c r="CT114" s="730">
        <v>0</v>
      </c>
      <c r="CU114" s="730">
        <f t="shared" si="131"/>
        <v>41.112110000000001</v>
      </c>
      <c r="CV114" s="730">
        <f t="shared" si="132"/>
        <v>41.112110000000001</v>
      </c>
      <c r="CW114" s="730">
        <f t="shared" si="133"/>
        <v>41.112110000000001</v>
      </c>
      <c r="CX114" s="730">
        <f t="shared" si="134"/>
        <v>0</v>
      </c>
      <c r="DE114" s="729" t="s">
        <v>388</v>
      </c>
      <c r="DF114" s="687">
        <v>14613495</v>
      </c>
      <c r="DG114" s="687">
        <v>14014633</v>
      </c>
      <c r="DH114" s="687">
        <v>14014633</v>
      </c>
      <c r="DI114" s="687">
        <v>598862</v>
      </c>
      <c r="DJ114" s="730">
        <f t="shared" si="103"/>
        <v>15227.26179</v>
      </c>
      <c r="DK114" s="730">
        <f t="shared" si="104"/>
        <v>14603.247586</v>
      </c>
      <c r="DL114" s="730">
        <f t="shared" si="105"/>
        <v>14603.247586</v>
      </c>
      <c r="DM114" s="730">
        <f t="shared" si="106"/>
        <v>624.01420399999995</v>
      </c>
      <c r="DT114" s="729" t="s">
        <v>388</v>
      </c>
      <c r="DU114" s="687">
        <v>14613495</v>
      </c>
      <c r="DV114" s="687">
        <v>14014633</v>
      </c>
      <c r="DW114" s="687">
        <v>14014633</v>
      </c>
      <c r="DX114" s="687">
        <v>598862</v>
      </c>
      <c r="DY114" s="730">
        <f t="shared" si="108"/>
        <v>14613.495000000001</v>
      </c>
      <c r="DZ114" s="730">
        <f t="shared" si="109"/>
        <v>14014.633</v>
      </c>
      <c r="EA114" s="730">
        <f t="shared" si="110"/>
        <v>14014.633</v>
      </c>
      <c r="EB114" s="730">
        <f t="shared" si="111"/>
        <v>598.86199999999997</v>
      </c>
      <c r="EI114" s="731" t="s">
        <v>566</v>
      </c>
      <c r="EJ114" s="730">
        <v>117138000</v>
      </c>
      <c r="EK114" s="730">
        <v>117138000</v>
      </c>
      <c r="EL114" s="730">
        <v>85537654</v>
      </c>
      <c r="EM114" s="734">
        <f t="shared" si="113"/>
        <v>117138</v>
      </c>
      <c r="EN114" s="734">
        <f t="shared" si="114"/>
        <v>117138</v>
      </c>
      <c r="EO114" s="734">
        <f t="shared" si="115"/>
        <v>85537.653999999995</v>
      </c>
      <c r="EW114" s="729" t="s">
        <v>567</v>
      </c>
      <c r="EX114" s="687">
        <v>0</v>
      </c>
      <c r="EY114" s="687">
        <v>14062229</v>
      </c>
      <c r="EZ114" s="687">
        <v>14062229</v>
      </c>
      <c r="FA114" s="687">
        <v>14062229</v>
      </c>
      <c r="FB114" s="687">
        <v>0</v>
      </c>
      <c r="FC114" s="730">
        <f t="shared" si="135"/>
        <v>0</v>
      </c>
      <c r="FD114" s="730">
        <f t="shared" si="136"/>
        <v>14062.228999999999</v>
      </c>
      <c r="FE114" s="730">
        <f t="shared" si="137"/>
        <v>14062.228999999999</v>
      </c>
      <c r="FF114" s="730">
        <f t="shared" si="138"/>
        <v>14062.228999999999</v>
      </c>
      <c r="FG114" s="730">
        <f t="shared" si="139"/>
        <v>0</v>
      </c>
      <c r="FJ114" s="731" t="s">
        <v>499</v>
      </c>
      <c r="FK114" s="730">
        <v>13292168</v>
      </c>
      <c r="FL114" s="734">
        <f t="shared" si="122"/>
        <v>13292.168</v>
      </c>
      <c r="FN114" s="735" t="s">
        <v>566</v>
      </c>
      <c r="FO114" s="736">
        <v>115442667</v>
      </c>
      <c r="FP114" s="736">
        <v>115442667</v>
      </c>
      <c r="FQ114" s="736">
        <v>115442667</v>
      </c>
      <c r="FR114" s="736">
        <f t="shared" si="123"/>
        <v>115442.667</v>
      </c>
      <c r="FS114" s="736">
        <f t="shared" si="124"/>
        <v>115442.667</v>
      </c>
      <c r="FT114" s="736">
        <f t="shared" si="125"/>
        <v>115442.667</v>
      </c>
    </row>
    <row r="115" spans="1:176" ht="15" customHeight="1" x14ac:dyDescent="0.25">
      <c r="A115" s="728" t="s">
        <v>880</v>
      </c>
      <c r="B115" s="729" t="s">
        <v>391</v>
      </c>
      <c r="C115" s="687">
        <v>0</v>
      </c>
      <c r="D115" s="687">
        <f>346865340+800000</f>
        <v>347665340</v>
      </c>
      <c r="E115" s="687">
        <v>27198080</v>
      </c>
      <c r="F115" s="687">
        <v>319667260</v>
      </c>
      <c r="G115" s="687">
        <v>0</v>
      </c>
      <c r="H115" s="738">
        <f>+D115/$I$1*$J$1</f>
        <v>362267.28428000002</v>
      </c>
      <c r="I115" s="730">
        <f t="shared" si="73"/>
        <v>28340.399360000003</v>
      </c>
      <c r="J115" s="730">
        <f t="shared" si="74"/>
        <v>333093.28492000001</v>
      </c>
      <c r="K115" s="730">
        <f t="shared" si="75"/>
        <v>0</v>
      </c>
      <c r="S115" s="729" t="s">
        <v>390</v>
      </c>
      <c r="T115" s="687">
        <v>49056000</v>
      </c>
      <c r="U115" s="687">
        <v>0</v>
      </c>
      <c r="V115" s="687">
        <v>0</v>
      </c>
      <c r="W115" s="687">
        <v>49056000</v>
      </c>
      <c r="X115" s="730">
        <f t="shared" si="77"/>
        <v>51116.351999999999</v>
      </c>
      <c r="Y115" s="730">
        <f t="shared" si="78"/>
        <v>0</v>
      </c>
      <c r="Z115" s="730">
        <f t="shared" si="79"/>
        <v>0</v>
      </c>
      <c r="AA115" s="730">
        <f t="shared" si="80"/>
        <v>51116.351999999999</v>
      </c>
      <c r="AG115" s="729" t="s">
        <v>389</v>
      </c>
      <c r="AH115" s="687">
        <v>328628149</v>
      </c>
      <c r="AI115" s="687">
        <v>200987666</v>
      </c>
      <c r="AJ115" s="687">
        <v>247988644</v>
      </c>
      <c r="AK115" s="687">
        <v>80639505</v>
      </c>
      <c r="AL115" s="687">
        <f t="shared" si="82"/>
        <v>342430.531258</v>
      </c>
      <c r="AM115" s="687">
        <f t="shared" si="83"/>
        <v>209429.14797200001</v>
      </c>
      <c r="AN115" s="687">
        <f t="shared" si="84"/>
        <v>258404.167048</v>
      </c>
      <c r="AO115" s="687">
        <f t="shared" si="85"/>
        <v>84026.364210000014</v>
      </c>
      <c r="AV115" s="729" t="s">
        <v>568</v>
      </c>
      <c r="AW115" s="687">
        <v>644105165</v>
      </c>
      <c r="AX115" s="687">
        <v>384110172</v>
      </c>
      <c r="AY115" s="687">
        <v>468637949</v>
      </c>
      <c r="AZ115" s="687">
        <v>175467216</v>
      </c>
      <c r="BA115" s="730">
        <f t="shared" si="87"/>
        <v>671157.5819300001</v>
      </c>
      <c r="BB115" s="730">
        <f t="shared" si="88"/>
        <v>400242.79922400002</v>
      </c>
      <c r="BC115" s="730">
        <f t="shared" si="89"/>
        <v>488320.74285800004</v>
      </c>
      <c r="BD115" s="730">
        <f t="shared" si="90"/>
        <v>182836.839072</v>
      </c>
      <c r="BK115" s="754" t="s">
        <v>478</v>
      </c>
      <c r="BL115" s="687">
        <v>9564</v>
      </c>
      <c r="BM115" s="687">
        <v>9564</v>
      </c>
      <c r="BN115" s="687">
        <v>9564</v>
      </c>
      <c r="BO115" s="687">
        <v>0</v>
      </c>
      <c r="BP115" s="687">
        <f t="shared" si="92"/>
        <v>9.9656880000000001</v>
      </c>
      <c r="BQ115" s="687">
        <f t="shared" si="93"/>
        <v>9.9656880000000001</v>
      </c>
      <c r="BR115" s="687">
        <f t="shared" si="94"/>
        <v>9.9656880000000001</v>
      </c>
      <c r="BS115" s="755">
        <f t="shared" si="95"/>
        <v>0</v>
      </c>
      <c r="BZ115" s="729" t="s">
        <v>478</v>
      </c>
      <c r="CA115" s="687">
        <v>9564</v>
      </c>
      <c r="CB115" s="687">
        <v>9564</v>
      </c>
      <c r="CC115" s="687">
        <v>9564</v>
      </c>
      <c r="CD115" s="687">
        <v>0</v>
      </c>
      <c r="CE115" s="687">
        <f t="shared" si="97"/>
        <v>9.9656880000000001</v>
      </c>
      <c r="CF115" s="687">
        <f t="shared" si="98"/>
        <v>9.9656880000000001</v>
      </c>
      <c r="CG115" s="687">
        <f t="shared" si="99"/>
        <v>9.9656880000000001</v>
      </c>
      <c r="CH115" s="687">
        <f t="shared" si="100"/>
        <v>0</v>
      </c>
      <c r="CK115" s="731" t="s">
        <v>579</v>
      </c>
      <c r="CL115" s="730">
        <v>2640000</v>
      </c>
      <c r="CM115" s="730">
        <f t="shared" si="101"/>
        <v>2750.88</v>
      </c>
      <c r="CP115" s="731" t="s">
        <v>568</v>
      </c>
      <c r="CQ115" s="730">
        <v>2261553993</v>
      </c>
      <c r="CR115" s="730">
        <v>814926659</v>
      </c>
      <c r="CS115" s="730">
        <v>1138465287</v>
      </c>
      <c r="CT115" s="730">
        <v>1123088706</v>
      </c>
      <c r="CU115" s="730">
        <f t="shared" si="131"/>
        <v>2356539.260706</v>
      </c>
      <c r="CV115" s="730">
        <f t="shared" si="132"/>
        <v>849153.57867800002</v>
      </c>
      <c r="CW115" s="730">
        <f t="shared" si="133"/>
        <v>1186280.8290540001</v>
      </c>
      <c r="CX115" s="730">
        <f t="shared" si="134"/>
        <v>1170258.4316519999</v>
      </c>
      <c r="DE115" s="729" t="s">
        <v>478</v>
      </c>
      <c r="DF115" s="687">
        <v>39455</v>
      </c>
      <c r="DG115" s="687">
        <v>39455</v>
      </c>
      <c r="DH115" s="687">
        <v>39455</v>
      </c>
      <c r="DI115" s="687">
        <v>0</v>
      </c>
      <c r="DJ115" s="730">
        <f t="shared" si="103"/>
        <v>41.112110000000001</v>
      </c>
      <c r="DK115" s="730">
        <f t="shared" si="104"/>
        <v>41.112110000000001</v>
      </c>
      <c r="DL115" s="730">
        <f t="shared" si="105"/>
        <v>41.112110000000001</v>
      </c>
      <c r="DM115" s="730">
        <f t="shared" si="106"/>
        <v>0</v>
      </c>
      <c r="DT115" s="729" t="s">
        <v>478</v>
      </c>
      <c r="DU115" s="687">
        <v>39455</v>
      </c>
      <c r="DV115" s="687">
        <v>39455</v>
      </c>
      <c r="DW115" s="687">
        <v>39455</v>
      </c>
      <c r="DX115" s="687">
        <v>0</v>
      </c>
      <c r="DY115" s="730">
        <f t="shared" si="108"/>
        <v>39.454999999999998</v>
      </c>
      <c r="DZ115" s="730">
        <f t="shared" si="109"/>
        <v>39.454999999999998</v>
      </c>
      <c r="EA115" s="730">
        <f t="shared" si="110"/>
        <v>39.454999999999998</v>
      </c>
      <c r="EB115" s="730">
        <f t="shared" si="111"/>
        <v>0</v>
      </c>
      <c r="EI115" s="731" t="s">
        <v>469</v>
      </c>
      <c r="EJ115" s="730">
        <v>29029000</v>
      </c>
      <c r="EK115" s="730">
        <v>29023296</v>
      </c>
      <c r="EL115" s="730">
        <v>21856722</v>
      </c>
      <c r="EM115" s="734">
        <f t="shared" si="113"/>
        <v>29029</v>
      </c>
      <c r="EN115" s="734">
        <f t="shared" si="114"/>
        <v>29023.295999999998</v>
      </c>
      <c r="EO115" s="734">
        <f t="shared" si="115"/>
        <v>21856.722000000002</v>
      </c>
      <c r="EW115" s="729" t="s">
        <v>388</v>
      </c>
      <c r="EX115" s="687">
        <v>0</v>
      </c>
      <c r="EY115" s="687">
        <v>14014633</v>
      </c>
      <c r="EZ115" s="687">
        <v>14014633</v>
      </c>
      <c r="FA115" s="687">
        <v>14014633</v>
      </c>
      <c r="FB115" s="687">
        <v>0</v>
      </c>
      <c r="FC115" s="730">
        <f t="shared" si="135"/>
        <v>0</v>
      </c>
      <c r="FD115" s="730">
        <f t="shared" si="136"/>
        <v>14014.633</v>
      </c>
      <c r="FE115" s="730">
        <f t="shared" si="137"/>
        <v>14014.633</v>
      </c>
      <c r="FF115" s="730">
        <f t="shared" si="138"/>
        <v>14014.633</v>
      </c>
      <c r="FG115" s="730">
        <f t="shared" si="139"/>
        <v>0</v>
      </c>
      <c r="FJ115" s="731" t="s">
        <v>470</v>
      </c>
      <c r="FK115" s="730">
        <v>510600000</v>
      </c>
      <c r="FL115" s="734">
        <f t="shared" si="122"/>
        <v>510600</v>
      </c>
      <c r="FN115" s="735" t="s">
        <v>469</v>
      </c>
      <c r="FO115" s="736">
        <v>29023296</v>
      </c>
      <c r="FP115" s="736">
        <v>29023296</v>
      </c>
      <c r="FQ115" s="736">
        <v>29023296</v>
      </c>
      <c r="FR115" s="736">
        <f t="shared" si="123"/>
        <v>29023.295999999998</v>
      </c>
      <c r="FS115" s="736">
        <f t="shared" si="124"/>
        <v>29023.295999999998</v>
      </c>
      <c r="FT115" s="736">
        <f t="shared" si="125"/>
        <v>29023.295999999998</v>
      </c>
    </row>
    <row r="116" spans="1:176" ht="15" customHeight="1" x14ac:dyDescent="0.25">
      <c r="A116" s="728" t="s">
        <v>880</v>
      </c>
      <c r="B116" s="729" t="s">
        <v>392</v>
      </c>
      <c r="C116" s="687">
        <v>0</v>
      </c>
      <c r="D116" s="687">
        <v>70465090</v>
      </c>
      <c r="E116" s="687">
        <v>37912000</v>
      </c>
      <c r="F116" s="687">
        <v>32553090</v>
      </c>
      <c r="G116" s="687">
        <v>952000</v>
      </c>
      <c r="H116" s="738">
        <f t="shared" si="72"/>
        <v>73424.623779999994</v>
      </c>
      <c r="I116" s="730">
        <f t="shared" si="73"/>
        <v>39504.304000000004</v>
      </c>
      <c r="J116" s="730">
        <f t="shared" si="74"/>
        <v>33920.319779999998</v>
      </c>
      <c r="K116" s="730">
        <f t="shared" si="75"/>
        <v>991.98400000000004</v>
      </c>
      <c r="S116" s="729" t="s">
        <v>391</v>
      </c>
      <c r="T116" s="687">
        <v>433645570</v>
      </c>
      <c r="U116" s="687">
        <v>2515680</v>
      </c>
      <c r="V116" s="687">
        <v>35714080</v>
      </c>
      <c r="W116" s="687">
        <v>397931490</v>
      </c>
      <c r="X116" s="730">
        <f t="shared" si="77"/>
        <v>451858.68394000002</v>
      </c>
      <c r="Y116" s="730">
        <f t="shared" si="78"/>
        <v>2621.3385600000001</v>
      </c>
      <c r="Z116" s="730">
        <f t="shared" si="79"/>
        <v>37214.071360000002</v>
      </c>
      <c r="AA116" s="730">
        <f t="shared" si="80"/>
        <v>414644.61258000002</v>
      </c>
      <c r="AG116" s="729" t="s">
        <v>390</v>
      </c>
      <c r="AH116" s="687">
        <v>49056000</v>
      </c>
      <c r="AI116" s="687">
        <v>0</v>
      </c>
      <c r="AJ116" s="687">
        <v>0</v>
      </c>
      <c r="AK116" s="687">
        <v>49056000</v>
      </c>
      <c r="AL116" s="687">
        <f t="shared" si="82"/>
        <v>51116.351999999999</v>
      </c>
      <c r="AM116" s="687">
        <f t="shared" si="83"/>
        <v>0</v>
      </c>
      <c r="AN116" s="687">
        <f t="shared" si="84"/>
        <v>0</v>
      </c>
      <c r="AO116" s="687">
        <f t="shared" si="85"/>
        <v>51116.351999999999</v>
      </c>
      <c r="AV116" s="729" t="s">
        <v>389</v>
      </c>
      <c r="AW116" s="687">
        <v>307628149</v>
      </c>
      <c r="AX116" s="687">
        <v>200987666</v>
      </c>
      <c r="AY116" s="687">
        <v>247988645</v>
      </c>
      <c r="AZ116" s="687">
        <v>59639504</v>
      </c>
      <c r="BA116" s="730">
        <f t="shared" si="87"/>
        <v>320548.531258</v>
      </c>
      <c r="BB116" s="730">
        <f t="shared" si="88"/>
        <v>209429.14797200001</v>
      </c>
      <c r="BC116" s="730">
        <f t="shared" si="89"/>
        <v>258404.16808999999</v>
      </c>
      <c r="BD116" s="730">
        <f t="shared" si="90"/>
        <v>62144.363168000003</v>
      </c>
      <c r="BK116" s="754" t="s">
        <v>568</v>
      </c>
      <c r="BL116" s="687">
        <v>2383830886</v>
      </c>
      <c r="BM116" s="687">
        <v>495947273</v>
      </c>
      <c r="BN116" s="687">
        <v>877805779</v>
      </c>
      <c r="BO116" s="687">
        <v>1506025107</v>
      </c>
      <c r="BP116" s="687">
        <f t="shared" si="92"/>
        <v>2483951.783212</v>
      </c>
      <c r="BQ116" s="687">
        <f t="shared" si="93"/>
        <v>516777.05846600002</v>
      </c>
      <c r="BR116" s="687">
        <f t="shared" si="94"/>
        <v>914673.62171800004</v>
      </c>
      <c r="BS116" s="755">
        <f t="shared" si="95"/>
        <v>1569278.1614940001</v>
      </c>
      <c r="BZ116" s="729" t="s">
        <v>568</v>
      </c>
      <c r="CA116" s="687">
        <v>2335232596</v>
      </c>
      <c r="CB116" s="687">
        <v>655779478</v>
      </c>
      <c r="CC116" s="687">
        <v>1119408287</v>
      </c>
      <c r="CD116" s="687">
        <v>1215824309</v>
      </c>
      <c r="CE116" s="687">
        <f t="shared" si="97"/>
        <v>2433312.365032</v>
      </c>
      <c r="CF116" s="687">
        <f t="shared" si="98"/>
        <v>683322.21607600001</v>
      </c>
      <c r="CG116" s="687">
        <f t="shared" si="99"/>
        <v>1166423.435054</v>
      </c>
      <c r="CH116" s="687">
        <f t="shared" si="100"/>
        <v>1266888.929978</v>
      </c>
      <c r="CK116" s="731" t="s">
        <v>399</v>
      </c>
      <c r="CL116" s="730">
        <v>757827316</v>
      </c>
      <c r="CM116" s="730">
        <f t="shared" si="101"/>
        <v>789656.06327200006</v>
      </c>
      <c r="CP116" s="731" t="s">
        <v>389</v>
      </c>
      <c r="CQ116" s="730">
        <v>1431477863</v>
      </c>
      <c r="CR116" s="730">
        <v>464856892</v>
      </c>
      <c r="CS116" s="730">
        <v>541196127</v>
      </c>
      <c r="CT116" s="730">
        <v>890281736</v>
      </c>
      <c r="CU116" s="730">
        <f t="shared" si="131"/>
        <v>1491599.933246</v>
      </c>
      <c r="CV116" s="730">
        <f t="shared" si="132"/>
        <v>484380.88146400003</v>
      </c>
      <c r="CW116" s="730">
        <f t="shared" si="133"/>
        <v>563926.36433400004</v>
      </c>
      <c r="CX116" s="730">
        <f t="shared" si="134"/>
        <v>927673.56891200005</v>
      </c>
      <c r="DE116" s="729" t="s">
        <v>568</v>
      </c>
      <c r="DF116" s="687">
        <v>2123611696</v>
      </c>
      <c r="DG116" s="687">
        <v>1014981312</v>
      </c>
      <c r="DH116" s="687">
        <v>1308569786</v>
      </c>
      <c r="DI116" s="687">
        <v>815041910</v>
      </c>
      <c r="DJ116" s="730">
        <f t="shared" si="103"/>
        <v>2212803.387232</v>
      </c>
      <c r="DK116" s="730">
        <f t="shared" si="104"/>
        <v>1057610.5271040001</v>
      </c>
      <c r="DL116" s="730">
        <f t="shared" si="105"/>
        <v>1363529.717012</v>
      </c>
      <c r="DM116" s="730">
        <f t="shared" si="106"/>
        <v>849273.67022000009</v>
      </c>
      <c r="DT116" s="729" t="s">
        <v>568</v>
      </c>
      <c r="DU116" s="687">
        <v>1890382348</v>
      </c>
      <c r="DV116" s="687">
        <v>1042362312</v>
      </c>
      <c r="DW116" s="687">
        <v>1507774562</v>
      </c>
      <c r="DX116" s="687">
        <v>382607786</v>
      </c>
      <c r="DY116" s="730">
        <f t="shared" si="108"/>
        <v>1890382.348</v>
      </c>
      <c r="DZ116" s="730">
        <f t="shared" si="109"/>
        <v>1042362.312</v>
      </c>
      <c r="EA116" s="730">
        <f t="shared" si="110"/>
        <v>1507774.5619999999</v>
      </c>
      <c r="EB116" s="730">
        <f t="shared" si="111"/>
        <v>382607.78600000002</v>
      </c>
      <c r="EI116" s="731" t="s">
        <v>567</v>
      </c>
      <c r="EJ116" s="730">
        <v>14652950</v>
      </c>
      <c r="EK116" s="730">
        <v>14054088</v>
      </c>
      <c r="EL116" s="730">
        <v>14054088</v>
      </c>
      <c r="EM116" s="734">
        <f t="shared" si="113"/>
        <v>14652.95</v>
      </c>
      <c r="EN116" s="734">
        <f t="shared" si="114"/>
        <v>14054.088</v>
      </c>
      <c r="EO116" s="734">
        <f t="shared" si="115"/>
        <v>14054.088</v>
      </c>
      <c r="EW116" s="729" t="s">
        <v>478</v>
      </c>
      <c r="EX116" s="687">
        <v>0</v>
      </c>
      <c r="EY116" s="687">
        <v>47596</v>
      </c>
      <c r="EZ116" s="687">
        <v>47596</v>
      </c>
      <c r="FA116" s="687">
        <v>47596</v>
      </c>
      <c r="FB116" s="687">
        <v>0</v>
      </c>
      <c r="FC116" s="730">
        <f t="shared" si="135"/>
        <v>0</v>
      </c>
      <c r="FD116" s="730">
        <f t="shared" si="136"/>
        <v>47.595999999999997</v>
      </c>
      <c r="FE116" s="730">
        <f t="shared" si="137"/>
        <v>47.595999999999997</v>
      </c>
      <c r="FF116" s="730">
        <f t="shared" si="138"/>
        <v>47.595999999999997</v>
      </c>
      <c r="FG116" s="730">
        <f t="shared" si="139"/>
        <v>0</v>
      </c>
      <c r="FJ116" s="731" t="s">
        <v>905</v>
      </c>
      <c r="FK116" s="730">
        <v>300000000</v>
      </c>
      <c r="FL116" s="734">
        <f t="shared" si="122"/>
        <v>300000</v>
      </c>
      <c r="FN116" s="735" t="s">
        <v>567</v>
      </c>
      <c r="FO116" s="736">
        <v>14062229</v>
      </c>
      <c r="FP116" s="736">
        <v>14062229</v>
      </c>
      <c r="FQ116" s="736">
        <v>14062229</v>
      </c>
      <c r="FR116" s="736">
        <f t="shared" si="123"/>
        <v>14062.228999999999</v>
      </c>
      <c r="FS116" s="736">
        <f t="shared" si="124"/>
        <v>14062.228999999999</v>
      </c>
      <c r="FT116" s="736">
        <f t="shared" si="125"/>
        <v>14062.228999999999</v>
      </c>
    </row>
    <row r="117" spans="1:176" ht="15" customHeight="1" x14ac:dyDescent="0.25">
      <c r="A117" s="728" t="s">
        <v>879</v>
      </c>
      <c r="B117" s="729" t="s">
        <v>569</v>
      </c>
      <c r="C117" s="687">
        <v>0</v>
      </c>
      <c r="D117" s="687">
        <v>8246488</v>
      </c>
      <c r="E117" s="687">
        <v>198450</v>
      </c>
      <c r="F117" s="687">
        <v>8048038</v>
      </c>
      <c r="G117" s="687">
        <v>198450</v>
      </c>
      <c r="H117" s="730">
        <f t="shared" si="72"/>
        <v>8592.8404959999989</v>
      </c>
      <c r="I117" s="730">
        <f t="shared" si="73"/>
        <v>206.78489999999999</v>
      </c>
      <c r="J117" s="730">
        <f t="shared" si="74"/>
        <v>8386.0555960000002</v>
      </c>
      <c r="K117" s="730">
        <f t="shared" si="75"/>
        <v>206.78489999999999</v>
      </c>
      <c r="S117" s="729" t="s">
        <v>392</v>
      </c>
      <c r="T117" s="687">
        <v>96424000</v>
      </c>
      <c r="U117" s="687">
        <v>23870910</v>
      </c>
      <c r="V117" s="687">
        <v>49424000</v>
      </c>
      <c r="W117" s="687">
        <v>47000000</v>
      </c>
      <c r="X117" s="730">
        <f t="shared" si="77"/>
        <v>100473.808</v>
      </c>
      <c r="Y117" s="730">
        <f t="shared" si="78"/>
        <v>24873.488219999999</v>
      </c>
      <c r="Z117" s="730">
        <f t="shared" si="79"/>
        <v>51499.808000000005</v>
      </c>
      <c r="AA117" s="730">
        <f t="shared" si="80"/>
        <v>48974</v>
      </c>
      <c r="AG117" s="729" t="s">
        <v>391</v>
      </c>
      <c r="AH117" s="687">
        <v>209997016</v>
      </c>
      <c r="AI117" s="687">
        <v>8582026</v>
      </c>
      <c r="AJ117" s="687">
        <v>173182080</v>
      </c>
      <c r="AK117" s="687">
        <v>36814936</v>
      </c>
      <c r="AL117" s="687">
        <f t="shared" si="82"/>
        <v>218816.89067200001</v>
      </c>
      <c r="AM117" s="687">
        <f t="shared" si="83"/>
        <v>8942.4710919999998</v>
      </c>
      <c r="AN117" s="687">
        <f t="shared" si="84"/>
        <v>180455.72735999999</v>
      </c>
      <c r="AO117" s="687">
        <f t="shared" si="85"/>
        <v>38361.163312000004</v>
      </c>
      <c r="AV117" s="729" t="s">
        <v>390</v>
      </c>
      <c r="AW117" s="687">
        <v>49056000</v>
      </c>
      <c r="AX117" s="687">
        <v>0</v>
      </c>
      <c r="AY117" s="687">
        <v>4500000</v>
      </c>
      <c r="AZ117" s="687">
        <v>44556000</v>
      </c>
      <c r="BA117" s="730">
        <f t="shared" si="87"/>
        <v>51116.351999999999</v>
      </c>
      <c r="BB117" s="730">
        <f t="shared" si="88"/>
        <v>0</v>
      </c>
      <c r="BC117" s="730">
        <f t="shared" si="89"/>
        <v>4689</v>
      </c>
      <c r="BD117" s="730">
        <f t="shared" si="90"/>
        <v>46427.351999999999</v>
      </c>
      <c r="BK117" s="754" t="s">
        <v>389</v>
      </c>
      <c r="BL117" s="687">
        <v>1485442663</v>
      </c>
      <c r="BM117" s="687">
        <v>258988013</v>
      </c>
      <c r="BN117" s="687">
        <v>357553027</v>
      </c>
      <c r="BO117" s="687">
        <v>1127889636</v>
      </c>
      <c r="BP117" s="687">
        <f t="shared" si="92"/>
        <v>1547831.2548459999</v>
      </c>
      <c r="BQ117" s="687">
        <f t="shared" si="93"/>
        <v>269865.50954600004</v>
      </c>
      <c r="BR117" s="687">
        <f t="shared" si="94"/>
        <v>372570.25413399999</v>
      </c>
      <c r="BS117" s="755">
        <f t="shared" si="95"/>
        <v>1175261.0007120001</v>
      </c>
      <c r="BZ117" s="729" t="s">
        <v>389</v>
      </c>
      <c r="CA117" s="687">
        <v>1454936080</v>
      </c>
      <c r="CB117" s="687">
        <v>414473872</v>
      </c>
      <c r="CC117" s="687">
        <v>541196127</v>
      </c>
      <c r="CD117" s="687">
        <v>913739953</v>
      </c>
      <c r="CE117" s="687">
        <f t="shared" si="97"/>
        <v>1516043.3953600002</v>
      </c>
      <c r="CF117" s="687">
        <f t="shared" si="98"/>
        <v>431881.77462400001</v>
      </c>
      <c r="CG117" s="687">
        <f t="shared" si="99"/>
        <v>563926.36433400004</v>
      </c>
      <c r="CH117" s="687">
        <f t="shared" si="100"/>
        <v>952117.03102600004</v>
      </c>
      <c r="CK117" s="731" t="s">
        <v>402</v>
      </c>
      <c r="CL117" s="730">
        <v>757827316</v>
      </c>
      <c r="CM117" s="730">
        <f t="shared" si="101"/>
        <v>789656.06327200006</v>
      </c>
      <c r="CP117" s="731" t="s">
        <v>390</v>
      </c>
      <c r="CQ117" s="730">
        <v>49562583</v>
      </c>
      <c r="CR117" s="730">
        <v>1680000</v>
      </c>
      <c r="CS117" s="730">
        <v>27959000</v>
      </c>
      <c r="CT117" s="730">
        <v>21603583</v>
      </c>
      <c r="CU117" s="730">
        <f t="shared" si="131"/>
        <v>51644.211486</v>
      </c>
      <c r="CV117" s="730">
        <f t="shared" si="132"/>
        <v>1750.5600000000002</v>
      </c>
      <c r="CW117" s="730">
        <f t="shared" si="133"/>
        <v>29133.278000000002</v>
      </c>
      <c r="CX117" s="730">
        <f t="shared" si="134"/>
        <v>22510.933485999998</v>
      </c>
      <c r="DE117" s="729" t="s">
        <v>389</v>
      </c>
      <c r="DF117" s="687">
        <v>1410709863</v>
      </c>
      <c r="DG117" s="687">
        <v>611676881</v>
      </c>
      <c r="DH117" s="687">
        <v>679196126</v>
      </c>
      <c r="DI117" s="687">
        <v>731513737</v>
      </c>
      <c r="DJ117" s="730">
        <f t="shared" si="103"/>
        <v>1469959.6772459999</v>
      </c>
      <c r="DK117" s="730">
        <f t="shared" si="104"/>
        <v>637367.31000200007</v>
      </c>
      <c r="DL117" s="730">
        <f t="shared" si="105"/>
        <v>707722.36329200002</v>
      </c>
      <c r="DM117" s="730">
        <f t="shared" si="106"/>
        <v>762237.31395400001</v>
      </c>
      <c r="DT117" s="729" t="s">
        <v>389</v>
      </c>
      <c r="DU117" s="687">
        <v>995191186</v>
      </c>
      <c r="DV117" s="687">
        <v>619161881</v>
      </c>
      <c r="DW117" s="687">
        <v>679196126</v>
      </c>
      <c r="DX117" s="687">
        <v>315995060</v>
      </c>
      <c r="DY117" s="730">
        <f t="shared" si="108"/>
        <v>995191.18599999999</v>
      </c>
      <c r="DZ117" s="730">
        <f t="shared" si="109"/>
        <v>619161.88100000005</v>
      </c>
      <c r="EA117" s="730">
        <f t="shared" si="110"/>
        <v>679196.12600000005</v>
      </c>
      <c r="EB117" s="730">
        <f t="shared" si="111"/>
        <v>315995.06</v>
      </c>
      <c r="EI117" s="731" t="s">
        <v>388</v>
      </c>
      <c r="EJ117" s="730">
        <v>14613495</v>
      </c>
      <c r="EK117" s="730">
        <v>14014633</v>
      </c>
      <c r="EL117" s="730">
        <v>14014633</v>
      </c>
      <c r="EM117" s="734">
        <f t="shared" si="113"/>
        <v>14613.495000000001</v>
      </c>
      <c r="EN117" s="734">
        <f t="shared" si="114"/>
        <v>14014.633</v>
      </c>
      <c r="EO117" s="734">
        <f t="shared" si="115"/>
        <v>14014.633</v>
      </c>
      <c r="EW117" s="729" t="s">
        <v>568</v>
      </c>
      <c r="EX117" s="687">
        <v>0</v>
      </c>
      <c r="EY117" s="687">
        <v>1926208320</v>
      </c>
      <c r="EZ117" s="687">
        <v>1455000768</v>
      </c>
      <c r="FA117" s="687">
        <v>1852482860</v>
      </c>
      <c r="FB117" s="687">
        <v>73725460</v>
      </c>
      <c r="FC117" s="730">
        <f t="shared" si="135"/>
        <v>0</v>
      </c>
      <c r="FD117" s="730">
        <f t="shared" si="136"/>
        <v>1926208.32</v>
      </c>
      <c r="FE117" s="730">
        <f t="shared" si="137"/>
        <v>1455000.7679999999</v>
      </c>
      <c r="FF117" s="730">
        <f t="shared" si="138"/>
        <v>1852482.86</v>
      </c>
      <c r="FG117" s="730">
        <f t="shared" si="139"/>
        <v>73725.460000000006</v>
      </c>
      <c r="FJ117" s="731" t="s">
        <v>957</v>
      </c>
      <c r="FK117" s="730">
        <v>210600000</v>
      </c>
      <c r="FL117" s="734">
        <f t="shared" si="122"/>
        <v>210600</v>
      </c>
      <c r="FN117" s="735" t="s">
        <v>388</v>
      </c>
      <c r="FO117" s="736">
        <v>14014633</v>
      </c>
      <c r="FP117" s="736">
        <v>14014633</v>
      </c>
      <c r="FQ117" s="736">
        <v>14014633</v>
      </c>
      <c r="FR117" s="736">
        <f t="shared" si="123"/>
        <v>14014.633</v>
      </c>
      <c r="FS117" s="736">
        <f t="shared" si="124"/>
        <v>14014.633</v>
      </c>
      <c r="FT117" s="736">
        <f t="shared" si="125"/>
        <v>14014.633</v>
      </c>
    </row>
    <row r="118" spans="1:176" ht="15" customHeight="1" x14ac:dyDescent="0.25">
      <c r="A118" s="728" t="s">
        <v>880</v>
      </c>
      <c r="B118" s="729" t="s">
        <v>393</v>
      </c>
      <c r="C118" s="687">
        <v>0</v>
      </c>
      <c r="D118" s="687">
        <v>8158000</v>
      </c>
      <c r="E118" s="687">
        <v>198450</v>
      </c>
      <c r="F118" s="687">
        <v>7959550</v>
      </c>
      <c r="G118" s="687">
        <v>198450</v>
      </c>
      <c r="H118" s="730">
        <f t="shared" si="72"/>
        <v>8500.6360000000004</v>
      </c>
      <c r="I118" s="730">
        <f t="shared" si="73"/>
        <v>206.78489999999999</v>
      </c>
      <c r="J118" s="730">
        <f t="shared" si="74"/>
        <v>8293.8510999999999</v>
      </c>
      <c r="K118" s="730">
        <f t="shared" si="75"/>
        <v>206.78489999999999</v>
      </c>
      <c r="S118" s="729" t="s">
        <v>569</v>
      </c>
      <c r="T118" s="687">
        <v>8178068</v>
      </c>
      <c r="U118" s="687">
        <v>472145</v>
      </c>
      <c r="V118" s="687">
        <v>472145</v>
      </c>
      <c r="W118" s="687">
        <v>7705923</v>
      </c>
      <c r="X118" s="730">
        <f t="shared" si="77"/>
        <v>8521.5468560000008</v>
      </c>
      <c r="Y118" s="730">
        <f t="shared" si="78"/>
        <v>491.97509000000002</v>
      </c>
      <c r="Z118" s="730">
        <f t="shared" si="79"/>
        <v>491.97509000000002</v>
      </c>
      <c r="AA118" s="730">
        <f t="shared" si="80"/>
        <v>8029.571766</v>
      </c>
      <c r="AG118" s="729" t="s">
        <v>392</v>
      </c>
      <c r="AH118" s="687">
        <v>96424000</v>
      </c>
      <c r="AI118" s="687">
        <v>23870910</v>
      </c>
      <c r="AJ118" s="687">
        <v>30656000</v>
      </c>
      <c r="AK118" s="687">
        <v>65768000</v>
      </c>
      <c r="AL118" s="687">
        <f t="shared" si="82"/>
        <v>100473.808</v>
      </c>
      <c r="AM118" s="687">
        <f t="shared" si="83"/>
        <v>24873.488219999999</v>
      </c>
      <c r="AN118" s="687">
        <f t="shared" si="84"/>
        <v>31943.552</v>
      </c>
      <c r="AO118" s="687">
        <f t="shared" si="85"/>
        <v>68530.256000000008</v>
      </c>
      <c r="AV118" s="729" t="s">
        <v>391</v>
      </c>
      <c r="AW118" s="687">
        <v>209997016</v>
      </c>
      <c r="AX118" s="687">
        <v>154559596</v>
      </c>
      <c r="AY118" s="687">
        <v>185493304</v>
      </c>
      <c r="AZ118" s="687">
        <v>24503712</v>
      </c>
      <c r="BA118" s="730">
        <f t="shared" si="87"/>
        <v>218816.89067200001</v>
      </c>
      <c r="BB118" s="730">
        <f t="shared" si="88"/>
        <v>161051.099032</v>
      </c>
      <c r="BC118" s="730">
        <f t="shared" si="89"/>
        <v>193284.02276800002</v>
      </c>
      <c r="BD118" s="730">
        <f t="shared" si="90"/>
        <v>25532.867903999999</v>
      </c>
      <c r="BK118" s="754" t="s">
        <v>390</v>
      </c>
      <c r="BL118" s="687">
        <v>49056000</v>
      </c>
      <c r="BM118" s="687">
        <v>0</v>
      </c>
      <c r="BN118" s="687">
        <v>17481000</v>
      </c>
      <c r="BO118" s="687">
        <v>31575000</v>
      </c>
      <c r="BP118" s="687">
        <f t="shared" si="92"/>
        <v>51116.351999999999</v>
      </c>
      <c r="BQ118" s="687">
        <f t="shared" si="93"/>
        <v>0</v>
      </c>
      <c r="BR118" s="687">
        <f t="shared" si="94"/>
        <v>18215.202000000001</v>
      </c>
      <c r="BS118" s="755">
        <f t="shared" si="95"/>
        <v>32901.15</v>
      </c>
      <c r="BZ118" s="729" t="s">
        <v>390</v>
      </c>
      <c r="CA118" s="687">
        <v>49562583</v>
      </c>
      <c r="CB118" s="687">
        <v>1680000</v>
      </c>
      <c r="CC118" s="687">
        <v>27670000</v>
      </c>
      <c r="CD118" s="687">
        <v>21892583</v>
      </c>
      <c r="CE118" s="687">
        <f t="shared" si="97"/>
        <v>51644.211486</v>
      </c>
      <c r="CF118" s="687">
        <f t="shared" si="98"/>
        <v>1750.5600000000002</v>
      </c>
      <c r="CG118" s="687">
        <f t="shared" si="99"/>
        <v>28832.14</v>
      </c>
      <c r="CH118" s="687">
        <f t="shared" si="100"/>
        <v>22812.071486000001</v>
      </c>
      <c r="CK118" s="731" t="s">
        <v>403</v>
      </c>
      <c r="CL118" s="730">
        <v>757827316</v>
      </c>
      <c r="CM118" s="730">
        <f t="shared" si="101"/>
        <v>789656.06327200006</v>
      </c>
      <c r="CP118" s="731" t="s">
        <v>391</v>
      </c>
      <c r="CQ118" s="730">
        <v>702857547</v>
      </c>
      <c r="CR118" s="730">
        <v>309269858</v>
      </c>
      <c r="CS118" s="730">
        <v>519886160</v>
      </c>
      <c r="CT118" s="730">
        <v>182971387</v>
      </c>
      <c r="CU118" s="730">
        <f t="shared" si="131"/>
        <v>732377.56397400005</v>
      </c>
      <c r="CV118" s="730">
        <f t="shared" si="132"/>
        <v>322259.19203600002</v>
      </c>
      <c r="CW118" s="730">
        <f t="shared" si="133"/>
        <v>541721.37872000004</v>
      </c>
      <c r="CX118" s="730">
        <f t="shared" si="134"/>
        <v>190656.18525399998</v>
      </c>
      <c r="DE118" s="729" t="s">
        <v>390</v>
      </c>
      <c r="DF118" s="687">
        <v>49562583</v>
      </c>
      <c r="DG118" s="687">
        <v>3080000</v>
      </c>
      <c r="DH118" s="687">
        <v>24259000</v>
      </c>
      <c r="DI118" s="687">
        <v>25303583</v>
      </c>
      <c r="DJ118" s="730">
        <f t="shared" si="103"/>
        <v>51644.211486</v>
      </c>
      <c r="DK118" s="730">
        <f t="shared" si="104"/>
        <v>3209.36</v>
      </c>
      <c r="DL118" s="730">
        <f t="shared" si="105"/>
        <v>25277.878000000001</v>
      </c>
      <c r="DM118" s="730">
        <f t="shared" si="106"/>
        <v>26366.333486</v>
      </c>
      <c r="DT118" s="729" t="s">
        <v>390</v>
      </c>
      <c r="DU118" s="687">
        <v>49562583</v>
      </c>
      <c r="DV118" s="687">
        <v>4055000</v>
      </c>
      <c r="DW118" s="687">
        <v>30405000</v>
      </c>
      <c r="DX118" s="687">
        <v>19157583</v>
      </c>
      <c r="DY118" s="730">
        <f t="shared" si="108"/>
        <v>49562.582999999999</v>
      </c>
      <c r="DZ118" s="730">
        <f t="shared" si="109"/>
        <v>4055</v>
      </c>
      <c r="EA118" s="730">
        <f t="shared" si="110"/>
        <v>30405</v>
      </c>
      <c r="EB118" s="730">
        <f t="shared" si="111"/>
        <v>19157.582999999999</v>
      </c>
      <c r="EI118" s="731" t="s">
        <v>478</v>
      </c>
      <c r="EJ118" s="730">
        <v>39455</v>
      </c>
      <c r="EK118" s="730">
        <v>39455</v>
      </c>
      <c r="EL118" s="730">
        <v>39455</v>
      </c>
      <c r="EM118" s="734">
        <f t="shared" si="113"/>
        <v>39.454999999999998</v>
      </c>
      <c r="EN118" s="734">
        <f t="shared" si="114"/>
        <v>39.454999999999998</v>
      </c>
      <c r="EO118" s="734">
        <f t="shared" si="115"/>
        <v>39.454999999999998</v>
      </c>
      <c r="EW118" s="729" t="s">
        <v>389</v>
      </c>
      <c r="EX118" s="687">
        <v>0</v>
      </c>
      <c r="EY118" s="687">
        <v>1049240665</v>
      </c>
      <c r="EZ118" s="687">
        <v>827196120</v>
      </c>
      <c r="FA118" s="687">
        <v>1005496125</v>
      </c>
      <c r="FB118" s="687">
        <v>43744540</v>
      </c>
      <c r="FC118" s="730">
        <f t="shared" si="135"/>
        <v>0</v>
      </c>
      <c r="FD118" s="730">
        <f t="shared" si="136"/>
        <v>1049240.665</v>
      </c>
      <c r="FE118" s="730">
        <f t="shared" si="137"/>
        <v>827196.12</v>
      </c>
      <c r="FF118" s="730">
        <f t="shared" si="138"/>
        <v>1005496.125</v>
      </c>
      <c r="FG118" s="730">
        <f t="shared" si="139"/>
        <v>43744.54</v>
      </c>
      <c r="FJ118" s="731" t="s">
        <v>594</v>
      </c>
      <c r="FK118" s="730">
        <v>33357679</v>
      </c>
      <c r="FL118" s="734">
        <f t="shared" si="122"/>
        <v>33357.678999999996</v>
      </c>
      <c r="FN118" s="735" t="s">
        <v>478</v>
      </c>
      <c r="FO118" s="736">
        <v>47596</v>
      </c>
      <c r="FP118" s="736">
        <v>47596</v>
      </c>
      <c r="FQ118" s="736">
        <v>47596</v>
      </c>
      <c r="FR118" s="736">
        <f t="shared" si="123"/>
        <v>47.595999999999997</v>
      </c>
      <c r="FS118" s="736">
        <f t="shared" si="124"/>
        <v>47.595999999999997</v>
      </c>
      <c r="FT118" s="736">
        <f t="shared" si="125"/>
        <v>47.595999999999997</v>
      </c>
    </row>
    <row r="119" spans="1:176" ht="15" customHeight="1" x14ac:dyDescent="0.25">
      <c r="A119" s="728" t="s">
        <v>880</v>
      </c>
      <c r="B119" s="729" t="s">
        <v>394</v>
      </c>
      <c r="C119" s="687">
        <v>0</v>
      </c>
      <c r="D119" s="687">
        <v>88488</v>
      </c>
      <c r="E119" s="687">
        <v>0</v>
      </c>
      <c r="F119" s="687">
        <v>88488</v>
      </c>
      <c r="G119" s="687">
        <v>0</v>
      </c>
      <c r="H119" s="730">
        <f t="shared" si="72"/>
        <v>92.204496000000006</v>
      </c>
      <c r="I119" s="730">
        <f t="shared" si="73"/>
        <v>0</v>
      </c>
      <c r="J119" s="730">
        <f t="shared" si="74"/>
        <v>92.204496000000006</v>
      </c>
      <c r="K119" s="730">
        <f t="shared" si="75"/>
        <v>0</v>
      </c>
      <c r="S119" s="729" t="s">
        <v>393</v>
      </c>
      <c r="T119" s="687">
        <v>8093580</v>
      </c>
      <c r="U119" s="687">
        <v>472145</v>
      </c>
      <c r="V119" s="687">
        <v>472145</v>
      </c>
      <c r="W119" s="687">
        <v>7621435</v>
      </c>
      <c r="X119" s="730">
        <f t="shared" si="77"/>
        <v>8433.5103600000002</v>
      </c>
      <c r="Y119" s="730">
        <f t="shared" si="78"/>
        <v>491.97509000000002</v>
      </c>
      <c r="Z119" s="730">
        <f t="shared" si="79"/>
        <v>491.97509000000002</v>
      </c>
      <c r="AA119" s="730">
        <f t="shared" si="80"/>
        <v>7941.5352700000003</v>
      </c>
      <c r="AG119" s="729" t="s">
        <v>569</v>
      </c>
      <c r="AH119" s="687">
        <v>8100718</v>
      </c>
      <c r="AI119" s="687">
        <v>1373796</v>
      </c>
      <c r="AJ119" s="687">
        <v>1381701</v>
      </c>
      <c r="AK119" s="687">
        <v>6719017</v>
      </c>
      <c r="AL119" s="687">
        <f t="shared" si="82"/>
        <v>8440.9481560000004</v>
      </c>
      <c r="AM119" s="687">
        <f t="shared" si="83"/>
        <v>1431.4954320000002</v>
      </c>
      <c r="AN119" s="687">
        <f t="shared" si="84"/>
        <v>1439.732442</v>
      </c>
      <c r="AO119" s="687">
        <f t="shared" si="85"/>
        <v>7001.2157139999999</v>
      </c>
      <c r="AV119" s="729" t="s">
        <v>392</v>
      </c>
      <c r="AW119" s="687">
        <v>77424000</v>
      </c>
      <c r="AX119" s="687">
        <v>28562910</v>
      </c>
      <c r="AY119" s="687">
        <v>30656000</v>
      </c>
      <c r="AZ119" s="687">
        <v>46768000</v>
      </c>
      <c r="BA119" s="730">
        <f t="shared" si="87"/>
        <v>80675.808000000005</v>
      </c>
      <c r="BB119" s="730">
        <f t="shared" si="88"/>
        <v>29762.552220000001</v>
      </c>
      <c r="BC119" s="730">
        <f t="shared" si="89"/>
        <v>31943.552</v>
      </c>
      <c r="BD119" s="730">
        <f t="shared" si="90"/>
        <v>48732.256000000001</v>
      </c>
      <c r="BK119" s="754" t="s">
        <v>391</v>
      </c>
      <c r="BL119" s="687">
        <v>771676223</v>
      </c>
      <c r="BM119" s="687">
        <v>208396350</v>
      </c>
      <c r="BN119" s="687">
        <v>472115752</v>
      </c>
      <c r="BO119" s="687">
        <v>299560471</v>
      </c>
      <c r="BP119" s="687">
        <f t="shared" si="92"/>
        <v>804086.62436600006</v>
      </c>
      <c r="BQ119" s="687">
        <f t="shared" si="93"/>
        <v>217148.99670000002</v>
      </c>
      <c r="BR119" s="687">
        <f t="shared" si="94"/>
        <v>491944.61358399998</v>
      </c>
      <c r="BS119" s="755">
        <f t="shared" si="95"/>
        <v>312142.01078200003</v>
      </c>
      <c r="BZ119" s="729" t="s">
        <v>391</v>
      </c>
      <c r="CA119" s="687">
        <v>753077933</v>
      </c>
      <c r="CB119" s="687">
        <v>211062696</v>
      </c>
      <c r="CC119" s="687">
        <v>519886160</v>
      </c>
      <c r="CD119" s="687">
        <v>233191773</v>
      </c>
      <c r="CE119" s="687">
        <f t="shared" si="97"/>
        <v>784707.20618600002</v>
      </c>
      <c r="CF119" s="687">
        <f t="shared" si="98"/>
        <v>219927.32923200002</v>
      </c>
      <c r="CG119" s="687">
        <f t="shared" si="99"/>
        <v>541721.37872000004</v>
      </c>
      <c r="CH119" s="687">
        <f t="shared" si="100"/>
        <v>242985.82746599999</v>
      </c>
      <c r="CK119" s="731" t="s">
        <v>580</v>
      </c>
      <c r="CL119" s="730">
        <v>757827316</v>
      </c>
      <c r="CM119" s="730">
        <f t="shared" si="101"/>
        <v>789656.06327200006</v>
      </c>
      <c r="CP119" s="731" t="s">
        <v>392</v>
      </c>
      <c r="CQ119" s="730">
        <v>77656000</v>
      </c>
      <c r="CR119" s="730">
        <v>39119909</v>
      </c>
      <c r="CS119" s="730">
        <v>49424000</v>
      </c>
      <c r="CT119" s="730">
        <v>28232000</v>
      </c>
      <c r="CU119" s="730">
        <f t="shared" si="131"/>
        <v>80917.551999999996</v>
      </c>
      <c r="CV119" s="730">
        <f t="shared" si="132"/>
        <v>40762.945178000002</v>
      </c>
      <c r="CW119" s="730">
        <f t="shared" si="133"/>
        <v>51499.808000000005</v>
      </c>
      <c r="CX119" s="730">
        <f t="shared" si="134"/>
        <v>29417.744000000002</v>
      </c>
      <c r="DE119" s="729" t="s">
        <v>391</v>
      </c>
      <c r="DF119" s="687">
        <v>566810750</v>
      </c>
      <c r="DG119" s="687">
        <v>358906932</v>
      </c>
      <c r="DH119" s="687">
        <v>519886160</v>
      </c>
      <c r="DI119" s="687">
        <v>46924590</v>
      </c>
      <c r="DJ119" s="730">
        <f t="shared" si="103"/>
        <v>590616.80150000006</v>
      </c>
      <c r="DK119" s="730">
        <f t="shared" si="104"/>
        <v>373981.02314399998</v>
      </c>
      <c r="DL119" s="730">
        <f t="shared" si="105"/>
        <v>541721.37872000004</v>
      </c>
      <c r="DM119" s="730">
        <f t="shared" si="106"/>
        <v>48895.422780000001</v>
      </c>
      <c r="DT119" s="729" t="s">
        <v>391</v>
      </c>
      <c r="DU119" s="687">
        <v>749100079</v>
      </c>
      <c r="DV119" s="687">
        <v>358906932</v>
      </c>
      <c r="DW119" s="687">
        <v>712944936</v>
      </c>
      <c r="DX119" s="687">
        <v>36155143</v>
      </c>
      <c r="DY119" s="730">
        <f t="shared" si="108"/>
        <v>749100.07900000003</v>
      </c>
      <c r="DZ119" s="730">
        <f t="shared" si="109"/>
        <v>358906.93199999997</v>
      </c>
      <c r="EA119" s="730">
        <f t="shared" si="110"/>
        <v>712944.93599999999</v>
      </c>
      <c r="EB119" s="730">
        <f t="shared" si="111"/>
        <v>36155.142999999996</v>
      </c>
      <c r="EI119" s="731" t="s">
        <v>568</v>
      </c>
      <c r="EJ119" s="730">
        <v>1947394102</v>
      </c>
      <c r="EK119" s="730">
        <v>1585324562</v>
      </c>
      <c r="EL119" s="730">
        <v>1175679469</v>
      </c>
      <c r="EM119" s="734">
        <f t="shared" si="113"/>
        <v>1947394.102</v>
      </c>
      <c r="EN119" s="734">
        <f t="shared" si="114"/>
        <v>1585324.5619999999</v>
      </c>
      <c r="EO119" s="734">
        <f t="shared" si="115"/>
        <v>1175679.469</v>
      </c>
      <c r="EW119" s="729" t="s">
        <v>390</v>
      </c>
      <c r="EX119" s="687">
        <v>0</v>
      </c>
      <c r="EY119" s="687">
        <v>49056000</v>
      </c>
      <c r="EZ119" s="687">
        <v>21425000</v>
      </c>
      <c r="FA119" s="687">
        <v>40390000</v>
      </c>
      <c r="FB119" s="687">
        <v>8666000</v>
      </c>
      <c r="FC119" s="730">
        <f t="shared" si="135"/>
        <v>0</v>
      </c>
      <c r="FD119" s="730">
        <f t="shared" si="136"/>
        <v>49056</v>
      </c>
      <c r="FE119" s="730">
        <f t="shared" si="137"/>
        <v>21425</v>
      </c>
      <c r="FF119" s="730">
        <f t="shared" si="138"/>
        <v>40390</v>
      </c>
      <c r="FG119" s="730">
        <f t="shared" si="139"/>
        <v>8666</v>
      </c>
      <c r="FJ119" s="731" t="s">
        <v>595</v>
      </c>
      <c r="FK119" s="730">
        <v>33357679</v>
      </c>
      <c r="FL119" s="734">
        <f t="shared" si="122"/>
        <v>33357.678999999996</v>
      </c>
      <c r="FN119" s="735" t="s">
        <v>568</v>
      </c>
      <c r="FO119" s="736">
        <v>2050533185</v>
      </c>
      <c r="FP119" s="736">
        <v>1871617185</v>
      </c>
      <c r="FQ119" s="736">
        <v>1873867185</v>
      </c>
      <c r="FR119" s="736">
        <f t="shared" si="123"/>
        <v>2050533.1850000001</v>
      </c>
      <c r="FS119" s="736">
        <f t="shared" si="124"/>
        <v>1871617.1850000001</v>
      </c>
      <c r="FT119" s="736">
        <f t="shared" si="125"/>
        <v>1873867.1850000001</v>
      </c>
    </row>
    <row r="120" spans="1:176" ht="15" customHeight="1" x14ac:dyDescent="0.25">
      <c r="A120" s="728" t="s">
        <v>428</v>
      </c>
      <c r="B120" s="729" t="s">
        <v>571</v>
      </c>
      <c r="C120" s="687">
        <v>10000</v>
      </c>
      <c r="D120" s="687">
        <v>10000</v>
      </c>
      <c r="E120" s="687">
        <v>0</v>
      </c>
      <c r="F120" s="687">
        <v>10000</v>
      </c>
      <c r="G120" s="687">
        <v>0</v>
      </c>
      <c r="H120" s="730">
        <f t="shared" si="72"/>
        <v>10.42</v>
      </c>
      <c r="I120" s="730">
        <f t="shared" si="73"/>
        <v>0</v>
      </c>
      <c r="J120" s="730">
        <f t="shared" si="74"/>
        <v>10.42</v>
      </c>
      <c r="K120" s="730">
        <f t="shared" si="75"/>
        <v>0</v>
      </c>
      <c r="S120" s="729" t="s">
        <v>394</v>
      </c>
      <c r="T120" s="687">
        <v>84488</v>
      </c>
      <c r="U120" s="687">
        <v>0</v>
      </c>
      <c r="V120" s="687">
        <v>0</v>
      </c>
      <c r="W120" s="687">
        <v>84488</v>
      </c>
      <c r="X120" s="730">
        <f t="shared" si="77"/>
        <v>88.036496</v>
      </c>
      <c r="Y120" s="730">
        <f t="shared" si="78"/>
        <v>0</v>
      </c>
      <c r="Z120" s="730">
        <f t="shared" si="79"/>
        <v>0</v>
      </c>
      <c r="AA120" s="730">
        <f t="shared" si="80"/>
        <v>88.036496</v>
      </c>
      <c r="AG120" s="729" t="s">
        <v>393</v>
      </c>
      <c r="AH120" s="687">
        <v>8016230</v>
      </c>
      <c r="AI120" s="687">
        <v>1373796</v>
      </c>
      <c r="AJ120" s="687">
        <v>1381701</v>
      </c>
      <c r="AK120" s="687">
        <v>6634529</v>
      </c>
      <c r="AL120" s="687">
        <f t="shared" si="82"/>
        <v>8352.9116599999998</v>
      </c>
      <c r="AM120" s="687">
        <f t="shared" si="83"/>
        <v>1431.4954320000002</v>
      </c>
      <c r="AN120" s="687">
        <f t="shared" si="84"/>
        <v>1439.732442</v>
      </c>
      <c r="AO120" s="687">
        <f t="shared" si="85"/>
        <v>6913.1792180000011</v>
      </c>
      <c r="AV120" s="729" t="s">
        <v>569</v>
      </c>
      <c r="AW120" s="687">
        <v>8018218</v>
      </c>
      <c r="AX120" s="687">
        <v>2546103</v>
      </c>
      <c r="AY120" s="687">
        <v>2638418</v>
      </c>
      <c r="AZ120" s="687">
        <v>5379800</v>
      </c>
      <c r="BA120" s="730">
        <f t="shared" si="87"/>
        <v>8354.9831560000002</v>
      </c>
      <c r="BB120" s="730">
        <f t="shared" si="88"/>
        <v>2653.0393260000001</v>
      </c>
      <c r="BC120" s="730">
        <f t="shared" si="89"/>
        <v>2749.2315560000002</v>
      </c>
      <c r="BD120" s="730">
        <f t="shared" si="90"/>
        <v>5605.7516000000005</v>
      </c>
      <c r="BK120" s="754" t="s">
        <v>392</v>
      </c>
      <c r="BL120" s="687">
        <v>77656000</v>
      </c>
      <c r="BM120" s="687">
        <v>28562910</v>
      </c>
      <c r="BN120" s="687">
        <v>30656000</v>
      </c>
      <c r="BO120" s="687">
        <v>47000000</v>
      </c>
      <c r="BP120" s="687">
        <f t="shared" si="92"/>
        <v>80917.551999999996</v>
      </c>
      <c r="BQ120" s="687">
        <f t="shared" si="93"/>
        <v>29762.552220000001</v>
      </c>
      <c r="BR120" s="687">
        <f t="shared" si="94"/>
        <v>31943.552</v>
      </c>
      <c r="BS120" s="755">
        <f t="shared" si="95"/>
        <v>48974</v>
      </c>
      <c r="BZ120" s="729" t="s">
        <v>392</v>
      </c>
      <c r="CA120" s="687">
        <v>77656000</v>
      </c>
      <c r="CB120" s="687">
        <v>28562910</v>
      </c>
      <c r="CC120" s="687">
        <v>30656000</v>
      </c>
      <c r="CD120" s="687">
        <v>47000000</v>
      </c>
      <c r="CE120" s="687">
        <f t="shared" si="97"/>
        <v>80917.551999999996</v>
      </c>
      <c r="CF120" s="687">
        <f t="shared" si="98"/>
        <v>29762.552220000001</v>
      </c>
      <c r="CG120" s="687">
        <f t="shared" si="99"/>
        <v>31943.552</v>
      </c>
      <c r="CH120" s="687">
        <f t="shared" si="100"/>
        <v>48974</v>
      </c>
      <c r="CP120" s="731" t="s">
        <v>569</v>
      </c>
      <c r="CQ120" s="730">
        <v>8270140</v>
      </c>
      <c r="CR120" s="730">
        <v>5273964</v>
      </c>
      <c r="CS120" s="730">
        <v>5431869</v>
      </c>
      <c r="CT120" s="730">
        <v>2838271</v>
      </c>
      <c r="CU120" s="730">
        <f t="shared" si="131"/>
        <v>8617.4858800000002</v>
      </c>
      <c r="CV120" s="730">
        <f t="shared" si="132"/>
        <v>5495.4704879999999</v>
      </c>
      <c r="CW120" s="730">
        <f t="shared" si="133"/>
        <v>5660.0074979999999</v>
      </c>
      <c r="CX120" s="730">
        <f t="shared" si="134"/>
        <v>2957.4783820000002</v>
      </c>
      <c r="DE120" s="729" t="s">
        <v>392</v>
      </c>
      <c r="DF120" s="687">
        <v>96528500</v>
      </c>
      <c r="DG120" s="687">
        <v>41317499</v>
      </c>
      <c r="DH120" s="687">
        <v>85228500</v>
      </c>
      <c r="DI120" s="687">
        <v>11300000</v>
      </c>
      <c r="DJ120" s="730">
        <f t="shared" si="103"/>
        <v>100582.697</v>
      </c>
      <c r="DK120" s="730">
        <f t="shared" si="104"/>
        <v>43052.833958000003</v>
      </c>
      <c r="DL120" s="730">
        <f t="shared" si="105"/>
        <v>88808.097000000009</v>
      </c>
      <c r="DM120" s="730">
        <f t="shared" si="106"/>
        <v>11774.6</v>
      </c>
      <c r="DT120" s="729" t="s">
        <v>392</v>
      </c>
      <c r="DU120" s="687">
        <v>96528500</v>
      </c>
      <c r="DV120" s="687">
        <v>60238499</v>
      </c>
      <c r="DW120" s="687">
        <v>85228500</v>
      </c>
      <c r="DX120" s="687">
        <v>11300000</v>
      </c>
      <c r="DY120" s="730">
        <f t="shared" si="108"/>
        <v>96528.5</v>
      </c>
      <c r="DZ120" s="730">
        <f t="shared" si="109"/>
        <v>60238.499000000003</v>
      </c>
      <c r="EA120" s="730">
        <f t="shared" si="110"/>
        <v>85228.5</v>
      </c>
      <c r="EB120" s="730">
        <f t="shared" si="111"/>
        <v>11300</v>
      </c>
      <c r="EI120" s="731" t="s">
        <v>389</v>
      </c>
      <c r="EJ120" s="730">
        <v>1069780335</v>
      </c>
      <c r="EK120" s="730">
        <v>754896126</v>
      </c>
      <c r="EL120" s="730">
        <v>658538881</v>
      </c>
      <c r="EM120" s="734">
        <f t="shared" si="113"/>
        <v>1069780.335</v>
      </c>
      <c r="EN120" s="734">
        <f t="shared" si="114"/>
        <v>754896.12600000005</v>
      </c>
      <c r="EO120" s="734">
        <f t="shared" si="115"/>
        <v>658538.88100000005</v>
      </c>
      <c r="EW120" s="729" t="s">
        <v>391</v>
      </c>
      <c r="EX120" s="687">
        <v>0</v>
      </c>
      <c r="EY120" s="687">
        <v>739857336</v>
      </c>
      <c r="EZ120" s="687">
        <v>520225329</v>
      </c>
      <c r="FA120" s="687">
        <v>718857336</v>
      </c>
      <c r="FB120" s="687">
        <v>21000000</v>
      </c>
      <c r="FC120" s="730">
        <f t="shared" si="135"/>
        <v>0</v>
      </c>
      <c r="FD120" s="730">
        <f t="shared" si="136"/>
        <v>739857.33600000001</v>
      </c>
      <c r="FE120" s="730">
        <f t="shared" si="137"/>
        <v>520225.32900000003</v>
      </c>
      <c r="FF120" s="730">
        <f t="shared" si="138"/>
        <v>718857.33600000001</v>
      </c>
      <c r="FG120" s="730">
        <f t="shared" si="139"/>
        <v>21000</v>
      </c>
      <c r="FJ120" s="731" t="s">
        <v>844</v>
      </c>
      <c r="FK120" s="730">
        <v>33357679</v>
      </c>
      <c r="FL120" s="734">
        <f t="shared" si="122"/>
        <v>33357.678999999996</v>
      </c>
      <c r="FN120" s="735" t="s">
        <v>389</v>
      </c>
      <c r="FO120" s="736">
        <v>1171096079</v>
      </c>
      <c r="FP120" s="736">
        <v>1003096079</v>
      </c>
      <c r="FQ120" s="736">
        <v>1003096079</v>
      </c>
      <c r="FR120" s="736">
        <f t="shared" si="123"/>
        <v>1171096.0789999999</v>
      </c>
      <c r="FS120" s="736">
        <f t="shared" si="124"/>
        <v>1003096.079</v>
      </c>
      <c r="FT120" s="736">
        <f t="shared" si="125"/>
        <v>1003096.079</v>
      </c>
    </row>
    <row r="121" spans="1:176" ht="15" customHeight="1" x14ac:dyDescent="0.25">
      <c r="A121" s="728" t="s">
        <v>879</v>
      </c>
      <c r="B121" s="729" t="s">
        <v>572</v>
      </c>
      <c r="C121" s="687">
        <v>10000</v>
      </c>
      <c r="D121" s="687">
        <v>10000</v>
      </c>
      <c r="E121" s="687">
        <v>0</v>
      </c>
      <c r="F121" s="687">
        <v>10000</v>
      </c>
      <c r="G121" s="687">
        <v>0</v>
      </c>
      <c r="H121" s="730">
        <f t="shared" si="72"/>
        <v>10.42</v>
      </c>
      <c r="I121" s="730">
        <f t="shared" si="73"/>
        <v>0</v>
      </c>
      <c r="J121" s="730">
        <f t="shared" si="74"/>
        <v>10.42</v>
      </c>
      <c r="K121" s="730">
        <f t="shared" si="75"/>
        <v>0</v>
      </c>
      <c r="S121" s="729" t="s">
        <v>571</v>
      </c>
      <c r="T121" s="687">
        <v>10000</v>
      </c>
      <c r="U121" s="687">
        <v>0</v>
      </c>
      <c r="V121" s="687">
        <v>0</v>
      </c>
      <c r="W121" s="687">
        <v>10000</v>
      </c>
      <c r="X121" s="730">
        <f t="shared" si="77"/>
        <v>10.42</v>
      </c>
      <c r="Y121" s="730">
        <f t="shared" si="78"/>
        <v>0</v>
      </c>
      <c r="Z121" s="730">
        <f t="shared" si="79"/>
        <v>0</v>
      </c>
      <c r="AA121" s="730">
        <f t="shared" si="80"/>
        <v>10.42</v>
      </c>
      <c r="AG121" s="729" t="s">
        <v>394</v>
      </c>
      <c r="AH121" s="687">
        <v>84488</v>
      </c>
      <c r="AI121" s="687">
        <v>0</v>
      </c>
      <c r="AJ121" s="687">
        <v>0</v>
      </c>
      <c r="AK121" s="687">
        <v>84488</v>
      </c>
      <c r="AL121" s="687">
        <f t="shared" si="82"/>
        <v>88.036496</v>
      </c>
      <c r="AM121" s="687">
        <f t="shared" si="83"/>
        <v>0</v>
      </c>
      <c r="AN121" s="687">
        <f t="shared" si="84"/>
        <v>0</v>
      </c>
      <c r="AO121" s="687">
        <f t="shared" si="85"/>
        <v>88.036496</v>
      </c>
      <c r="AV121" s="729" t="s">
        <v>393</v>
      </c>
      <c r="AW121" s="687">
        <v>7933730</v>
      </c>
      <c r="AX121" s="687">
        <v>2546103</v>
      </c>
      <c r="AY121" s="687">
        <v>2638418</v>
      </c>
      <c r="AZ121" s="687">
        <v>5295312</v>
      </c>
      <c r="BA121" s="730">
        <f t="shared" si="87"/>
        <v>8266.9466599999996</v>
      </c>
      <c r="BB121" s="730">
        <f t="shared" si="88"/>
        <v>2653.0393260000001</v>
      </c>
      <c r="BC121" s="730">
        <f t="shared" si="89"/>
        <v>2749.2315560000002</v>
      </c>
      <c r="BD121" s="730">
        <f t="shared" si="90"/>
        <v>5517.7151039999999</v>
      </c>
      <c r="BK121" s="754" t="s">
        <v>569</v>
      </c>
      <c r="BL121" s="687">
        <v>8409600</v>
      </c>
      <c r="BM121" s="687">
        <v>3345124</v>
      </c>
      <c r="BN121" s="687">
        <v>3525699</v>
      </c>
      <c r="BO121" s="687">
        <v>4883901</v>
      </c>
      <c r="BP121" s="687">
        <f t="shared" si="92"/>
        <v>8762.8032000000003</v>
      </c>
      <c r="BQ121" s="687">
        <f t="shared" si="93"/>
        <v>3485.6192080000001</v>
      </c>
      <c r="BR121" s="687">
        <f t="shared" si="94"/>
        <v>3673.778358</v>
      </c>
      <c r="BS121" s="755">
        <f t="shared" si="95"/>
        <v>5089.0248419999998</v>
      </c>
      <c r="BZ121" s="729" t="s">
        <v>569</v>
      </c>
      <c r="CA121" s="687">
        <v>8196544</v>
      </c>
      <c r="CB121" s="687">
        <v>4200659</v>
      </c>
      <c r="CC121" s="687">
        <v>4436334</v>
      </c>
      <c r="CD121" s="687">
        <v>3760210</v>
      </c>
      <c r="CE121" s="687">
        <f t="shared" si="97"/>
        <v>8540.7988480000004</v>
      </c>
      <c r="CF121" s="687">
        <f t="shared" si="98"/>
        <v>4377.0866779999997</v>
      </c>
      <c r="CG121" s="687">
        <f t="shared" si="99"/>
        <v>4622.6600280000002</v>
      </c>
      <c r="CH121" s="687">
        <f t="shared" si="100"/>
        <v>3918.1388200000001</v>
      </c>
      <c r="CP121" s="731" t="s">
        <v>393</v>
      </c>
      <c r="CQ121" s="730">
        <v>7984751</v>
      </c>
      <c r="CR121" s="730">
        <v>5073063</v>
      </c>
      <c r="CS121" s="730">
        <v>5230968</v>
      </c>
      <c r="CT121" s="730">
        <v>2753783</v>
      </c>
      <c r="CU121" s="730">
        <f t="shared" si="131"/>
        <v>8320.1105420000004</v>
      </c>
      <c r="CV121" s="730">
        <f t="shared" si="132"/>
        <v>5286.1316460000007</v>
      </c>
      <c r="CW121" s="730">
        <f t="shared" si="133"/>
        <v>5450.6686559999998</v>
      </c>
      <c r="CX121" s="730">
        <f t="shared" si="134"/>
        <v>2869.4418860000001</v>
      </c>
      <c r="DE121" s="729" t="s">
        <v>569</v>
      </c>
      <c r="DF121" s="687">
        <v>9088640</v>
      </c>
      <c r="DG121" s="687">
        <v>6568354</v>
      </c>
      <c r="DH121" s="687">
        <v>6576259</v>
      </c>
      <c r="DI121" s="687">
        <v>2512381</v>
      </c>
      <c r="DJ121" s="730">
        <f t="shared" si="103"/>
        <v>9470.3628800000006</v>
      </c>
      <c r="DK121" s="730">
        <f t="shared" si="104"/>
        <v>6844.2248680000002</v>
      </c>
      <c r="DL121" s="730">
        <f t="shared" si="105"/>
        <v>6852.4618780000001</v>
      </c>
      <c r="DM121" s="730">
        <f t="shared" si="106"/>
        <v>2617.9010020000001</v>
      </c>
      <c r="DT121" s="729" t="s">
        <v>569</v>
      </c>
      <c r="DU121" s="687">
        <v>9548395</v>
      </c>
      <c r="DV121" s="687">
        <v>7482334</v>
      </c>
      <c r="DW121" s="687">
        <v>7706369</v>
      </c>
      <c r="DX121" s="687">
        <v>1842026</v>
      </c>
      <c r="DY121" s="730">
        <f t="shared" si="108"/>
        <v>9548.3950000000004</v>
      </c>
      <c r="DZ121" s="730">
        <f t="shared" si="109"/>
        <v>7482.3339999999998</v>
      </c>
      <c r="EA121" s="730">
        <f t="shared" si="110"/>
        <v>7706.3689999999997</v>
      </c>
      <c r="EB121" s="730">
        <f t="shared" si="111"/>
        <v>1842.0260000000001</v>
      </c>
      <c r="EI121" s="731" t="s">
        <v>390</v>
      </c>
      <c r="EJ121" s="730">
        <v>49062583</v>
      </c>
      <c r="EK121" s="730">
        <v>32255000</v>
      </c>
      <c r="EL121" s="730">
        <v>12325000</v>
      </c>
      <c r="EM121" s="734">
        <f t="shared" si="113"/>
        <v>49062.582999999999</v>
      </c>
      <c r="EN121" s="734">
        <f t="shared" si="114"/>
        <v>32255</v>
      </c>
      <c r="EO121" s="734">
        <f t="shared" si="115"/>
        <v>12325</v>
      </c>
      <c r="EW121" s="729" t="s">
        <v>392</v>
      </c>
      <c r="EX121" s="687">
        <v>0</v>
      </c>
      <c r="EY121" s="687">
        <v>88054319</v>
      </c>
      <c r="EZ121" s="687">
        <v>86154319</v>
      </c>
      <c r="FA121" s="687">
        <v>87739399</v>
      </c>
      <c r="FB121" s="687">
        <v>314920</v>
      </c>
      <c r="FC121" s="730">
        <f t="shared" si="135"/>
        <v>0</v>
      </c>
      <c r="FD121" s="730">
        <f t="shared" si="136"/>
        <v>88054.319000000003</v>
      </c>
      <c r="FE121" s="730">
        <f t="shared" si="137"/>
        <v>86154.319000000003</v>
      </c>
      <c r="FF121" s="730">
        <f t="shared" si="138"/>
        <v>87739.399000000005</v>
      </c>
      <c r="FG121" s="730">
        <f t="shared" si="139"/>
        <v>314.92</v>
      </c>
      <c r="FJ121" s="731" t="s">
        <v>577</v>
      </c>
      <c r="FK121" s="730">
        <v>45579020</v>
      </c>
      <c r="FL121" s="734">
        <f t="shared" si="122"/>
        <v>45579.02</v>
      </c>
      <c r="FN121" s="735" t="s">
        <v>390</v>
      </c>
      <c r="FO121" s="736">
        <v>49056000</v>
      </c>
      <c r="FP121" s="736">
        <v>38140000</v>
      </c>
      <c r="FQ121" s="736">
        <v>40390000</v>
      </c>
      <c r="FR121" s="736">
        <f t="shared" si="123"/>
        <v>49056</v>
      </c>
      <c r="FS121" s="736">
        <f t="shared" si="124"/>
        <v>38140</v>
      </c>
      <c r="FT121" s="736">
        <f t="shared" si="125"/>
        <v>40390</v>
      </c>
    </row>
    <row r="122" spans="1:176" ht="15" customHeight="1" x14ac:dyDescent="0.25">
      <c r="A122" s="728" t="s">
        <v>880</v>
      </c>
      <c r="B122" s="729" t="s">
        <v>573</v>
      </c>
      <c r="C122" s="687">
        <v>0</v>
      </c>
      <c r="D122" s="687">
        <v>10000</v>
      </c>
      <c r="E122" s="687">
        <v>0</v>
      </c>
      <c r="F122" s="687">
        <v>10000</v>
      </c>
      <c r="G122" s="687">
        <v>0</v>
      </c>
      <c r="H122" s="730">
        <f t="shared" si="72"/>
        <v>10.42</v>
      </c>
      <c r="I122" s="730">
        <f t="shared" si="73"/>
        <v>0</v>
      </c>
      <c r="J122" s="730">
        <f t="shared" si="74"/>
        <v>10.42</v>
      </c>
      <c r="K122" s="730">
        <f t="shared" si="75"/>
        <v>0</v>
      </c>
      <c r="S122" s="729" t="s">
        <v>572</v>
      </c>
      <c r="T122" s="687">
        <v>10000</v>
      </c>
      <c r="U122" s="687">
        <v>0</v>
      </c>
      <c r="V122" s="687">
        <v>0</v>
      </c>
      <c r="W122" s="687">
        <v>10000</v>
      </c>
      <c r="X122" s="730">
        <f t="shared" si="77"/>
        <v>10.42</v>
      </c>
      <c r="Y122" s="730">
        <f t="shared" si="78"/>
        <v>0</v>
      </c>
      <c r="Z122" s="730">
        <f t="shared" si="79"/>
        <v>0</v>
      </c>
      <c r="AA122" s="730">
        <f t="shared" si="80"/>
        <v>10.42</v>
      </c>
      <c r="AG122" s="732" t="s">
        <v>571</v>
      </c>
      <c r="AH122" s="687">
        <v>10000</v>
      </c>
      <c r="AI122" s="687">
        <v>0</v>
      </c>
      <c r="AJ122" s="687">
        <v>0</v>
      </c>
      <c r="AK122" s="687">
        <v>10000</v>
      </c>
      <c r="AL122" s="733">
        <f t="shared" si="82"/>
        <v>10.42</v>
      </c>
      <c r="AM122" s="733">
        <f t="shared" si="83"/>
        <v>0</v>
      </c>
      <c r="AN122" s="733">
        <f t="shared" si="84"/>
        <v>0</v>
      </c>
      <c r="AO122" s="733">
        <f t="shared" si="85"/>
        <v>10.42</v>
      </c>
      <c r="AV122" s="729" t="s">
        <v>394</v>
      </c>
      <c r="AW122" s="687">
        <v>84488</v>
      </c>
      <c r="AX122" s="687">
        <v>0</v>
      </c>
      <c r="AY122" s="687">
        <v>0</v>
      </c>
      <c r="AZ122" s="687">
        <v>84488</v>
      </c>
      <c r="BA122" s="730">
        <f t="shared" si="87"/>
        <v>88.036496</v>
      </c>
      <c r="BB122" s="730">
        <f t="shared" si="88"/>
        <v>0</v>
      </c>
      <c r="BC122" s="730">
        <f t="shared" si="89"/>
        <v>0</v>
      </c>
      <c r="BD122" s="730">
        <f t="shared" si="90"/>
        <v>88.036496</v>
      </c>
      <c r="BK122" s="754" t="s">
        <v>393</v>
      </c>
      <c r="BL122" s="687">
        <v>8124211</v>
      </c>
      <c r="BM122" s="687">
        <v>3144223</v>
      </c>
      <c r="BN122" s="687">
        <v>3324798</v>
      </c>
      <c r="BO122" s="687">
        <v>4799413</v>
      </c>
      <c r="BP122" s="687">
        <f t="shared" si="92"/>
        <v>8465.4278620000005</v>
      </c>
      <c r="BQ122" s="687">
        <f t="shared" si="93"/>
        <v>3276.280366</v>
      </c>
      <c r="BR122" s="687">
        <f t="shared" si="94"/>
        <v>3464.4395159999999</v>
      </c>
      <c r="BS122" s="755">
        <f t="shared" si="95"/>
        <v>5000.9883460000001</v>
      </c>
      <c r="BZ122" s="729" t="s">
        <v>393</v>
      </c>
      <c r="CA122" s="687">
        <v>7911155</v>
      </c>
      <c r="CB122" s="687">
        <v>3999758</v>
      </c>
      <c r="CC122" s="687">
        <v>4235433</v>
      </c>
      <c r="CD122" s="687">
        <v>3675722</v>
      </c>
      <c r="CE122" s="687">
        <f t="shared" si="97"/>
        <v>8243.4235100000005</v>
      </c>
      <c r="CF122" s="687">
        <f t="shared" si="98"/>
        <v>4167.7478359999996</v>
      </c>
      <c r="CG122" s="687">
        <f t="shared" si="99"/>
        <v>4413.3211860000001</v>
      </c>
      <c r="CH122" s="687">
        <f t="shared" si="100"/>
        <v>3830.1023240000004</v>
      </c>
      <c r="CP122" s="731" t="s">
        <v>394</v>
      </c>
      <c r="CQ122" s="730">
        <v>285389</v>
      </c>
      <c r="CR122" s="730">
        <v>200901</v>
      </c>
      <c r="CS122" s="730">
        <v>200901</v>
      </c>
      <c r="CT122" s="730">
        <v>84488</v>
      </c>
      <c r="CU122" s="730">
        <f t="shared" si="131"/>
        <v>297.375338</v>
      </c>
      <c r="CV122" s="730">
        <f t="shared" si="132"/>
        <v>209.33884200000003</v>
      </c>
      <c r="CW122" s="730">
        <f t="shared" si="133"/>
        <v>209.33884200000003</v>
      </c>
      <c r="CX122" s="730">
        <f t="shared" si="134"/>
        <v>88.036496</v>
      </c>
      <c r="DE122" s="729" t="s">
        <v>393</v>
      </c>
      <c r="DF122" s="687">
        <v>8803251</v>
      </c>
      <c r="DG122" s="687">
        <v>6367453</v>
      </c>
      <c r="DH122" s="687">
        <v>6375358</v>
      </c>
      <c r="DI122" s="687">
        <v>2427893</v>
      </c>
      <c r="DJ122" s="730">
        <f t="shared" si="103"/>
        <v>9172.9875420000008</v>
      </c>
      <c r="DK122" s="730">
        <f t="shared" si="104"/>
        <v>6634.886026000001</v>
      </c>
      <c r="DL122" s="730">
        <f t="shared" si="105"/>
        <v>6643.1230360000009</v>
      </c>
      <c r="DM122" s="730">
        <f t="shared" si="106"/>
        <v>2529.8645060000003</v>
      </c>
      <c r="DT122" s="729" t="s">
        <v>393</v>
      </c>
      <c r="DU122" s="687">
        <v>9263006</v>
      </c>
      <c r="DV122" s="687">
        <v>7281433</v>
      </c>
      <c r="DW122" s="687">
        <v>7505468</v>
      </c>
      <c r="DX122" s="687">
        <v>1757538</v>
      </c>
      <c r="DY122" s="730">
        <f t="shared" si="108"/>
        <v>9263.0059999999994</v>
      </c>
      <c r="DZ122" s="730">
        <f t="shared" si="109"/>
        <v>7281.433</v>
      </c>
      <c r="EA122" s="730">
        <f t="shared" si="110"/>
        <v>7505.4679999999998</v>
      </c>
      <c r="EB122" s="730">
        <f t="shared" si="111"/>
        <v>1757.538</v>
      </c>
      <c r="EI122" s="731" t="s">
        <v>391</v>
      </c>
      <c r="EJ122" s="730">
        <v>736322684</v>
      </c>
      <c r="EK122" s="730">
        <v>712944936</v>
      </c>
      <c r="EL122" s="730">
        <v>419587089</v>
      </c>
      <c r="EM122" s="734">
        <f t="shared" si="113"/>
        <v>736322.68400000001</v>
      </c>
      <c r="EN122" s="734">
        <f t="shared" si="114"/>
        <v>712944.93599999999</v>
      </c>
      <c r="EO122" s="734">
        <f t="shared" si="115"/>
        <v>419587.08899999998</v>
      </c>
      <c r="EW122" s="729" t="s">
        <v>569</v>
      </c>
      <c r="EX122" s="687">
        <v>0</v>
      </c>
      <c r="EY122" s="687">
        <v>9778205</v>
      </c>
      <c r="EZ122" s="687">
        <v>9697410</v>
      </c>
      <c r="FA122" s="687">
        <v>9778205</v>
      </c>
      <c r="FB122" s="687">
        <v>0</v>
      </c>
      <c r="FC122" s="730">
        <f t="shared" si="135"/>
        <v>0</v>
      </c>
      <c r="FD122" s="730">
        <f t="shared" si="136"/>
        <v>9778.2049999999999</v>
      </c>
      <c r="FE122" s="730">
        <f t="shared" si="137"/>
        <v>9697.41</v>
      </c>
      <c r="FF122" s="730">
        <f t="shared" si="138"/>
        <v>9778.2049999999999</v>
      </c>
      <c r="FG122" s="730">
        <f t="shared" si="139"/>
        <v>0</v>
      </c>
      <c r="FJ122" s="731" t="s">
        <v>398</v>
      </c>
      <c r="FK122" s="730">
        <v>45579020</v>
      </c>
      <c r="FL122" s="734">
        <f t="shared" si="122"/>
        <v>45579.02</v>
      </c>
      <c r="FN122" s="735" t="s">
        <v>391</v>
      </c>
      <c r="FO122" s="736">
        <v>736432759</v>
      </c>
      <c r="FP122" s="736">
        <v>736432759</v>
      </c>
      <c r="FQ122" s="736">
        <v>736432759</v>
      </c>
      <c r="FR122" s="736">
        <f t="shared" si="123"/>
        <v>736432.75899999996</v>
      </c>
      <c r="FS122" s="736">
        <f t="shared" si="124"/>
        <v>736432.75899999996</v>
      </c>
      <c r="FT122" s="736">
        <f t="shared" si="125"/>
        <v>736432.75899999996</v>
      </c>
    </row>
    <row r="123" spans="1:176" ht="15" customHeight="1" x14ac:dyDescent="0.25">
      <c r="A123" s="728" t="s">
        <v>428</v>
      </c>
      <c r="B123" s="729" t="s">
        <v>395</v>
      </c>
      <c r="C123" s="687">
        <v>112759000</v>
      </c>
      <c r="D123" s="687">
        <v>112759000</v>
      </c>
      <c r="E123" s="687">
        <v>64871798</v>
      </c>
      <c r="F123" s="687">
        <v>47887202</v>
      </c>
      <c r="G123" s="687">
        <v>4940179</v>
      </c>
      <c r="H123" s="730">
        <f t="shared" si="72"/>
        <v>117494.878</v>
      </c>
      <c r="I123" s="730">
        <f t="shared" si="73"/>
        <v>67596.413516000001</v>
      </c>
      <c r="J123" s="730">
        <f t="shared" si="74"/>
        <v>49898.464483999996</v>
      </c>
      <c r="K123" s="730">
        <f t="shared" si="75"/>
        <v>5147.666518</v>
      </c>
      <c r="S123" s="729" t="s">
        <v>573</v>
      </c>
      <c r="T123" s="687">
        <v>10000</v>
      </c>
      <c r="U123" s="687">
        <v>0</v>
      </c>
      <c r="V123" s="687">
        <v>0</v>
      </c>
      <c r="W123" s="687">
        <v>10000</v>
      </c>
      <c r="X123" s="730">
        <f t="shared" si="77"/>
        <v>10.42</v>
      </c>
      <c r="Y123" s="730">
        <f t="shared" si="78"/>
        <v>0</v>
      </c>
      <c r="Z123" s="730">
        <f t="shared" si="79"/>
        <v>0</v>
      </c>
      <c r="AA123" s="730">
        <f t="shared" si="80"/>
        <v>10.42</v>
      </c>
      <c r="AG123" s="729" t="s">
        <v>572</v>
      </c>
      <c r="AH123" s="687">
        <v>10000</v>
      </c>
      <c r="AI123" s="687">
        <v>0</v>
      </c>
      <c r="AJ123" s="687">
        <v>0</v>
      </c>
      <c r="AK123" s="687">
        <v>10000</v>
      </c>
      <c r="AL123" s="687">
        <f t="shared" si="82"/>
        <v>10.42</v>
      </c>
      <c r="AM123" s="687">
        <f t="shared" si="83"/>
        <v>0</v>
      </c>
      <c r="AN123" s="687">
        <f t="shared" si="84"/>
        <v>0</v>
      </c>
      <c r="AO123" s="687">
        <f t="shared" si="85"/>
        <v>10.42</v>
      </c>
      <c r="AV123" s="729" t="s">
        <v>571</v>
      </c>
      <c r="AW123" s="687">
        <v>10000</v>
      </c>
      <c r="AX123" s="687">
        <v>0</v>
      </c>
      <c r="AY123" s="687">
        <v>0</v>
      </c>
      <c r="AZ123" s="687">
        <v>10000</v>
      </c>
      <c r="BA123" s="730">
        <f t="shared" si="87"/>
        <v>10.42</v>
      </c>
      <c r="BB123" s="730">
        <f t="shared" si="88"/>
        <v>0</v>
      </c>
      <c r="BC123" s="730">
        <f t="shared" si="89"/>
        <v>0</v>
      </c>
      <c r="BD123" s="730">
        <f t="shared" si="90"/>
        <v>10.42</v>
      </c>
      <c r="BK123" s="754" t="s">
        <v>394</v>
      </c>
      <c r="BL123" s="687">
        <v>285389</v>
      </c>
      <c r="BM123" s="687">
        <v>200901</v>
      </c>
      <c r="BN123" s="687">
        <v>200901</v>
      </c>
      <c r="BO123" s="687">
        <v>84488</v>
      </c>
      <c r="BP123" s="687">
        <f t="shared" si="92"/>
        <v>297.375338</v>
      </c>
      <c r="BQ123" s="687">
        <f t="shared" si="93"/>
        <v>209.33884200000003</v>
      </c>
      <c r="BR123" s="687">
        <f t="shared" si="94"/>
        <v>209.33884200000003</v>
      </c>
      <c r="BS123" s="755">
        <f t="shared" si="95"/>
        <v>88.036496</v>
      </c>
      <c r="BZ123" s="729" t="s">
        <v>394</v>
      </c>
      <c r="CA123" s="687">
        <v>285389</v>
      </c>
      <c r="CB123" s="687">
        <v>200901</v>
      </c>
      <c r="CC123" s="687">
        <v>200901</v>
      </c>
      <c r="CD123" s="687">
        <v>84488</v>
      </c>
      <c r="CE123" s="687">
        <f t="shared" si="97"/>
        <v>297.375338</v>
      </c>
      <c r="CF123" s="687">
        <f t="shared" si="98"/>
        <v>209.33884200000003</v>
      </c>
      <c r="CG123" s="687">
        <f t="shared" si="99"/>
        <v>209.33884200000003</v>
      </c>
      <c r="CH123" s="687">
        <f t="shared" si="100"/>
        <v>88.036496</v>
      </c>
      <c r="CP123" s="731" t="s">
        <v>571</v>
      </c>
      <c r="CQ123" s="730">
        <v>204972000</v>
      </c>
      <c r="CR123" s="730">
        <v>204961523</v>
      </c>
      <c r="CS123" s="730">
        <v>204961523</v>
      </c>
      <c r="CT123" s="730">
        <v>10477</v>
      </c>
      <c r="CU123" s="730">
        <f t="shared" si="131"/>
        <v>213580.82399999999</v>
      </c>
      <c r="CV123" s="730">
        <f t="shared" si="132"/>
        <v>213569.90696599998</v>
      </c>
      <c r="CW123" s="730">
        <f t="shared" si="133"/>
        <v>213569.90696599998</v>
      </c>
      <c r="CX123" s="730">
        <f t="shared" si="134"/>
        <v>10.917034000000001</v>
      </c>
      <c r="DE123" s="729" t="s">
        <v>394</v>
      </c>
      <c r="DF123" s="687">
        <v>285389</v>
      </c>
      <c r="DG123" s="687">
        <v>200901</v>
      </c>
      <c r="DH123" s="687">
        <v>200901</v>
      </c>
      <c r="DI123" s="687">
        <v>84488</v>
      </c>
      <c r="DJ123" s="730">
        <f t="shared" si="103"/>
        <v>297.375338</v>
      </c>
      <c r="DK123" s="730">
        <f t="shared" si="104"/>
        <v>209.33884200000003</v>
      </c>
      <c r="DL123" s="730">
        <f t="shared" si="105"/>
        <v>209.33884200000003</v>
      </c>
      <c r="DM123" s="730">
        <f t="shared" si="106"/>
        <v>88.036496</v>
      </c>
      <c r="DT123" s="729" t="s">
        <v>394</v>
      </c>
      <c r="DU123" s="687">
        <v>285389</v>
      </c>
      <c r="DV123" s="687">
        <v>200901</v>
      </c>
      <c r="DW123" s="687">
        <v>200901</v>
      </c>
      <c r="DX123" s="687">
        <v>84488</v>
      </c>
      <c r="DY123" s="730">
        <f t="shared" si="108"/>
        <v>285.38900000000001</v>
      </c>
      <c r="DZ123" s="730">
        <f t="shared" si="109"/>
        <v>200.90100000000001</v>
      </c>
      <c r="EA123" s="730">
        <f t="shared" si="110"/>
        <v>200.90100000000001</v>
      </c>
      <c r="EB123" s="730">
        <f t="shared" si="111"/>
        <v>84.488</v>
      </c>
      <c r="EI123" s="731" t="s">
        <v>392</v>
      </c>
      <c r="EJ123" s="730">
        <v>92228500</v>
      </c>
      <c r="EK123" s="730">
        <v>85228500</v>
      </c>
      <c r="EL123" s="730">
        <v>85228499</v>
      </c>
      <c r="EM123" s="734">
        <f t="shared" si="113"/>
        <v>92228.5</v>
      </c>
      <c r="EN123" s="734">
        <f t="shared" si="114"/>
        <v>85228.5</v>
      </c>
      <c r="EO123" s="734">
        <f t="shared" si="115"/>
        <v>85228.498999999996</v>
      </c>
      <c r="EW123" s="729" t="s">
        <v>393</v>
      </c>
      <c r="EX123" s="687">
        <v>0</v>
      </c>
      <c r="EY123" s="687">
        <v>9577304</v>
      </c>
      <c r="EZ123" s="687">
        <v>9496509</v>
      </c>
      <c r="FA123" s="687">
        <v>9577304</v>
      </c>
      <c r="FB123" s="687">
        <v>0</v>
      </c>
      <c r="FC123" s="730">
        <f t="shared" si="135"/>
        <v>0</v>
      </c>
      <c r="FD123" s="730">
        <f t="shared" si="136"/>
        <v>9577.3040000000001</v>
      </c>
      <c r="FE123" s="730">
        <f t="shared" si="137"/>
        <v>9496.509</v>
      </c>
      <c r="FF123" s="730">
        <f t="shared" si="138"/>
        <v>9577.3040000000001</v>
      </c>
      <c r="FG123" s="730">
        <f t="shared" si="139"/>
        <v>0</v>
      </c>
      <c r="FJ123" s="731" t="s">
        <v>579</v>
      </c>
      <c r="FK123" s="730">
        <v>45579020</v>
      </c>
      <c r="FL123" s="734">
        <f t="shared" si="122"/>
        <v>45579.02</v>
      </c>
      <c r="FN123" s="735" t="s">
        <v>392</v>
      </c>
      <c r="FO123" s="736">
        <v>93948347</v>
      </c>
      <c r="FP123" s="736">
        <v>93948347</v>
      </c>
      <c r="FQ123" s="736">
        <v>93948347</v>
      </c>
      <c r="FR123" s="736">
        <f t="shared" si="123"/>
        <v>93948.346999999994</v>
      </c>
      <c r="FS123" s="736">
        <f t="shared" si="124"/>
        <v>93948.346999999994</v>
      </c>
      <c r="FT123" s="736">
        <f t="shared" si="125"/>
        <v>93948.346999999994</v>
      </c>
    </row>
    <row r="124" spans="1:176" ht="15" customHeight="1" x14ac:dyDescent="0.25">
      <c r="A124" s="728" t="s">
        <v>879</v>
      </c>
      <c r="B124" s="729" t="s">
        <v>396</v>
      </c>
      <c r="C124" s="687">
        <v>112759000</v>
      </c>
      <c r="D124" s="687">
        <v>112759000</v>
      </c>
      <c r="E124" s="687">
        <v>64871798</v>
      </c>
      <c r="F124" s="687">
        <v>47887202</v>
      </c>
      <c r="G124" s="687">
        <v>4940179</v>
      </c>
      <c r="H124" s="730">
        <f t="shared" si="72"/>
        <v>117494.878</v>
      </c>
      <c r="I124" s="730">
        <f t="shared" si="73"/>
        <v>67596.413516000001</v>
      </c>
      <c r="J124" s="730">
        <f t="shared" si="74"/>
        <v>49898.464483999996</v>
      </c>
      <c r="K124" s="730">
        <f t="shared" si="75"/>
        <v>5147.666518</v>
      </c>
      <c r="S124" s="729" t="s">
        <v>395</v>
      </c>
      <c r="T124" s="687">
        <v>112759000</v>
      </c>
      <c r="U124" s="687">
        <v>8976712</v>
      </c>
      <c r="V124" s="687">
        <v>64871798</v>
      </c>
      <c r="W124" s="687">
        <v>47887202</v>
      </c>
      <c r="X124" s="730">
        <f t="shared" si="77"/>
        <v>117494.878</v>
      </c>
      <c r="Y124" s="730">
        <f t="shared" si="78"/>
        <v>9353.7339040000006</v>
      </c>
      <c r="Z124" s="730">
        <f t="shared" si="79"/>
        <v>67596.413516000001</v>
      </c>
      <c r="AA124" s="730">
        <f t="shared" si="80"/>
        <v>49898.464483999996</v>
      </c>
      <c r="AG124" s="729" t="s">
        <v>573</v>
      </c>
      <c r="AH124" s="687">
        <v>10000</v>
      </c>
      <c r="AI124" s="687">
        <v>0</v>
      </c>
      <c r="AJ124" s="687">
        <v>0</v>
      </c>
      <c r="AK124" s="687">
        <v>10000</v>
      </c>
      <c r="AL124" s="687">
        <f t="shared" si="82"/>
        <v>10.42</v>
      </c>
      <c r="AM124" s="687">
        <f t="shared" si="83"/>
        <v>0</v>
      </c>
      <c r="AN124" s="687">
        <f t="shared" si="84"/>
        <v>0</v>
      </c>
      <c r="AO124" s="687">
        <f t="shared" si="85"/>
        <v>10.42</v>
      </c>
      <c r="AV124" s="729" t="s">
        <v>572</v>
      </c>
      <c r="AW124" s="687">
        <v>10000</v>
      </c>
      <c r="AX124" s="687">
        <v>0</v>
      </c>
      <c r="AY124" s="687">
        <v>0</v>
      </c>
      <c r="AZ124" s="687">
        <v>10000</v>
      </c>
      <c r="BA124" s="730">
        <f t="shared" si="87"/>
        <v>10.42</v>
      </c>
      <c r="BB124" s="730">
        <f t="shared" si="88"/>
        <v>0</v>
      </c>
      <c r="BC124" s="730">
        <f t="shared" si="89"/>
        <v>0</v>
      </c>
      <c r="BD124" s="730">
        <f t="shared" si="90"/>
        <v>10.42</v>
      </c>
      <c r="BK124" s="754" t="s">
        <v>571</v>
      </c>
      <c r="BL124" s="687">
        <v>10000</v>
      </c>
      <c r="BM124" s="687">
        <v>0</v>
      </c>
      <c r="BN124" s="687">
        <v>0</v>
      </c>
      <c r="BO124" s="687">
        <v>10000</v>
      </c>
      <c r="BP124" s="687">
        <f t="shared" si="92"/>
        <v>10.42</v>
      </c>
      <c r="BQ124" s="687">
        <f t="shared" si="93"/>
        <v>0</v>
      </c>
      <c r="BR124" s="687">
        <f t="shared" si="94"/>
        <v>0</v>
      </c>
      <c r="BS124" s="755">
        <f t="shared" si="95"/>
        <v>10.42</v>
      </c>
      <c r="BZ124" s="729" t="s">
        <v>571</v>
      </c>
      <c r="CA124" s="687">
        <v>10000</v>
      </c>
      <c r="CB124" s="687">
        <v>0</v>
      </c>
      <c r="CC124" s="687">
        <v>0</v>
      </c>
      <c r="CD124" s="687">
        <v>10000</v>
      </c>
      <c r="CE124" s="687">
        <f t="shared" si="97"/>
        <v>10.42</v>
      </c>
      <c r="CF124" s="687">
        <f t="shared" si="98"/>
        <v>0</v>
      </c>
      <c r="CG124" s="687">
        <f t="shared" si="99"/>
        <v>0</v>
      </c>
      <c r="CH124" s="687">
        <f t="shared" si="100"/>
        <v>10.42</v>
      </c>
      <c r="CP124" s="731" t="s">
        <v>572</v>
      </c>
      <c r="CQ124" s="730">
        <v>204972000</v>
      </c>
      <c r="CR124" s="730">
        <v>204961523</v>
      </c>
      <c r="CS124" s="730">
        <v>204961523</v>
      </c>
      <c r="CT124" s="730">
        <v>10477</v>
      </c>
      <c r="CU124" s="730">
        <f t="shared" si="131"/>
        <v>213580.82399999999</v>
      </c>
      <c r="CV124" s="730">
        <f t="shared" si="132"/>
        <v>213569.90696599998</v>
      </c>
      <c r="CW124" s="730">
        <f t="shared" si="133"/>
        <v>213569.90696599998</v>
      </c>
      <c r="CX124" s="730">
        <f t="shared" si="134"/>
        <v>10.917034000000001</v>
      </c>
      <c r="DE124" s="729" t="s">
        <v>571</v>
      </c>
      <c r="DF124" s="687">
        <v>204972000</v>
      </c>
      <c r="DG124" s="687">
        <v>204961523</v>
      </c>
      <c r="DH124" s="687">
        <v>204961523</v>
      </c>
      <c r="DI124" s="687">
        <v>10477</v>
      </c>
      <c r="DJ124" s="730">
        <f t="shared" si="103"/>
        <v>213580.82399999999</v>
      </c>
      <c r="DK124" s="730">
        <f t="shared" si="104"/>
        <v>213569.90696599998</v>
      </c>
      <c r="DL124" s="730">
        <f t="shared" si="105"/>
        <v>213569.90696599998</v>
      </c>
      <c r="DM124" s="730">
        <f t="shared" si="106"/>
        <v>10.917034000000001</v>
      </c>
      <c r="DT124" s="729" t="s">
        <v>571</v>
      </c>
      <c r="DU124" s="687">
        <v>204972000</v>
      </c>
      <c r="DV124" s="687">
        <v>204961523</v>
      </c>
      <c r="DW124" s="687">
        <v>204961523</v>
      </c>
      <c r="DX124" s="687">
        <v>10477</v>
      </c>
      <c r="DY124" s="730">
        <f t="shared" si="108"/>
        <v>204972</v>
      </c>
      <c r="DZ124" s="730">
        <f t="shared" si="109"/>
        <v>204961.52299999999</v>
      </c>
      <c r="EA124" s="730">
        <f t="shared" si="110"/>
        <v>204961.52299999999</v>
      </c>
      <c r="EB124" s="730">
        <f t="shared" si="111"/>
        <v>10.477</v>
      </c>
      <c r="EI124" s="731" t="s">
        <v>569</v>
      </c>
      <c r="EJ124" s="730">
        <v>10463245</v>
      </c>
      <c r="EK124" s="730">
        <v>8638715</v>
      </c>
      <c r="EL124" s="730">
        <v>8630810</v>
      </c>
      <c r="EM124" s="734">
        <f t="shared" si="113"/>
        <v>10463.245000000001</v>
      </c>
      <c r="EN124" s="734">
        <f t="shared" si="114"/>
        <v>8638.7150000000001</v>
      </c>
      <c r="EO124" s="734">
        <f t="shared" si="115"/>
        <v>8630.81</v>
      </c>
      <c r="EW124" s="729" t="s">
        <v>394</v>
      </c>
      <c r="EX124" s="687">
        <v>0</v>
      </c>
      <c r="EY124" s="687">
        <v>200901</v>
      </c>
      <c r="EZ124" s="687">
        <v>200901</v>
      </c>
      <c r="FA124" s="687">
        <v>200901</v>
      </c>
      <c r="FB124" s="687">
        <v>0</v>
      </c>
      <c r="FC124" s="730">
        <f t="shared" si="135"/>
        <v>0</v>
      </c>
      <c r="FD124" s="730">
        <f t="shared" si="136"/>
        <v>200.90100000000001</v>
      </c>
      <c r="FE124" s="730">
        <f t="shared" si="137"/>
        <v>200.90100000000001</v>
      </c>
      <c r="FF124" s="730">
        <f t="shared" si="138"/>
        <v>200.90100000000001</v>
      </c>
      <c r="FG124" s="730">
        <f t="shared" si="139"/>
        <v>0</v>
      </c>
      <c r="FJ124" s="731" t="s">
        <v>873</v>
      </c>
      <c r="FK124" s="730">
        <v>618892416</v>
      </c>
      <c r="FL124" s="734">
        <f t="shared" si="122"/>
        <v>618892.41599999997</v>
      </c>
      <c r="FN124" s="735" t="s">
        <v>569</v>
      </c>
      <c r="FO124" s="736">
        <v>17690188</v>
      </c>
      <c r="FP124" s="736">
        <v>17511632</v>
      </c>
      <c r="FQ124" s="736">
        <v>17584522</v>
      </c>
      <c r="FR124" s="736">
        <f t="shared" si="123"/>
        <v>17690.187999999998</v>
      </c>
      <c r="FS124" s="736">
        <f t="shared" si="124"/>
        <v>17511.632000000001</v>
      </c>
      <c r="FT124" s="736">
        <f t="shared" si="125"/>
        <v>17584.522000000001</v>
      </c>
    </row>
    <row r="125" spans="1:176" ht="15" customHeight="1" x14ac:dyDescent="0.25">
      <c r="A125" s="728" t="s">
        <v>880</v>
      </c>
      <c r="B125" s="729" t="s">
        <v>574</v>
      </c>
      <c r="C125" s="687">
        <v>10000</v>
      </c>
      <c r="D125" s="687">
        <v>10000</v>
      </c>
      <c r="E125" s="687">
        <v>0</v>
      </c>
      <c r="F125" s="687">
        <v>10000</v>
      </c>
      <c r="G125" s="687">
        <v>0</v>
      </c>
      <c r="H125" s="730">
        <f t="shared" si="72"/>
        <v>10.42</v>
      </c>
      <c r="I125" s="730">
        <f t="shared" si="73"/>
        <v>0</v>
      </c>
      <c r="J125" s="730">
        <f t="shared" si="74"/>
        <v>10.42</v>
      </c>
      <c r="K125" s="730">
        <f t="shared" si="75"/>
        <v>0</v>
      </c>
      <c r="S125" s="729" t="s">
        <v>396</v>
      </c>
      <c r="T125" s="687">
        <v>112759000</v>
      </c>
      <c r="U125" s="687">
        <v>8976712</v>
      </c>
      <c r="V125" s="687">
        <v>64871798</v>
      </c>
      <c r="W125" s="687">
        <v>47887202</v>
      </c>
      <c r="X125" s="730">
        <f t="shared" si="77"/>
        <v>117494.878</v>
      </c>
      <c r="Y125" s="730">
        <f t="shared" si="78"/>
        <v>9353.7339040000006</v>
      </c>
      <c r="Z125" s="730">
        <f t="shared" si="79"/>
        <v>67596.413516000001</v>
      </c>
      <c r="AA125" s="730">
        <f t="shared" si="80"/>
        <v>49898.464483999996</v>
      </c>
      <c r="AG125" s="732" t="s">
        <v>395</v>
      </c>
      <c r="AH125" s="687">
        <v>1554851000</v>
      </c>
      <c r="AI125" s="687">
        <v>16735114</v>
      </c>
      <c r="AJ125" s="687">
        <v>64871798</v>
      </c>
      <c r="AK125" s="687">
        <v>1489979202</v>
      </c>
      <c r="AL125" s="733">
        <f t="shared" si="82"/>
        <v>1620154.7420000001</v>
      </c>
      <c r="AM125" s="733">
        <f t="shared" si="83"/>
        <v>17437.988788000002</v>
      </c>
      <c r="AN125" s="733">
        <f t="shared" si="84"/>
        <v>67596.413516000001</v>
      </c>
      <c r="AO125" s="733">
        <f t="shared" si="85"/>
        <v>1552558.3284840002</v>
      </c>
      <c r="AV125" s="729" t="s">
        <v>573</v>
      </c>
      <c r="AW125" s="687">
        <v>10000</v>
      </c>
      <c r="AX125" s="687">
        <v>0</v>
      </c>
      <c r="AY125" s="687">
        <v>0</v>
      </c>
      <c r="AZ125" s="687">
        <v>10000</v>
      </c>
      <c r="BA125" s="730">
        <f t="shared" si="87"/>
        <v>10.42</v>
      </c>
      <c r="BB125" s="730">
        <f t="shared" si="88"/>
        <v>0</v>
      </c>
      <c r="BC125" s="730">
        <f t="shared" si="89"/>
        <v>0</v>
      </c>
      <c r="BD125" s="730">
        <f t="shared" si="90"/>
        <v>10.42</v>
      </c>
      <c r="BK125" s="754" t="s">
        <v>572</v>
      </c>
      <c r="BL125" s="687">
        <v>10000</v>
      </c>
      <c r="BM125" s="687">
        <v>0</v>
      </c>
      <c r="BN125" s="687">
        <v>0</v>
      </c>
      <c r="BO125" s="687">
        <v>10000</v>
      </c>
      <c r="BP125" s="687">
        <f t="shared" si="92"/>
        <v>10.42</v>
      </c>
      <c r="BQ125" s="687">
        <f t="shared" si="93"/>
        <v>0</v>
      </c>
      <c r="BR125" s="687">
        <f t="shared" si="94"/>
        <v>0</v>
      </c>
      <c r="BS125" s="755">
        <f t="shared" si="95"/>
        <v>10.42</v>
      </c>
      <c r="BZ125" s="729" t="s">
        <v>572</v>
      </c>
      <c r="CA125" s="687">
        <v>10000</v>
      </c>
      <c r="CB125" s="687">
        <v>0</v>
      </c>
      <c r="CC125" s="687">
        <v>0</v>
      </c>
      <c r="CD125" s="687">
        <v>10000</v>
      </c>
      <c r="CE125" s="687">
        <f t="shared" si="97"/>
        <v>10.42</v>
      </c>
      <c r="CF125" s="687">
        <f t="shared" si="98"/>
        <v>0</v>
      </c>
      <c r="CG125" s="687">
        <f t="shared" si="99"/>
        <v>0</v>
      </c>
      <c r="CH125" s="687">
        <f t="shared" si="100"/>
        <v>10.42</v>
      </c>
      <c r="CP125" s="731" t="s">
        <v>573</v>
      </c>
      <c r="CQ125" s="730">
        <v>204972000</v>
      </c>
      <c r="CR125" s="730">
        <v>204961523</v>
      </c>
      <c r="CS125" s="730">
        <v>204961523</v>
      </c>
      <c r="CT125" s="730">
        <v>10477</v>
      </c>
      <c r="CU125" s="730">
        <f t="shared" si="131"/>
        <v>213580.82399999999</v>
      </c>
      <c r="CV125" s="730">
        <f t="shared" si="132"/>
        <v>213569.90696599998</v>
      </c>
      <c r="CW125" s="730">
        <f t="shared" si="133"/>
        <v>213569.90696599998</v>
      </c>
      <c r="CX125" s="730">
        <f t="shared" si="134"/>
        <v>10.917034000000001</v>
      </c>
      <c r="DE125" s="729" t="s">
        <v>572</v>
      </c>
      <c r="DF125" s="687">
        <v>204972000</v>
      </c>
      <c r="DG125" s="687">
        <v>204961523</v>
      </c>
      <c r="DH125" s="687">
        <v>204961523</v>
      </c>
      <c r="DI125" s="687">
        <v>10477</v>
      </c>
      <c r="DJ125" s="730">
        <f t="shared" si="103"/>
        <v>213580.82399999999</v>
      </c>
      <c r="DK125" s="730">
        <f t="shared" si="104"/>
        <v>213569.90696599998</v>
      </c>
      <c r="DL125" s="730">
        <f t="shared" si="105"/>
        <v>213569.90696599998</v>
      </c>
      <c r="DM125" s="730">
        <f t="shared" si="106"/>
        <v>10.917034000000001</v>
      </c>
      <c r="DT125" s="729" t="s">
        <v>572</v>
      </c>
      <c r="DU125" s="687">
        <v>204972000</v>
      </c>
      <c r="DV125" s="687">
        <v>204961523</v>
      </c>
      <c r="DW125" s="687">
        <v>204961523</v>
      </c>
      <c r="DX125" s="687">
        <v>10477</v>
      </c>
      <c r="DY125" s="730">
        <f t="shared" si="108"/>
        <v>204972</v>
      </c>
      <c r="DZ125" s="730">
        <f t="shared" si="109"/>
        <v>204961.52299999999</v>
      </c>
      <c r="EA125" s="730">
        <f t="shared" si="110"/>
        <v>204961.52299999999</v>
      </c>
      <c r="EB125" s="730">
        <f t="shared" si="111"/>
        <v>10.477</v>
      </c>
      <c r="EI125" s="731" t="s">
        <v>393</v>
      </c>
      <c r="EJ125" s="730">
        <v>10177856</v>
      </c>
      <c r="EK125" s="730">
        <v>8437814</v>
      </c>
      <c r="EL125" s="730">
        <v>8429909</v>
      </c>
      <c r="EM125" s="734">
        <f t="shared" si="113"/>
        <v>10177.856</v>
      </c>
      <c r="EN125" s="734">
        <f t="shared" si="114"/>
        <v>8437.8140000000003</v>
      </c>
      <c r="EO125" s="734">
        <f t="shared" si="115"/>
        <v>8429.9089999999997</v>
      </c>
      <c r="EW125" s="729" t="s">
        <v>571</v>
      </c>
      <c r="EX125" s="687">
        <v>204972000</v>
      </c>
      <c r="EY125" s="687">
        <v>204972000</v>
      </c>
      <c r="EZ125" s="687">
        <v>204961523</v>
      </c>
      <c r="FA125" s="687">
        <v>204961523</v>
      </c>
      <c r="FB125" s="687">
        <v>10477</v>
      </c>
      <c r="FC125" s="730">
        <f t="shared" si="135"/>
        <v>204972</v>
      </c>
      <c r="FD125" s="730">
        <f t="shared" si="136"/>
        <v>204972</v>
      </c>
      <c r="FE125" s="730">
        <f t="shared" si="137"/>
        <v>204961.52299999999</v>
      </c>
      <c r="FF125" s="730">
        <f t="shared" si="138"/>
        <v>204961.52299999999</v>
      </c>
      <c r="FG125" s="730">
        <f t="shared" si="139"/>
        <v>10.477</v>
      </c>
      <c r="FJ125" s="731" t="s">
        <v>874</v>
      </c>
      <c r="FK125" s="730">
        <v>618892416</v>
      </c>
      <c r="FL125" s="734">
        <f t="shared" si="122"/>
        <v>618892.41599999997</v>
      </c>
      <c r="FN125" s="735" t="s">
        <v>393</v>
      </c>
      <c r="FO125" s="736">
        <v>12285536</v>
      </c>
      <c r="FP125" s="736">
        <v>12212646</v>
      </c>
      <c r="FQ125" s="736">
        <v>12285536</v>
      </c>
      <c r="FR125" s="736">
        <f t="shared" si="123"/>
        <v>12285.536</v>
      </c>
      <c r="FS125" s="736">
        <f t="shared" si="124"/>
        <v>12212.646000000001</v>
      </c>
      <c r="FT125" s="736">
        <f t="shared" si="125"/>
        <v>12285.536</v>
      </c>
    </row>
    <row r="126" spans="1:176" ht="15" customHeight="1" x14ac:dyDescent="0.25">
      <c r="A126" s="728" t="s">
        <v>880</v>
      </c>
      <c r="B126" s="729" t="s">
        <v>499</v>
      </c>
      <c r="C126" s="687">
        <v>112749000</v>
      </c>
      <c r="D126" s="687">
        <v>112749000</v>
      </c>
      <c r="E126" s="687">
        <v>64871798</v>
      </c>
      <c r="F126" s="687">
        <v>47877202</v>
      </c>
      <c r="G126" s="687">
        <v>4940179</v>
      </c>
      <c r="H126" s="730">
        <f t="shared" si="72"/>
        <v>117484.458</v>
      </c>
      <c r="I126" s="730">
        <f t="shared" si="73"/>
        <v>67596.413516000001</v>
      </c>
      <c r="J126" s="730">
        <f t="shared" si="74"/>
        <v>49888.044483999998</v>
      </c>
      <c r="K126" s="730">
        <f t="shared" si="75"/>
        <v>5147.666518</v>
      </c>
      <c r="S126" s="729" t="s">
        <v>574</v>
      </c>
      <c r="T126" s="687">
        <v>10000</v>
      </c>
      <c r="U126" s="687">
        <v>0</v>
      </c>
      <c r="V126" s="687">
        <v>0</v>
      </c>
      <c r="W126" s="687">
        <v>10000</v>
      </c>
      <c r="X126" s="730">
        <f t="shared" si="77"/>
        <v>10.42</v>
      </c>
      <c r="Y126" s="730">
        <f t="shared" si="78"/>
        <v>0</v>
      </c>
      <c r="Z126" s="730">
        <f t="shared" si="79"/>
        <v>0</v>
      </c>
      <c r="AA126" s="730">
        <f t="shared" si="80"/>
        <v>10.42</v>
      </c>
      <c r="AG126" s="729" t="s">
        <v>396</v>
      </c>
      <c r="AH126" s="687">
        <v>717759000</v>
      </c>
      <c r="AI126" s="687">
        <v>16735114</v>
      </c>
      <c r="AJ126" s="687">
        <v>64871798</v>
      </c>
      <c r="AK126" s="687">
        <v>652887202</v>
      </c>
      <c r="AL126" s="687">
        <f t="shared" si="82"/>
        <v>747904.87800000003</v>
      </c>
      <c r="AM126" s="687">
        <f t="shared" si="83"/>
        <v>17437.988788000002</v>
      </c>
      <c r="AN126" s="687">
        <f t="shared" si="84"/>
        <v>67596.413516000001</v>
      </c>
      <c r="AO126" s="687">
        <f t="shared" si="85"/>
        <v>680308.46448400011</v>
      </c>
      <c r="AV126" s="729" t="s">
        <v>395</v>
      </c>
      <c r="AW126" s="687">
        <v>1554851000</v>
      </c>
      <c r="AX126" s="687">
        <v>23046545</v>
      </c>
      <c r="AY126" s="687">
        <v>66227574</v>
      </c>
      <c r="AZ126" s="687">
        <v>1488623426</v>
      </c>
      <c r="BA126" s="730">
        <f t="shared" si="87"/>
        <v>1620154.7420000001</v>
      </c>
      <c r="BB126" s="730">
        <f t="shared" si="88"/>
        <v>24014.499889999999</v>
      </c>
      <c r="BC126" s="730">
        <f t="shared" si="89"/>
        <v>69009.132107999991</v>
      </c>
      <c r="BD126" s="730">
        <f t="shared" si="90"/>
        <v>1551145.609892</v>
      </c>
      <c r="BK126" s="754" t="s">
        <v>573</v>
      </c>
      <c r="BL126" s="687">
        <v>10000</v>
      </c>
      <c r="BM126" s="687">
        <v>0</v>
      </c>
      <c r="BN126" s="687">
        <v>0</v>
      </c>
      <c r="BO126" s="687">
        <v>10000</v>
      </c>
      <c r="BP126" s="687">
        <f t="shared" si="92"/>
        <v>10.42</v>
      </c>
      <c r="BQ126" s="687">
        <f t="shared" si="93"/>
        <v>0</v>
      </c>
      <c r="BR126" s="687">
        <f t="shared" si="94"/>
        <v>0</v>
      </c>
      <c r="BS126" s="755">
        <f t="shared" si="95"/>
        <v>10.42</v>
      </c>
      <c r="BZ126" s="729" t="s">
        <v>573</v>
      </c>
      <c r="CA126" s="687">
        <v>10000</v>
      </c>
      <c r="CB126" s="687">
        <v>0</v>
      </c>
      <c r="CC126" s="687">
        <v>0</v>
      </c>
      <c r="CD126" s="687">
        <v>10000</v>
      </c>
      <c r="CE126" s="687">
        <f t="shared" si="97"/>
        <v>10.42</v>
      </c>
      <c r="CF126" s="687">
        <f t="shared" si="98"/>
        <v>0</v>
      </c>
      <c r="CG126" s="687">
        <f t="shared" si="99"/>
        <v>0</v>
      </c>
      <c r="CH126" s="687">
        <f t="shared" si="100"/>
        <v>10.42</v>
      </c>
      <c r="CP126" s="731" t="s">
        <v>395</v>
      </c>
      <c r="CQ126" s="730">
        <v>1554851000</v>
      </c>
      <c r="CR126" s="730">
        <v>545781268</v>
      </c>
      <c r="CS126" s="730">
        <v>570513562</v>
      </c>
      <c r="CT126" s="730">
        <v>984337438</v>
      </c>
      <c r="CU126" s="730">
        <f t="shared" si="131"/>
        <v>1620154.7420000001</v>
      </c>
      <c r="CV126" s="730">
        <f t="shared" si="132"/>
        <v>568704.08125600009</v>
      </c>
      <c r="CW126" s="730">
        <f t="shared" si="133"/>
        <v>594475.13160400011</v>
      </c>
      <c r="CX126" s="730">
        <f t="shared" si="134"/>
        <v>1025679.610396</v>
      </c>
      <c r="DE126" s="729" t="s">
        <v>573</v>
      </c>
      <c r="DF126" s="687">
        <v>204972000</v>
      </c>
      <c r="DG126" s="687">
        <v>204961523</v>
      </c>
      <c r="DH126" s="687">
        <v>204961523</v>
      </c>
      <c r="DI126" s="687">
        <v>10477</v>
      </c>
      <c r="DJ126" s="730">
        <f t="shared" si="103"/>
        <v>213580.82399999999</v>
      </c>
      <c r="DK126" s="730">
        <f t="shared" si="104"/>
        <v>213569.90696599998</v>
      </c>
      <c r="DL126" s="730">
        <f t="shared" si="105"/>
        <v>213569.90696599998</v>
      </c>
      <c r="DM126" s="730">
        <f t="shared" si="106"/>
        <v>10.917034000000001</v>
      </c>
      <c r="DT126" s="729" t="s">
        <v>573</v>
      </c>
      <c r="DU126" s="687">
        <v>204972000</v>
      </c>
      <c r="DV126" s="687">
        <v>204961523</v>
      </c>
      <c r="DW126" s="687">
        <v>204961523</v>
      </c>
      <c r="DX126" s="687">
        <v>10477</v>
      </c>
      <c r="DY126" s="730">
        <f t="shared" si="108"/>
        <v>204972</v>
      </c>
      <c r="DZ126" s="730">
        <f t="shared" si="109"/>
        <v>204961.52299999999</v>
      </c>
      <c r="EA126" s="730">
        <f t="shared" si="110"/>
        <v>204961.52299999999</v>
      </c>
      <c r="EB126" s="730">
        <f t="shared" si="111"/>
        <v>10.477</v>
      </c>
      <c r="EI126" s="731" t="s">
        <v>394</v>
      </c>
      <c r="EJ126" s="730">
        <v>285389</v>
      </c>
      <c r="EK126" s="730">
        <v>200901</v>
      </c>
      <c r="EL126" s="730">
        <v>200901</v>
      </c>
      <c r="EM126" s="734">
        <f t="shared" si="113"/>
        <v>285.38900000000001</v>
      </c>
      <c r="EN126" s="734">
        <f t="shared" si="114"/>
        <v>200.90100000000001</v>
      </c>
      <c r="EO126" s="734">
        <f t="shared" si="115"/>
        <v>200.90100000000001</v>
      </c>
      <c r="EW126" s="729" t="s">
        <v>572</v>
      </c>
      <c r="EX126" s="687">
        <v>204972000</v>
      </c>
      <c r="EY126" s="687">
        <v>204972000</v>
      </c>
      <c r="EZ126" s="687">
        <v>204961523</v>
      </c>
      <c r="FA126" s="687">
        <v>204961523</v>
      </c>
      <c r="FB126" s="687">
        <v>10477</v>
      </c>
      <c r="FC126" s="730">
        <f t="shared" si="135"/>
        <v>204972</v>
      </c>
      <c r="FD126" s="730">
        <f t="shared" si="136"/>
        <v>204972</v>
      </c>
      <c r="FE126" s="730">
        <f t="shared" si="137"/>
        <v>204961.52299999999</v>
      </c>
      <c r="FF126" s="730">
        <f t="shared" si="138"/>
        <v>204961.52299999999</v>
      </c>
      <c r="FG126" s="730">
        <f t="shared" si="139"/>
        <v>10.477</v>
      </c>
      <c r="FJ126" s="731" t="s">
        <v>875</v>
      </c>
      <c r="FK126" s="730">
        <v>618892416</v>
      </c>
      <c r="FL126" s="734">
        <f t="shared" si="122"/>
        <v>618892.41599999997</v>
      </c>
      <c r="FN126" s="735" t="s">
        <v>394</v>
      </c>
      <c r="FO126" s="736">
        <v>5404652</v>
      </c>
      <c r="FP126" s="736">
        <v>5298986</v>
      </c>
      <c r="FQ126" s="736">
        <v>5298986</v>
      </c>
      <c r="FR126" s="736">
        <f t="shared" si="123"/>
        <v>5404.652</v>
      </c>
      <c r="FS126" s="736">
        <f t="shared" si="124"/>
        <v>5298.9859999999999</v>
      </c>
      <c r="FT126" s="736">
        <f t="shared" si="125"/>
        <v>5298.9859999999999</v>
      </c>
    </row>
    <row r="127" spans="1:176" ht="15" customHeight="1" x14ac:dyDescent="0.25">
      <c r="A127" s="728" t="s">
        <v>428</v>
      </c>
      <c r="B127" s="729" t="s">
        <v>594</v>
      </c>
      <c r="C127" s="687">
        <v>171178000</v>
      </c>
      <c r="D127" s="687">
        <v>171178000</v>
      </c>
      <c r="E127" s="687">
        <v>46361197</v>
      </c>
      <c r="F127" s="687">
        <v>124816803</v>
      </c>
      <c r="G127" s="687">
        <v>46361197</v>
      </c>
      <c r="H127" s="730">
        <f t="shared" si="72"/>
        <v>178367.476</v>
      </c>
      <c r="I127" s="730">
        <f t="shared" si="73"/>
        <v>48308.367274000004</v>
      </c>
      <c r="J127" s="730">
        <f t="shared" si="74"/>
        <v>130059.10872600001</v>
      </c>
      <c r="K127" s="730">
        <f t="shared" si="75"/>
        <v>48308.367274000004</v>
      </c>
      <c r="S127" s="729" t="s">
        <v>499</v>
      </c>
      <c r="T127" s="687">
        <v>112749000</v>
      </c>
      <c r="U127" s="687">
        <v>8976712</v>
      </c>
      <c r="V127" s="687">
        <v>64871798</v>
      </c>
      <c r="W127" s="687">
        <v>47877202</v>
      </c>
      <c r="X127" s="730">
        <f t="shared" si="77"/>
        <v>117484.458</v>
      </c>
      <c r="Y127" s="730">
        <f t="shared" si="78"/>
        <v>9353.7339040000006</v>
      </c>
      <c r="Z127" s="730">
        <f t="shared" si="79"/>
        <v>67596.413516000001</v>
      </c>
      <c r="AA127" s="730">
        <f t="shared" si="80"/>
        <v>49888.044483999998</v>
      </c>
      <c r="AG127" s="729" t="s">
        <v>574</v>
      </c>
      <c r="AH127" s="687">
        <v>10000</v>
      </c>
      <c r="AI127" s="687">
        <v>0</v>
      </c>
      <c r="AJ127" s="687">
        <v>0</v>
      </c>
      <c r="AK127" s="687">
        <v>10000</v>
      </c>
      <c r="AL127" s="687">
        <f t="shared" si="82"/>
        <v>10.42</v>
      </c>
      <c r="AM127" s="687">
        <f t="shared" si="83"/>
        <v>0</v>
      </c>
      <c r="AN127" s="687">
        <f t="shared" si="84"/>
        <v>0</v>
      </c>
      <c r="AO127" s="687">
        <f t="shared" si="85"/>
        <v>10.42</v>
      </c>
      <c r="AV127" s="729" t="s">
        <v>396</v>
      </c>
      <c r="AW127" s="687">
        <v>717759000</v>
      </c>
      <c r="AX127" s="687">
        <v>23046545</v>
      </c>
      <c r="AY127" s="687">
        <v>66227574</v>
      </c>
      <c r="AZ127" s="687">
        <v>651531426</v>
      </c>
      <c r="BA127" s="730">
        <f t="shared" si="87"/>
        <v>747904.87800000003</v>
      </c>
      <c r="BB127" s="730">
        <f t="shared" si="88"/>
        <v>24014.499889999999</v>
      </c>
      <c r="BC127" s="730">
        <f t="shared" si="89"/>
        <v>69009.132107999991</v>
      </c>
      <c r="BD127" s="730">
        <f t="shared" si="90"/>
        <v>678895.74589200004</v>
      </c>
      <c r="BK127" s="754" t="s">
        <v>395</v>
      </c>
      <c r="BL127" s="687">
        <v>1554851000</v>
      </c>
      <c r="BM127" s="687">
        <v>28393586</v>
      </c>
      <c r="BN127" s="687">
        <v>66227574</v>
      </c>
      <c r="BO127" s="687">
        <v>1488623426</v>
      </c>
      <c r="BP127" s="687">
        <f t="shared" si="92"/>
        <v>1620154.7420000001</v>
      </c>
      <c r="BQ127" s="687">
        <f t="shared" si="93"/>
        <v>29586.116612000002</v>
      </c>
      <c r="BR127" s="687">
        <f t="shared" si="94"/>
        <v>69009.132107999991</v>
      </c>
      <c r="BS127" s="755">
        <f t="shared" si="95"/>
        <v>1551145.609892</v>
      </c>
      <c r="BZ127" s="729" t="s">
        <v>395</v>
      </c>
      <c r="CA127" s="687">
        <v>1554851000</v>
      </c>
      <c r="CB127" s="687">
        <v>294181869</v>
      </c>
      <c r="CC127" s="687">
        <v>326227574</v>
      </c>
      <c r="CD127" s="687">
        <v>1228623426</v>
      </c>
      <c r="CE127" s="687">
        <f t="shared" si="97"/>
        <v>1620154.7420000001</v>
      </c>
      <c r="CF127" s="687">
        <f t="shared" si="98"/>
        <v>306537.50749799999</v>
      </c>
      <c r="CG127" s="687">
        <f t="shared" si="99"/>
        <v>339929.13210800005</v>
      </c>
      <c r="CH127" s="687">
        <f t="shared" si="100"/>
        <v>1280225.609892</v>
      </c>
      <c r="CP127" s="731" t="s">
        <v>396</v>
      </c>
      <c r="CQ127" s="730">
        <v>717759000</v>
      </c>
      <c r="CR127" s="730">
        <v>41495280</v>
      </c>
      <c r="CS127" s="730">
        <v>66227574</v>
      </c>
      <c r="CT127" s="730">
        <v>651531426</v>
      </c>
      <c r="CU127" s="730">
        <f t="shared" si="131"/>
        <v>747904.87800000003</v>
      </c>
      <c r="CV127" s="730">
        <f t="shared" si="132"/>
        <v>43238.081760000001</v>
      </c>
      <c r="CW127" s="730">
        <f t="shared" si="133"/>
        <v>69009.132107999991</v>
      </c>
      <c r="CX127" s="730">
        <f t="shared" si="134"/>
        <v>678895.74589200004</v>
      </c>
      <c r="DE127" s="729" t="s">
        <v>395</v>
      </c>
      <c r="DF127" s="687">
        <v>1554851000</v>
      </c>
      <c r="DG127" s="687">
        <v>952059609</v>
      </c>
      <c r="DH127" s="687">
        <v>970513270</v>
      </c>
      <c r="DI127" s="687">
        <v>584337730</v>
      </c>
      <c r="DJ127" s="730">
        <f t="shared" si="103"/>
        <v>1620154.7420000001</v>
      </c>
      <c r="DK127" s="730">
        <f t="shared" si="104"/>
        <v>992046.11257800006</v>
      </c>
      <c r="DL127" s="730">
        <f t="shared" si="105"/>
        <v>1011274.8273400001</v>
      </c>
      <c r="DM127" s="730">
        <f t="shared" si="106"/>
        <v>608879.91466000001</v>
      </c>
      <c r="DT127" s="729" t="s">
        <v>395</v>
      </c>
      <c r="DU127" s="687">
        <v>1774851000</v>
      </c>
      <c r="DV127" s="687">
        <v>958291674</v>
      </c>
      <c r="DW127" s="687">
        <v>992080603</v>
      </c>
      <c r="DX127" s="687">
        <v>782770397</v>
      </c>
      <c r="DY127" s="730">
        <f t="shared" si="108"/>
        <v>1774851</v>
      </c>
      <c r="DZ127" s="730">
        <f t="shared" si="109"/>
        <v>958291.674</v>
      </c>
      <c r="EA127" s="730">
        <f t="shared" si="110"/>
        <v>992080.603</v>
      </c>
      <c r="EB127" s="730">
        <f t="shared" si="111"/>
        <v>782770.397</v>
      </c>
      <c r="EI127" s="731" t="s">
        <v>571</v>
      </c>
      <c r="EJ127" s="730">
        <v>204972000</v>
      </c>
      <c r="EK127" s="730">
        <v>204961523</v>
      </c>
      <c r="EL127" s="730">
        <v>204961523</v>
      </c>
      <c r="EM127" s="734">
        <f t="shared" si="113"/>
        <v>204972</v>
      </c>
      <c r="EN127" s="734">
        <f t="shared" si="114"/>
        <v>204961.52299999999</v>
      </c>
      <c r="EO127" s="734">
        <f t="shared" si="115"/>
        <v>204961.52299999999</v>
      </c>
      <c r="EW127" s="729" t="s">
        <v>573</v>
      </c>
      <c r="EX127" s="687">
        <v>0</v>
      </c>
      <c r="EY127" s="687">
        <v>204972000</v>
      </c>
      <c r="EZ127" s="687">
        <v>204961523</v>
      </c>
      <c r="FA127" s="687">
        <v>204961523</v>
      </c>
      <c r="FB127" s="687">
        <v>10477</v>
      </c>
      <c r="FC127" s="730">
        <f t="shared" si="135"/>
        <v>0</v>
      </c>
      <c r="FD127" s="730">
        <f t="shared" si="136"/>
        <v>204972</v>
      </c>
      <c r="FE127" s="730">
        <f t="shared" si="137"/>
        <v>204961.52299999999</v>
      </c>
      <c r="FF127" s="730">
        <f t="shared" si="138"/>
        <v>204961.52299999999</v>
      </c>
      <c r="FG127" s="730">
        <f t="shared" si="139"/>
        <v>10.477</v>
      </c>
      <c r="FK127" s="730">
        <f>SUM(FK3:FK126)</f>
        <v>16773691789</v>
      </c>
      <c r="FN127" s="735" t="s">
        <v>571</v>
      </c>
      <c r="FO127" s="736">
        <v>585380000</v>
      </c>
      <c r="FP127" s="736">
        <v>585116303</v>
      </c>
      <c r="FQ127" s="736">
        <v>585370519</v>
      </c>
      <c r="FR127" s="736">
        <f t="shared" si="123"/>
        <v>585380</v>
      </c>
      <c r="FS127" s="736">
        <f t="shared" si="124"/>
        <v>585116.30299999996</v>
      </c>
      <c r="FT127" s="736">
        <f t="shared" si="125"/>
        <v>585370.51899999997</v>
      </c>
    </row>
    <row r="128" spans="1:176" ht="15" customHeight="1" x14ac:dyDescent="0.25">
      <c r="A128" s="728" t="s">
        <v>879</v>
      </c>
      <c r="B128" s="729" t="s">
        <v>595</v>
      </c>
      <c r="C128" s="687">
        <v>171178000</v>
      </c>
      <c r="D128" s="687">
        <v>171178000</v>
      </c>
      <c r="E128" s="687">
        <v>46361197</v>
      </c>
      <c r="F128" s="687">
        <v>124816803</v>
      </c>
      <c r="G128" s="687">
        <v>46361197</v>
      </c>
      <c r="H128" s="730">
        <f t="shared" si="72"/>
        <v>178367.476</v>
      </c>
      <c r="I128" s="730">
        <f t="shared" si="73"/>
        <v>48308.367274000004</v>
      </c>
      <c r="J128" s="730">
        <f t="shared" si="74"/>
        <v>130059.10872600001</v>
      </c>
      <c r="K128" s="730">
        <f t="shared" si="75"/>
        <v>48308.367274000004</v>
      </c>
      <c r="S128" s="729" t="s">
        <v>594</v>
      </c>
      <c r="T128" s="687">
        <v>171178000</v>
      </c>
      <c r="U128" s="687">
        <v>60578302</v>
      </c>
      <c r="V128" s="687">
        <v>60578302</v>
      </c>
      <c r="W128" s="687">
        <v>110599698</v>
      </c>
      <c r="X128" s="730">
        <f t="shared" si="77"/>
        <v>178367.476</v>
      </c>
      <c r="Y128" s="730">
        <f t="shared" si="78"/>
        <v>63122.590684000003</v>
      </c>
      <c r="Z128" s="730">
        <f t="shared" si="79"/>
        <v>63122.590684000003</v>
      </c>
      <c r="AA128" s="730">
        <f t="shared" si="80"/>
        <v>115244.88531600001</v>
      </c>
      <c r="AG128" s="729" t="s">
        <v>860</v>
      </c>
      <c r="AH128" s="687">
        <v>150000000</v>
      </c>
      <c r="AI128" s="687">
        <v>0</v>
      </c>
      <c r="AJ128" s="687">
        <v>0</v>
      </c>
      <c r="AK128" s="687">
        <v>150000000</v>
      </c>
      <c r="AL128" s="687">
        <f t="shared" si="82"/>
        <v>156300</v>
      </c>
      <c r="AM128" s="687">
        <f t="shared" si="83"/>
        <v>0</v>
      </c>
      <c r="AN128" s="687">
        <f t="shared" si="84"/>
        <v>0</v>
      </c>
      <c r="AO128" s="687">
        <f t="shared" si="85"/>
        <v>156300</v>
      </c>
      <c r="AV128" s="729" t="s">
        <v>574</v>
      </c>
      <c r="AW128" s="687">
        <v>10000</v>
      </c>
      <c r="AX128" s="687">
        <v>0</v>
      </c>
      <c r="AY128" s="687">
        <v>0</v>
      </c>
      <c r="AZ128" s="687">
        <v>10000</v>
      </c>
      <c r="BA128" s="730">
        <f t="shared" si="87"/>
        <v>10.42</v>
      </c>
      <c r="BB128" s="730">
        <f t="shared" si="88"/>
        <v>0</v>
      </c>
      <c r="BC128" s="730">
        <f t="shared" si="89"/>
        <v>0</v>
      </c>
      <c r="BD128" s="730">
        <f t="shared" si="90"/>
        <v>10.42</v>
      </c>
      <c r="BK128" s="754" t="s">
        <v>396</v>
      </c>
      <c r="BL128" s="687">
        <v>717759000</v>
      </c>
      <c r="BM128" s="687">
        <v>28393586</v>
      </c>
      <c r="BN128" s="687">
        <v>66227574</v>
      </c>
      <c r="BO128" s="687">
        <v>651531426</v>
      </c>
      <c r="BP128" s="687">
        <f t="shared" si="92"/>
        <v>747904.87800000003</v>
      </c>
      <c r="BQ128" s="687">
        <f t="shared" si="93"/>
        <v>29586.116612000002</v>
      </c>
      <c r="BR128" s="687">
        <f t="shared" si="94"/>
        <v>69009.132107999991</v>
      </c>
      <c r="BS128" s="755">
        <f t="shared" si="95"/>
        <v>678895.74589200004</v>
      </c>
      <c r="BZ128" s="729" t="s">
        <v>396</v>
      </c>
      <c r="CA128" s="687">
        <v>717759000</v>
      </c>
      <c r="CB128" s="687">
        <v>34181869</v>
      </c>
      <c r="CC128" s="687">
        <v>66227574</v>
      </c>
      <c r="CD128" s="687">
        <v>651531426</v>
      </c>
      <c r="CE128" s="687">
        <f t="shared" si="97"/>
        <v>747904.87800000003</v>
      </c>
      <c r="CF128" s="687">
        <f t="shared" si="98"/>
        <v>35617.507497999999</v>
      </c>
      <c r="CG128" s="687">
        <f t="shared" si="99"/>
        <v>69009.132107999991</v>
      </c>
      <c r="CH128" s="687">
        <f t="shared" si="100"/>
        <v>678895.74589200004</v>
      </c>
      <c r="CP128" s="731" t="s">
        <v>574</v>
      </c>
      <c r="CQ128" s="730">
        <v>10000</v>
      </c>
      <c r="CR128" s="730">
        <v>0</v>
      </c>
      <c r="CS128" s="730">
        <v>0</v>
      </c>
      <c r="CT128" s="730">
        <v>10000</v>
      </c>
      <c r="CU128" s="730">
        <f t="shared" si="131"/>
        <v>10.42</v>
      </c>
      <c r="CV128" s="730">
        <f t="shared" si="132"/>
        <v>0</v>
      </c>
      <c r="CW128" s="730">
        <f t="shared" si="133"/>
        <v>0</v>
      </c>
      <c r="CX128" s="730">
        <f t="shared" si="134"/>
        <v>10.42</v>
      </c>
      <c r="DE128" s="729" t="s">
        <v>396</v>
      </c>
      <c r="DF128" s="687">
        <v>717759000</v>
      </c>
      <c r="DG128" s="687">
        <v>447773621</v>
      </c>
      <c r="DH128" s="687">
        <v>466227282</v>
      </c>
      <c r="DI128" s="687">
        <v>251531718</v>
      </c>
      <c r="DJ128" s="730">
        <f t="shared" si="103"/>
        <v>747904.87800000003</v>
      </c>
      <c r="DK128" s="730">
        <f t="shared" si="104"/>
        <v>466580.113082</v>
      </c>
      <c r="DL128" s="730">
        <f t="shared" si="105"/>
        <v>485808.82784400001</v>
      </c>
      <c r="DM128" s="730">
        <f t="shared" si="106"/>
        <v>262096.05015600001</v>
      </c>
      <c r="DT128" s="729" t="s">
        <v>396</v>
      </c>
      <c r="DU128" s="687">
        <v>717759000</v>
      </c>
      <c r="DV128" s="687">
        <v>454005686</v>
      </c>
      <c r="DW128" s="687">
        <v>487794615</v>
      </c>
      <c r="DX128" s="687">
        <v>229964385</v>
      </c>
      <c r="DY128" s="730">
        <f t="shared" si="108"/>
        <v>717759</v>
      </c>
      <c r="DZ128" s="730">
        <f t="shared" si="109"/>
        <v>454005.68599999999</v>
      </c>
      <c r="EA128" s="730">
        <f t="shared" si="110"/>
        <v>487794.61499999999</v>
      </c>
      <c r="EB128" s="730">
        <f t="shared" si="111"/>
        <v>229964.38500000001</v>
      </c>
      <c r="EI128" s="731" t="s">
        <v>572</v>
      </c>
      <c r="EJ128" s="730">
        <v>204972000</v>
      </c>
      <c r="EK128" s="730">
        <v>204961523</v>
      </c>
      <c r="EL128" s="730">
        <v>204961523</v>
      </c>
      <c r="EM128" s="734">
        <f t="shared" si="113"/>
        <v>204972</v>
      </c>
      <c r="EN128" s="734">
        <f t="shared" si="114"/>
        <v>204961.52299999999</v>
      </c>
      <c r="EO128" s="734">
        <f t="shared" si="115"/>
        <v>204961.52299999999</v>
      </c>
      <c r="EW128" s="729" t="s">
        <v>395</v>
      </c>
      <c r="EX128" s="687">
        <v>1774851000</v>
      </c>
      <c r="EY128" s="687">
        <v>1774851000</v>
      </c>
      <c r="EZ128" s="687">
        <v>976081076</v>
      </c>
      <c r="FA128" s="687">
        <v>1044813219</v>
      </c>
      <c r="FB128" s="687">
        <v>730037781</v>
      </c>
      <c r="FC128" s="730">
        <f t="shared" si="135"/>
        <v>1774851</v>
      </c>
      <c r="FD128" s="730">
        <f t="shared" si="136"/>
        <v>1774851</v>
      </c>
      <c r="FE128" s="730">
        <f t="shared" si="137"/>
        <v>976081.076</v>
      </c>
      <c r="FF128" s="730">
        <f t="shared" si="138"/>
        <v>1044813.219</v>
      </c>
      <c r="FG128" s="730">
        <f t="shared" si="139"/>
        <v>730037.78099999996</v>
      </c>
      <c r="FN128" s="735" t="s">
        <v>572</v>
      </c>
      <c r="FO128" s="736">
        <v>585380000</v>
      </c>
      <c r="FP128" s="736">
        <v>585116303</v>
      </c>
      <c r="FQ128" s="736">
        <v>585370519</v>
      </c>
      <c r="FR128" s="736">
        <f t="shared" si="123"/>
        <v>585380</v>
      </c>
      <c r="FS128" s="736">
        <f t="shared" si="124"/>
        <v>585116.30299999996</v>
      </c>
      <c r="FT128" s="736">
        <f t="shared" si="125"/>
        <v>585370.51899999997</v>
      </c>
    </row>
    <row r="129" spans="1:176" ht="15" customHeight="1" x14ac:dyDescent="0.25">
      <c r="A129" s="728" t="s">
        <v>880</v>
      </c>
      <c r="B129" s="729" t="s">
        <v>844</v>
      </c>
      <c r="C129" s="687">
        <v>0</v>
      </c>
      <c r="D129" s="687">
        <v>71000000</v>
      </c>
      <c r="E129" s="687">
        <v>46361197</v>
      </c>
      <c r="F129" s="687">
        <v>24638803</v>
      </c>
      <c r="G129" s="687">
        <v>46361197</v>
      </c>
      <c r="H129" s="730">
        <f t="shared" si="72"/>
        <v>73982</v>
      </c>
      <c r="I129" s="730">
        <f t="shared" si="73"/>
        <v>48308.367274000004</v>
      </c>
      <c r="J129" s="730">
        <f t="shared" si="74"/>
        <v>25673.632726</v>
      </c>
      <c r="K129" s="730">
        <f t="shared" si="75"/>
        <v>48308.367274000004</v>
      </c>
      <c r="S129" s="729" t="s">
        <v>595</v>
      </c>
      <c r="T129" s="687">
        <v>171178000</v>
      </c>
      <c r="U129" s="687">
        <v>60578302</v>
      </c>
      <c r="V129" s="687">
        <v>60578302</v>
      </c>
      <c r="W129" s="687">
        <v>110599698</v>
      </c>
      <c r="X129" s="730">
        <f t="shared" si="77"/>
        <v>178367.476</v>
      </c>
      <c r="Y129" s="730">
        <f t="shared" si="78"/>
        <v>63122.590684000003</v>
      </c>
      <c r="Z129" s="730">
        <f t="shared" si="79"/>
        <v>63122.590684000003</v>
      </c>
      <c r="AA129" s="730">
        <f t="shared" si="80"/>
        <v>115244.88531600001</v>
      </c>
      <c r="AG129" s="729" t="s">
        <v>903</v>
      </c>
      <c r="AH129" s="687">
        <v>55000000</v>
      </c>
      <c r="AI129" s="687">
        <v>0</v>
      </c>
      <c r="AJ129" s="687">
        <v>0</v>
      </c>
      <c r="AK129" s="687">
        <v>55000000</v>
      </c>
      <c r="AL129" s="687">
        <f t="shared" si="82"/>
        <v>57310</v>
      </c>
      <c r="AM129" s="687">
        <f t="shared" si="83"/>
        <v>0</v>
      </c>
      <c r="AN129" s="687">
        <f t="shared" si="84"/>
        <v>0</v>
      </c>
      <c r="AO129" s="687">
        <f t="shared" si="85"/>
        <v>57310</v>
      </c>
      <c r="AV129" s="729" t="s">
        <v>860</v>
      </c>
      <c r="AW129" s="687">
        <v>150000000</v>
      </c>
      <c r="AX129" s="687">
        <v>0</v>
      </c>
      <c r="AY129" s="687">
        <v>0</v>
      </c>
      <c r="AZ129" s="687">
        <v>150000000</v>
      </c>
      <c r="BA129" s="730">
        <f t="shared" si="87"/>
        <v>156300</v>
      </c>
      <c r="BB129" s="730">
        <f t="shared" si="88"/>
        <v>0</v>
      </c>
      <c r="BC129" s="730">
        <f t="shared" si="89"/>
        <v>0</v>
      </c>
      <c r="BD129" s="730">
        <f t="shared" si="90"/>
        <v>156300</v>
      </c>
      <c r="BK129" s="754" t="s">
        <v>574</v>
      </c>
      <c r="BL129" s="687">
        <v>10000</v>
      </c>
      <c r="BM129" s="687">
        <v>0</v>
      </c>
      <c r="BN129" s="687">
        <v>0</v>
      </c>
      <c r="BO129" s="687">
        <v>10000</v>
      </c>
      <c r="BP129" s="687">
        <f t="shared" si="92"/>
        <v>10.42</v>
      </c>
      <c r="BQ129" s="687">
        <f t="shared" si="93"/>
        <v>0</v>
      </c>
      <c r="BR129" s="687">
        <f t="shared" si="94"/>
        <v>0</v>
      </c>
      <c r="BS129" s="755">
        <f t="shared" si="95"/>
        <v>10.42</v>
      </c>
      <c r="BZ129" s="729" t="s">
        <v>574</v>
      </c>
      <c r="CA129" s="687">
        <v>10000</v>
      </c>
      <c r="CB129" s="687">
        <v>0</v>
      </c>
      <c r="CC129" s="687">
        <v>0</v>
      </c>
      <c r="CD129" s="687">
        <v>10000</v>
      </c>
      <c r="CE129" s="687">
        <f t="shared" si="97"/>
        <v>10.42</v>
      </c>
      <c r="CF129" s="687">
        <f t="shared" si="98"/>
        <v>0</v>
      </c>
      <c r="CG129" s="687">
        <f t="shared" si="99"/>
        <v>0</v>
      </c>
      <c r="CH129" s="687">
        <f t="shared" si="100"/>
        <v>10.42</v>
      </c>
      <c r="CP129" s="731" t="s">
        <v>860</v>
      </c>
      <c r="CQ129" s="730">
        <v>150000000</v>
      </c>
      <c r="CR129" s="730">
        <v>0</v>
      </c>
      <c r="CS129" s="730">
        <v>0</v>
      </c>
      <c r="CT129" s="730">
        <v>150000000</v>
      </c>
      <c r="CU129" s="730">
        <f t="shared" si="131"/>
        <v>156300</v>
      </c>
      <c r="CV129" s="730">
        <f t="shared" si="132"/>
        <v>0</v>
      </c>
      <c r="CW129" s="730">
        <f t="shared" si="133"/>
        <v>0</v>
      </c>
      <c r="CX129" s="730">
        <f t="shared" si="134"/>
        <v>156300</v>
      </c>
      <c r="DE129" s="729" t="s">
        <v>574</v>
      </c>
      <c r="DF129" s="687">
        <v>10000</v>
      </c>
      <c r="DG129" s="687">
        <v>0</v>
      </c>
      <c r="DH129" s="687">
        <v>0</v>
      </c>
      <c r="DI129" s="687">
        <v>10000</v>
      </c>
      <c r="DJ129" s="730">
        <f t="shared" si="103"/>
        <v>10.42</v>
      </c>
      <c r="DK129" s="730">
        <f t="shared" si="104"/>
        <v>0</v>
      </c>
      <c r="DL129" s="730">
        <f t="shared" si="105"/>
        <v>0</v>
      </c>
      <c r="DM129" s="730">
        <f t="shared" si="106"/>
        <v>10.42</v>
      </c>
      <c r="DT129" s="729" t="s">
        <v>574</v>
      </c>
      <c r="DU129" s="687">
        <v>10000</v>
      </c>
      <c r="DV129" s="687">
        <v>0</v>
      </c>
      <c r="DW129" s="687">
        <v>0</v>
      </c>
      <c r="DX129" s="687">
        <v>10000</v>
      </c>
      <c r="DY129" s="730">
        <f t="shared" si="108"/>
        <v>10</v>
      </c>
      <c r="DZ129" s="730">
        <f t="shared" si="109"/>
        <v>0</v>
      </c>
      <c r="EA129" s="730">
        <f t="shared" si="110"/>
        <v>0</v>
      </c>
      <c r="EB129" s="730">
        <f t="shared" si="111"/>
        <v>10</v>
      </c>
      <c r="EI129" s="731" t="s">
        <v>573</v>
      </c>
      <c r="EJ129" s="730">
        <v>204972000</v>
      </c>
      <c r="EK129" s="730">
        <v>204961523</v>
      </c>
      <c r="EL129" s="730">
        <v>204961523</v>
      </c>
      <c r="EM129" s="734">
        <f t="shared" si="113"/>
        <v>204972</v>
      </c>
      <c r="EN129" s="734">
        <f t="shared" si="114"/>
        <v>204961.52299999999</v>
      </c>
      <c r="EO129" s="734">
        <f t="shared" si="115"/>
        <v>204961.52299999999</v>
      </c>
      <c r="EW129" s="729" t="s">
        <v>396</v>
      </c>
      <c r="EX129" s="687">
        <v>717759000</v>
      </c>
      <c r="EY129" s="687">
        <v>717759000</v>
      </c>
      <c r="EZ129" s="687">
        <v>471795088</v>
      </c>
      <c r="FA129" s="687">
        <v>540527231</v>
      </c>
      <c r="FB129" s="687">
        <v>177231769</v>
      </c>
      <c r="FC129" s="730">
        <f t="shared" si="135"/>
        <v>717759</v>
      </c>
      <c r="FD129" s="730">
        <f t="shared" si="136"/>
        <v>717759</v>
      </c>
      <c r="FE129" s="730">
        <f t="shared" si="137"/>
        <v>471795.08799999999</v>
      </c>
      <c r="FF129" s="730">
        <f t="shared" si="138"/>
        <v>540527.23100000003</v>
      </c>
      <c r="FG129" s="730">
        <f t="shared" si="139"/>
        <v>177231.769</v>
      </c>
      <c r="FN129" s="735" t="s">
        <v>573</v>
      </c>
      <c r="FO129" s="736">
        <v>585380000</v>
      </c>
      <c r="FP129" s="736">
        <v>585116303</v>
      </c>
      <c r="FQ129" s="736">
        <v>585370519</v>
      </c>
      <c r="FR129" s="736">
        <f t="shared" si="123"/>
        <v>585380</v>
      </c>
      <c r="FS129" s="736">
        <f t="shared" si="124"/>
        <v>585116.30299999996</v>
      </c>
      <c r="FT129" s="736">
        <f t="shared" si="125"/>
        <v>585370.51899999997</v>
      </c>
    </row>
    <row r="130" spans="1:176" ht="15" customHeight="1" x14ac:dyDescent="0.25">
      <c r="A130" s="728" t="s">
        <v>880</v>
      </c>
      <c r="B130" s="729" t="s">
        <v>849</v>
      </c>
      <c r="C130" s="687">
        <v>0</v>
      </c>
      <c r="D130" s="687">
        <v>100000</v>
      </c>
      <c r="E130" s="687">
        <v>0</v>
      </c>
      <c r="F130" s="687">
        <v>100000</v>
      </c>
      <c r="G130" s="687">
        <v>0</v>
      </c>
      <c r="H130" s="730">
        <f t="shared" si="72"/>
        <v>104.2</v>
      </c>
      <c r="I130" s="730">
        <f t="shared" si="73"/>
        <v>0</v>
      </c>
      <c r="J130" s="730">
        <f t="shared" si="74"/>
        <v>104.2</v>
      </c>
      <c r="K130" s="730">
        <f t="shared" si="75"/>
        <v>0</v>
      </c>
      <c r="S130" s="729" t="s">
        <v>844</v>
      </c>
      <c r="T130" s="687">
        <v>71000000</v>
      </c>
      <c r="U130" s="687">
        <v>60578302</v>
      </c>
      <c r="V130" s="687">
        <v>60578302</v>
      </c>
      <c r="W130" s="687">
        <v>10421698</v>
      </c>
      <c r="X130" s="730">
        <f t="shared" si="77"/>
        <v>73982</v>
      </c>
      <c r="Y130" s="730">
        <f t="shared" si="78"/>
        <v>63122.590684000003</v>
      </c>
      <c r="Z130" s="730">
        <f t="shared" si="79"/>
        <v>63122.590684000003</v>
      </c>
      <c r="AA130" s="730">
        <f t="shared" si="80"/>
        <v>10859.409316000001</v>
      </c>
      <c r="AG130" s="729" t="s">
        <v>904</v>
      </c>
      <c r="AH130" s="687">
        <v>400000000</v>
      </c>
      <c r="AI130" s="687">
        <v>0</v>
      </c>
      <c r="AJ130" s="687">
        <v>0</v>
      </c>
      <c r="AK130" s="687">
        <v>400000000</v>
      </c>
      <c r="AL130" s="687">
        <f t="shared" si="82"/>
        <v>416800</v>
      </c>
      <c r="AM130" s="687">
        <f t="shared" si="83"/>
        <v>0</v>
      </c>
      <c r="AN130" s="687">
        <f t="shared" si="84"/>
        <v>0</v>
      </c>
      <c r="AO130" s="687">
        <f t="shared" si="85"/>
        <v>416800</v>
      </c>
      <c r="AV130" s="729" t="s">
        <v>903</v>
      </c>
      <c r="AW130" s="687">
        <v>55000000</v>
      </c>
      <c r="AX130" s="687">
        <v>0</v>
      </c>
      <c r="AY130" s="687">
        <v>0</v>
      </c>
      <c r="AZ130" s="687">
        <v>55000000</v>
      </c>
      <c r="BA130" s="730">
        <f t="shared" si="87"/>
        <v>57310</v>
      </c>
      <c r="BB130" s="730">
        <f t="shared" si="88"/>
        <v>0</v>
      </c>
      <c r="BC130" s="730">
        <f t="shared" si="89"/>
        <v>0</v>
      </c>
      <c r="BD130" s="730">
        <f t="shared" si="90"/>
        <v>57310</v>
      </c>
      <c r="BK130" s="754" t="s">
        <v>860</v>
      </c>
      <c r="BL130" s="687">
        <v>150000000</v>
      </c>
      <c r="BM130" s="687">
        <v>0</v>
      </c>
      <c r="BN130" s="687">
        <v>0</v>
      </c>
      <c r="BO130" s="687">
        <v>150000000</v>
      </c>
      <c r="BP130" s="687">
        <f t="shared" si="92"/>
        <v>156300</v>
      </c>
      <c r="BQ130" s="687">
        <f t="shared" si="93"/>
        <v>0</v>
      </c>
      <c r="BR130" s="687">
        <f t="shared" si="94"/>
        <v>0</v>
      </c>
      <c r="BS130" s="755">
        <f t="shared" si="95"/>
        <v>156300</v>
      </c>
      <c r="BZ130" s="729" t="s">
        <v>860</v>
      </c>
      <c r="CA130" s="687">
        <v>150000000</v>
      </c>
      <c r="CB130" s="687">
        <v>0</v>
      </c>
      <c r="CC130" s="687">
        <v>0</v>
      </c>
      <c r="CD130" s="687">
        <v>150000000</v>
      </c>
      <c r="CE130" s="687">
        <f t="shared" si="97"/>
        <v>156300</v>
      </c>
      <c r="CF130" s="687">
        <f t="shared" si="98"/>
        <v>0</v>
      </c>
      <c r="CG130" s="687">
        <f t="shared" si="99"/>
        <v>0</v>
      </c>
      <c r="CH130" s="687">
        <f t="shared" si="100"/>
        <v>156300</v>
      </c>
      <c r="CP130" s="731" t="s">
        <v>903</v>
      </c>
      <c r="CQ130" s="730">
        <v>55000000</v>
      </c>
      <c r="CR130" s="730">
        <v>0</v>
      </c>
      <c r="CS130" s="730">
        <v>0</v>
      </c>
      <c r="CT130" s="730">
        <v>55000000</v>
      </c>
      <c r="CU130" s="730">
        <f t="shared" si="131"/>
        <v>57310</v>
      </c>
      <c r="CV130" s="730">
        <f t="shared" si="132"/>
        <v>0</v>
      </c>
      <c r="CW130" s="730">
        <f t="shared" si="133"/>
        <v>0</v>
      </c>
      <c r="CX130" s="730">
        <f t="shared" si="134"/>
        <v>57310</v>
      </c>
      <c r="DE130" s="729" t="s">
        <v>860</v>
      </c>
      <c r="DF130" s="687">
        <v>150000000</v>
      </c>
      <c r="DG130" s="687">
        <v>0</v>
      </c>
      <c r="DH130" s="687">
        <v>0</v>
      </c>
      <c r="DI130" s="687">
        <v>150000000</v>
      </c>
      <c r="DJ130" s="730">
        <f t="shared" si="103"/>
        <v>156300</v>
      </c>
      <c r="DK130" s="730">
        <f t="shared" si="104"/>
        <v>0</v>
      </c>
      <c r="DL130" s="730">
        <f t="shared" si="105"/>
        <v>0</v>
      </c>
      <c r="DM130" s="730">
        <f t="shared" si="106"/>
        <v>156300</v>
      </c>
      <c r="DT130" s="729" t="s">
        <v>860</v>
      </c>
      <c r="DU130" s="687">
        <v>150000000</v>
      </c>
      <c r="DV130" s="687">
        <v>0</v>
      </c>
      <c r="DW130" s="687">
        <v>0</v>
      </c>
      <c r="DX130" s="687">
        <v>150000000</v>
      </c>
      <c r="DY130" s="730">
        <f t="shared" si="108"/>
        <v>150000</v>
      </c>
      <c r="DZ130" s="730">
        <f t="shared" si="109"/>
        <v>0</v>
      </c>
      <c r="EA130" s="730">
        <f t="shared" si="110"/>
        <v>0</v>
      </c>
      <c r="EB130" s="730">
        <f t="shared" si="111"/>
        <v>150000</v>
      </c>
      <c r="EI130" s="731" t="s">
        <v>395</v>
      </c>
      <c r="EJ130" s="730">
        <v>1774851000</v>
      </c>
      <c r="EK130" s="730">
        <v>988099619</v>
      </c>
      <c r="EL130" s="730">
        <v>966515308</v>
      </c>
      <c r="EM130" s="734">
        <f t="shared" si="113"/>
        <v>1774851</v>
      </c>
      <c r="EN130" s="734">
        <f t="shared" si="114"/>
        <v>988099.61899999995</v>
      </c>
      <c r="EO130" s="734">
        <f t="shared" si="115"/>
        <v>966515.30799999996</v>
      </c>
      <c r="EW130" s="729" t="s">
        <v>574</v>
      </c>
      <c r="EX130" s="687">
        <v>10000</v>
      </c>
      <c r="EY130" s="687">
        <v>10000</v>
      </c>
      <c r="EZ130" s="687">
        <v>0</v>
      </c>
      <c r="FA130" s="687">
        <v>0</v>
      </c>
      <c r="FB130" s="687">
        <v>10000</v>
      </c>
      <c r="FC130" s="730">
        <f t="shared" si="135"/>
        <v>10</v>
      </c>
      <c r="FD130" s="730">
        <f t="shared" si="136"/>
        <v>10</v>
      </c>
      <c r="FE130" s="730">
        <f t="shared" si="137"/>
        <v>0</v>
      </c>
      <c r="FF130" s="730">
        <f t="shared" si="138"/>
        <v>0</v>
      </c>
      <c r="FG130" s="730">
        <f t="shared" si="139"/>
        <v>10</v>
      </c>
      <c r="FN130" s="735" t="s">
        <v>395</v>
      </c>
      <c r="FO130" s="736">
        <v>1775993000</v>
      </c>
      <c r="FP130" s="736">
        <v>1704973244</v>
      </c>
      <c r="FQ130" s="736">
        <v>1705409541</v>
      </c>
      <c r="FR130" s="736">
        <f t="shared" si="123"/>
        <v>1775993</v>
      </c>
      <c r="FS130" s="736">
        <f t="shared" si="124"/>
        <v>1704973.2439999999</v>
      </c>
      <c r="FT130" s="736">
        <f t="shared" si="125"/>
        <v>1705409.541</v>
      </c>
    </row>
    <row r="131" spans="1:176" ht="15" customHeight="1" x14ac:dyDescent="0.25">
      <c r="A131" s="728" t="s">
        <v>880</v>
      </c>
      <c r="B131" s="729" t="s">
        <v>850</v>
      </c>
      <c r="C131" s="687">
        <v>0</v>
      </c>
      <c r="D131" s="687">
        <v>78000</v>
      </c>
      <c r="E131" s="687">
        <v>0</v>
      </c>
      <c r="F131" s="687">
        <v>78000</v>
      </c>
      <c r="G131" s="687">
        <v>0</v>
      </c>
      <c r="H131" s="730">
        <f t="shared" si="72"/>
        <v>81.275999999999996</v>
      </c>
      <c r="I131" s="730">
        <f t="shared" si="73"/>
        <v>0</v>
      </c>
      <c r="J131" s="730">
        <f t="shared" si="74"/>
        <v>81.275999999999996</v>
      </c>
      <c r="K131" s="730">
        <f t="shared" si="75"/>
        <v>0</v>
      </c>
      <c r="S131" s="729" t="s">
        <v>849</v>
      </c>
      <c r="T131" s="687">
        <v>100000</v>
      </c>
      <c r="U131" s="687">
        <v>0</v>
      </c>
      <c r="V131" s="687">
        <v>0</v>
      </c>
      <c r="W131" s="687">
        <v>100000</v>
      </c>
      <c r="X131" s="730">
        <f t="shared" si="77"/>
        <v>104.2</v>
      </c>
      <c r="Y131" s="730">
        <f t="shared" si="78"/>
        <v>0</v>
      </c>
      <c r="Z131" s="730">
        <f t="shared" si="79"/>
        <v>0</v>
      </c>
      <c r="AA131" s="730">
        <f t="shared" si="80"/>
        <v>104.2</v>
      </c>
      <c r="AG131" s="729" t="s">
        <v>499</v>
      </c>
      <c r="AH131" s="687">
        <v>112749000</v>
      </c>
      <c r="AI131" s="687">
        <v>16735114</v>
      </c>
      <c r="AJ131" s="687">
        <v>64871798</v>
      </c>
      <c r="AK131" s="687">
        <v>47877202</v>
      </c>
      <c r="AL131" s="687">
        <f t="shared" si="82"/>
        <v>117484.458</v>
      </c>
      <c r="AM131" s="687">
        <f t="shared" si="83"/>
        <v>17437.988788000002</v>
      </c>
      <c r="AN131" s="687">
        <f t="shared" si="84"/>
        <v>67596.413516000001</v>
      </c>
      <c r="AO131" s="687">
        <f t="shared" si="85"/>
        <v>49888.044483999998</v>
      </c>
      <c r="AV131" s="729" t="s">
        <v>904</v>
      </c>
      <c r="AW131" s="687">
        <v>400000000</v>
      </c>
      <c r="AX131" s="687">
        <v>0</v>
      </c>
      <c r="AY131" s="687">
        <v>0</v>
      </c>
      <c r="AZ131" s="687">
        <v>400000000</v>
      </c>
      <c r="BA131" s="730">
        <f t="shared" si="87"/>
        <v>416800</v>
      </c>
      <c r="BB131" s="730">
        <f t="shared" si="88"/>
        <v>0</v>
      </c>
      <c r="BC131" s="730">
        <f t="shared" si="89"/>
        <v>0</v>
      </c>
      <c r="BD131" s="730">
        <f t="shared" si="90"/>
        <v>416800</v>
      </c>
      <c r="BK131" s="754" t="s">
        <v>903</v>
      </c>
      <c r="BL131" s="687">
        <v>55000000</v>
      </c>
      <c r="BM131" s="687">
        <v>0</v>
      </c>
      <c r="BN131" s="687">
        <v>0</v>
      </c>
      <c r="BO131" s="687">
        <v>55000000</v>
      </c>
      <c r="BP131" s="687">
        <f t="shared" si="92"/>
        <v>57310</v>
      </c>
      <c r="BQ131" s="687">
        <f t="shared" si="93"/>
        <v>0</v>
      </c>
      <c r="BR131" s="687">
        <f t="shared" si="94"/>
        <v>0</v>
      </c>
      <c r="BS131" s="755">
        <f t="shared" si="95"/>
        <v>57310</v>
      </c>
      <c r="BZ131" s="729" t="s">
        <v>903</v>
      </c>
      <c r="CA131" s="687">
        <v>55000000</v>
      </c>
      <c r="CB131" s="687">
        <v>0</v>
      </c>
      <c r="CC131" s="687">
        <v>0</v>
      </c>
      <c r="CD131" s="687">
        <v>55000000</v>
      </c>
      <c r="CE131" s="687">
        <f t="shared" si="97"/>
        <v>57310</v>
      </c>
      <c r="CF131" s="687">
        <f t="shared" si="98"/>
        <v>0</v>
      </c>
      <c r="CG131" s="687">
        <f t="shared" si="99"/>
        <v>0</v>
      </c>
      <c r="CH131" s="687">
        <f t="shared" si="100"/>
        <v>57310</v>
      </c>
      <c r="CP131" s="731" t="s">
        <v>904</v>
      </c>
      <c r="CQ131" s="730">
        <v>400000000</v>
      </c>
      <c r="CR131" s="730">
        <v>0</v>
      </c>
      <c r="CS131" s="730">
        <v>0</v>
      </c>
      <c r="CT131" s="730">
        <v>400000000</v>
      </c>
      <c r="CU131" s="730">
        <f t="shared" ref="CU131:CU161" si="140">+CQ131/$CV$1*$CW$1</f>
        <v>416800</v>
      </c>
      <c r="CV131" s="730">
        <f t="shared" ref="CV131:CV161" si="141">+CR131/$CV$1*$CW$1</f>
        <v>0</v>
      </c>
      <c r="CW131" s="730">
        <f t="shared" ref="CW131:CW161" si="142">+CS131/$CV$1*$CW$1</f>
        <v>0</v>
      </c>
      <c r="CX131" s="730">
        <f t="shared" ref="CX131:CX161" si="143">+CT131/$CV$1*$CW$1</f>
        <v>416800</v>
      </c>
      <c r="DE131" s="729" t="s">
        <v>903</v>
      </c>
      <c r="DF131" s="687">
        <v>55000000</v>
      </c>
      <c r="DG131" s="687">
        <v>0</v>
      </c>
      <c r="DH131" s="687">
        <v>0</v>
      </c>
      <c r="DI131" s="687">
        <v>55000000</v>
      </c>
      <c r="DJ131" s="730">
        <f t="shared" si="103"/>
        <v>57310</v>
      </c>
      <c r="DK131" s="730">
        <f t="shared" si="104"/>
        <v>0</v>
      </c>
      <c r="DL131" s="730">
        <f t="shared" si="105"/>
        <v>0</v>
      </c>
      <c r="DM131" s="730">
        <f t="shared" si="106"/>
        <v>57310</v>
      </c>
      <c r="DT131" s="729" t="s">
        <v>903</v>
      </c>
      <c r="DU131" s="687">
        <v>55000000</v>
      </c>
      <c r="DV131" s="687">
        <v>0</v>
      </c>
      <c r="DW131" s="687">
        <v>0</v>
      </c>
      <c r="DX131" s="687">
        <v>55000000</v>
      </c>
      <c r="DY131" s="730">
        <f t="shared" si="108"/>
        <v>55000</v>
      </c>
      <c r="DZ131" s="730">
        <f t="shared" si="109"/>
        <v>0</v>
      </c>
      <c r="EA131" s="730">
        <f t="shared" si="110"/>
        <v>0</v>
      </c>
      <c r="EB131" s="730">
        <f t="shared" si="111"/>
        <v>55000</v>
      </c>
      <c r="EI131" s="731" t="s">
        <v>396</v>
      </c>
      <c r="EJ131" s="730">
        <v>717759000</v>
      </c>
      <c r="EK131" s="730">
        <v>483813631</v>
      </c>
      <c r="EL131" s="730">
        <v>462229320</v>
      </c>
      <c r="EM131" s="734">
        <f t="shared" si="113"/>
        <v>717759</v>
      </c>
      <c r="EN131" s="734">
        <f t="shared" si="114"/>
        <v>483813.63099999999</v>
      </c>
      <c r="EO131" s="734">
        <f t="shared" si="115"/>
        <v>462229.32</v>
      </c>
      <c r="EW131" s="729" t="s">
        <v>860</v>
      </c>
      <c r="EX131" s="687">
        <v>150000000</v>
      </c>
      <c r="EY131" s="687">
        <v>150000000</v>
      </c>
      <c r="EZ131" s="687">
        <v>0</v>
      </c>
      <c r="FA131" s="687">
        <v>0</v>
      </c>
      <c r="FB131" s="687">
        <v>150000000</v>
      </c>
      <c r="FC131" s="730">
        <f t="shared" si="135"/>
        <v>150000</v>
      </c>
      <c r="FD131" s="730">
        <f t="shared" si="136"/>
        <v>150000</v>
      </c>
      <c r="FE131" s="730">
        <f t="shared" si="137"/>
        <v>0</v>
      </c>
      <c r="FF131" s="730">
        <f t="shared" si="138"/>
        <v>0</v>
      </c>
      <c r="FG131" s="730">
        <f t="shared" si="139"/>
        <v>150000</v>
      </c>
      <c r="FN131" s="735" t="s">
        <v>396</v>
      </c>
      <c r="FO131" s="736">
        <v>718901000</v>
      </c>
      <c r="FP131" s="736">
        <v>690087256</v>
      </c>
      <c r="FQ131" s="736">
        <v>690523553</v>
      </c>
      <c r="FR131" s="736">
        <f t="shared" si="123"/>
        <v>718901</v>
      </c>
      <c r="FS131" s="736">
        <f t="shared" si="124"/>
        <v>690087.25600000005</v>
      </c>
      <c r="FT131" s="736">
        <f t="shared" si="125"/>
        <v>690523.55299999996</v>
      </c>
    </row>
    <row r="132" spans="1:176" ht="15" customHeight="1" x14ac:dyDescent="0.25">
      <c r="A132" s="728" t="s">
        <v>880</v>
      </c>
      <c r="B132" s="729" t="s">
        <v>851</v>
      </c>
      <c r="C132" s="687">
        <v>0</v>
      </c>
      <c r="D132" s="687">
        <v>100000000</v>
      </c>
      <c r="E132" s="687">
        <v>0</v>
      </c>
      <c r="F132" s="687">
        <v>100000000</v>
      </c>
      <c r="G132" s="687">
        <v>0</v>
      </c>
      <c r="H132" s="730">
        <f t="shared" ref="H132" si="144">+D132/$I$1*$J$1</f>
        <v>104200</v>
      </c>
      <c r="I132" s="730">
        <f t="shared" ref="I132" si="145">+E132/$I$1*$J$1</f>
        <v>0</v>
      </c>
      <c r="J132" s="730">
        <f t="shared" ref="J132" si="146">+F132/$I$1*$J$1</f>
        <v>104200</v>
      </c>
      <c r="K132" s="730">
        <f t="shared" ref="K132" si="147">+G132/$I$1*$J$1</f>
        <v>0</v>
      </c>
      <c r="S132" s="729" t="s">
        <v>850</v>
      </c>
      <c r="T132" s="687">
        <v>78000</v>
      </c>
      <c r="U132" s="687">
        <v>0</v>
      </c>
      <c r="V132" s="687">
        <v>0</v>
      </c>
      <c r="W132" s="687">
        <v>78000</v>
      </c>
      <c r="X132" s="730">
        <f t="shared" ref="X132:X143" si="148">+T132/$Z$1*$AA$1</f>
        <v>81.275999999999996</v>
      </c>
      <c r="Y132" s="730">
        <f t="shared" ref="Y132:Y143" si="149">+U132/$Z$1*$AA$1</f>
        <v>0</v>
      </c>
      <c r="Z132" s="730">
        <f t="shared" ref="Z132:Z143" si="150">+V132/$Z$1*$AA$1</f>
        <v>0</v>
      </c>
      <c r="AA132" s="730">
        <f t="shared" ref="AA132:AA143" si="151">+W132/$Z$1*$AA$1</f>
        <v>81.275999999999996</v>
      </c>
      <c r="AG132" s="729" t="s">
        <v>470</v>
      </c>
      <c r="AH132" s="687">
        <v>837092000</v>
      </c>
      <c r="AI132" s="687">
        <v>0</v>
      </c>
      <c r="AJ132" s="687">
        <v>0</v>
      </c>
      <c r="AK132" s="687">
        <v>837092000</v>
      </c>
      <c r="AL132" s="687">
        <f t="shared" ref="AL132:AL141" si="152">+AH132/$AN$1*$AO$1</f>
        <v>872249.86400000006</v>
      </c>
      <c r="AM132" s="687">
        <f t="shared" ref="AM132:AM141" si="153">+AI132/$AN$1*$AO$1</f>
        <v>0</v>
      </c>
      <c r="AN132" s="687">
        <f t="shared" ref="AN132:AN141" si="154">+AJ132/$AN$1*$AO$1</f>
        <v>0</v>
      </c>
      <c r="AO132" s="687">
        <f t="shared" ref="AO132:AO141" si="155">+AK132/$AN$1*$AO$1</f>
        <v>872249.86400000006</v>
      </c>
      <c r="AV132" s="729" t="s">
        <v>499</v>
      </c>
      <c r="AW132" s="687">
        <v>112749000</v>
      </c>
      <c r="AX132" s="687">
        <v>23046545</v>
      </c>
      <c r="AY132" s="687">
        <v>66227574</v>
      </c>
      <c r="AZ132" s="687">
        <v>46521426</v>
      </c>
      <c r="BA132" s="730">
        <f t="shared" ref="BA132:BA142" si="156">+AW132/$BC$1*$BD$1</f>
        <v>117484.458</v>
      </c>
      <c r="BB132" s="730">
        <f t="shared" ref="BB132:BB142" si="157">+AX132/$BC$1*$BD$1</f>
        <v>24014.499889999999</v>
      </c>
      <c r="BC132" s="730">
        <f t="shared" ref="BC132:BC142" si="158">+AY132/$BC$1*$BD$1</f>
        <v>69009.132107999991</v>
      </c>
      <c r="BD132" s="730">
        <f t="shared" ref="BD132:BD142" si="159">+AZ132/$BC$1*$BD$1</f>
        <v>48475.325892000001</v>
      </c>
      <c r="BK132" s="754" t="s">
        <v>904</v>
      </c>
      <c r="BL132" s="687">
        <v>400000000</v>
      </c>
      <c r="BM132" s="687">
        <v>0</v>
      </c>
      <c r="BN132" s="687">
        <v>0</v>
      </c>
      <c r="BO132" s="687">
        <v>400000000</v>
      </c>
      <c r="BP132" s="687">
        <f t="shared" ref="BP132:BP143" si="160">+BL132/$BR$1*$BS$1</f>
        <v>416800</v>
      </c>
      <c r="BQ132" s="687">
        <f t="shared" ref="BQ132:BQ143" si="161">+BM132/$BR$1*$BS$1</f>
        <v>0</v>
      </c>
      <c r="BR132" s="687">
        <f t="shared" ref="BR132:BR143" si="162">+BN132/$BR$1*$BS$1</f>
        <v>0</v>
      </c>
      <c r="BS132" s="755">
        <f t="shared" ref="BS132:BS143" si="163">+BO132/$BR$1*$BS$1</f>
        <v>416800</v>
      </c>
      <c r="BZ132" s="729" t="s">
        <v>904</v>
      </c>
      <c r="CA132" s="687">
        <v>400000000</v>
      </c>
      <c r="CB132" s="687">
        <v>0</v>
      </c>
      <c r="CC132" s="687">
        <v>0</v>
      </c>
      <c r="CD132" s="687">
        <v>400000000</v>
      </c>
      <c r="CE132" s="687">
        <f t="shared" ref="CE132:CE142" si="164">+CA132/$CG$1*$CH$1</f>
        <v>416800</v>
      </c>
      <c r="CF132" s="687">
        <f t="shared" ref="CF132:CF143" si="165">+CB132/$CG$1*$CH$1</f>
        <v>0</v>
      </c>
      <c r="CG132" s="687">
        <f t="shared" ref="CG132:CG143" si="166">+CC132/$CG$1*$CH$1</f>
        <v>0</v>
      </c>
      <c r="CH132" s="687">
        <f t="shared" ref="CH132:CH143" si="167">+CD132/$CG$1*$CH$1</f>
        <v>416800</v>
      </c>
      <c r="CP132" s="731" t="s">
        <v>499</v>
      </c>
      <c r="CQ132" s="730">
        <v>112749000</v>
      </c>
      <c r="CR132" s="730">
        <v>41495280</v>
      </c>
      <c r="CS132" s="730">
        <v>66227574</v>
      </c>
      <c r="CT132" s="730">
        <v>46521426</v>
      </c>
      <c r="CU132" s="730">
        <f t="shared" si="140"/>
        <v>117484.458</v>
      </c>
      <c r="CV132" s="730">
        <f t="shared" si="141"/>
        <v>43238.081760000001</v>
      </c>
      <c r="CW132" s="730">
        <f t="shared" si="142"/>
        <v>69009.132107999991</v>
      </c>
      <c r="CX132" s="730">
        <f t="shared" si="143"/>
        <v>48475.325892000001</v>
      </c>
      <c r="DE132" s="729" t="s">
        <v>904</v>
      </c>
      <c r="DF132" s="687">
        <v>400000000</v>
      </c>
      <c r="DG132" s="687">
        <v>400000000</v>
      </c>
      <c r="DH132" s="687">
        <v>400000000</v>
      </c>
      <c r="DI132" s="687">
        <v>0</v>
      </c>
      <c r="DJ132" s="730">
        <f t="shared" ref="DJ132:DJ161" si="168">+DF132/$DL$1*$DM$1</f>
        <v>416800</v>
      </c>
      <c r="DK132" s="730">
        <f t="shared" ref="DK132:DK161" si="169">+DG132/$DL$1*$DM$1</f>
        <v>416800</v>
      </c>
      <c r="DL132" s="730">
        <f t="shared" ref="DL132:DL161" si="170">+DH132/$DL$1*$DM$1</f>
        <v>416800</v>
      </c>
      <c r="DM132" s="730">
        <f t="shared" ref="DM132:DM161" si="171">+DI132/$DL$1*$DM$1</f>
        <v>0</v>
      </c>
      <c r="DT132" s="729" t="s">
        <v>904</v>
      </c>
      <c r="DU132" s="687">
        <v>400000000</v>
      </c>
      <c r="DV132" s="687">
        <v>400000000</v>
      </c>
      <c r="DW132" s="687">
        <v>400000000</v>
      </c>
      <c r="DX132" s="687">
        <v>0</v>
      </c>
      <c r="DY132" s="730">
        <f t="shared" ref="DY132:DY145" si="172">+DU132/$EA$1*$EB$1</f>
        <v>400000</v>
      </c>
      <c r="DZ132" s="730">
        <f t="shared" ref="DZ132:DZ145" si="173">+DV132/$EA$1*$EB$1</f>
        <v>400000</v>
      </c>
      <c r="EA132" s="730">
        <f t="shared" ref="EA132:EA145" si="174">+DW132/$EA$1*$EB$1</f>
        <v>400000</v>
      </c>
      <c r="EB132" s="730">
        <f t="shared" ref="EB132:EB145" si="175">+DX132/$EA$1*$EB$1</f>
        <v>0</v>
      </c>
      <c r="EI132" s="731" t="s">
        <v>574</v>
      </c>
      <c r="EJ132" s="730">
        <v>10000</v>
      </c>
      <c r="EK132" s="730">
        <v>0</v>
      </c>
      <c r="EL132" s="730">
        <v>0</v>
      </c>
      <c r="EM132" s="734">
        <f t="shared" ref="EM132:EM168" si="176">EJ132/$EN$1*$EO$1</f>
        <v>10</v>
      </c>
      <c r="EN132" s="734">
        <f t="shared" ref="EN132:EN168" si="177">EK132/$EN$1*$EO$1</f>
        <v>0</v>
      </c>
      <c r="EO132" s="734">
        <f t="shared" ref="EO132:EO168" si="178">EL132/$EN$1*$EO$1</f>
        <v>0</v>
      </c>
      <c r="EW132" s="729" t="s">
        <v>903</v>
      </c>
      <c r="EX132" s="687">
        <v>55000000</v>
      </c>
      <c r="EY132" s="687">
        <v>55000000</v>
      </c>
      <c r="EZ132" s="687">
        <v>0</v>
      </c>
      <c r="FA132" s="687">
        <v>55000000</v>
      </c>
      <c r="FB132" s="687">
        <v>0</v>
      </c>
      <c r="FC132" s="730">
        <f t="shared" ref="FC132:FC195" si="179">+EX132/$FF$1*$FG$1</f>
        <v>55000</v>
      </c>
      <c r="FD132" s="730">
        <f t="shared" ref="FD132:FD195" si="180">+EY132/$FF$1*$FG$1</f>
        <v>55000</v>
      </c>
      <c r="FE132" s="730">
        <f t="shared" ref="FE132:FE195" si="181">+EZ132/$FF$1*$FG$1</f>
        <v>0</v>
      </c>
      <c r="FF132" s="730">
        <f t="shared" ref="FF132:FF195" si="182">+FA132/$FF$1*$FG$1</f>
        <v>55000</v>
      </c>
      <c r="FG132" s="730">
        <f t="shared" ref="FG132:FG195" si="183">+FB132/$FF$1*$FG$1</f>
        <v>0</v>
      </c>
      <c r="FN132" s="735" t="s">
        <v>574</v>
      </c>
      <c r="FO132" s="736">
        <v>10000</v>
      </c>
      <c r="FP132" s="736">
        <v>0</v>
      </c>
      <c r="FQ132" s="736">
        <v>0</v>
      </c>
      <c r="FR132" s="736">
        <f t="shared" ref="FR132:FR167" si="184">+FO132/$FR$1*$FS$1</f>
        <v>10</v>
      </c>
      <c r="FS132" s="736">
        <f t="shared" ref="FS132:FS167" si="185">+FP132/$FR$1*$FS$1</f>
        <v>0</v>
      </c>
      <c r="FT132" s="736">
        <f t="shared" ref="FT132:FT167" si="186">+FQ132/$FR$1*$FS$1</f>
        <v>0</v>
      </c>
    </row>
    <row r="133" spans="1:176" ht="15" customHeight="1" x14ac:dyDescent="0.25">
      <c r="A133" s="728" t="s">
        <v>428</v>
      </c>
      <c r="B133" s="729" t="s">
        <v>577</v>
      </c>
      <c r="C133" s="687">
        <v>262003000</v>
      </c>
      <c r="D133" s="687">
        <v>262003000</v>
      </c>
      <c r="E133" s="687">
        <v>20561625</v>
      </c>
      <c r="F133" s="687">
        <v>241441375</v>
      </c>
      <c r="G133" s="687">
        <v>4153875</v>
      </c>
      <c r="H133" s="730">
        <f t="shared" ref="H133:H142" si="187">+D133/$I$1*$J$1</f>
        <v>273007.12599999999</v>
      </c>
      <c r="I133" s="730">
        <f t="shared" ref="I133:I142" si="188">+E133/$I$1*$J$1</f>
        <v>21425.213250000001</v>
      </c>
      <c r="J133" s="730">
        <f t="shared" ref="J133:J142" si="189">+F133/$I$1*$J$1</f>
        <v>251581.91275000002</v>
      </c>
      <c r="K133" s="730">
        <f t="shared" ref="K133:K142" si="190">+G133/$I$1*$J$1</f>
        <v>4328.3377500000006</v>
      </c>
      <c r="S133" s="729" t="s">
        <v>851</v>
      </c>
      <c r="T133" s="687">
        <v>100000000</v>
      </c>
      <c r="U133" s="687">
        <v>0</v>
      </c>
      <c r="V133" s="687">
        <v>0</v>
      </c>
      <c r="W133" s="687">
        <v>100000000</v>
      </c>
      <c r="X133" s="730">
        <f t="shared" si="148"/>
        <v>104200</v>
      </c>
      <c r="Y133" s="730">
        <f t="shared" si="149"/>
        <v>0</v>
      </c>
      <c r="Z133" s="730">
        <f t="shared" si="150"/>
        <v>0</v>
      </c>
      <c r="AA133" s="730">
        <f t="shared" si="151"/>
        <v>104200</v>
      </c>
      <c r="AG133" s="729" t="s">
        <v>905</v>
      </c>
      <c r="AH133" s="687">
        <v>468334000</v>
      </c>
      <c r="AI133" s="687">
        <v>0</v>
      </c>
      <c r="AJ133" s="687">
        <v>0</v>
      </c>
      <c r="AK133" s="687">
        <v>468334000</v>
      </c>
      <c r="AL133" s="687">
        <f t="shared" si="152"/>
        <v>488004.02799999999</v>
      </c>
      <c r="AM133" s="687">
        <f t="shared" si="153"/>
        <v>0</v>
      </c>
      <c r="AN133" s="687">
        <f t="shared" si="154"/>
        <v>0</v>
      </c>
      <c r="AO133" s="687">
        <f t="shared" si="155"/>
        <v>488004.02799999999</v>
      </c>
      <c r="AV133" s="729" t="s">
        <v>470</v>
      </c>
      <c r="AW133" s="687">
        <v>837092000</v>
      </c>
      <c r="AX133" s="687">
        <v>0</v>
      </c>
      <c r="AY133" s="687">
        <v>0</v>
      </c>
      <c r="AZ133" s="687">
        <v>837092000</v>
      </c>
      <c r="BA133" s="730">
        <f t="shared" si="156"/>
        <v>872249.86400000006</v>
      </c>
      <c r="BB133" s="730">
        <f t="shared" si="157"/>
        <v>0</v>
      </c>
      <c r="BC133" s="730">
        <f t="shared" si="158"/>
        <v>0</v>
      </c>
      <c r="BD133" s="730">
        <f t="shared" si="159"/>
        <v>872249.86400000006</v>
      </c>
      <c r="BK133" s="754" t="s">
        <v>499</v>
      </c>
      <c r="BL133" s="687">
        <v>112749000</v>
      </c>
      <c r="BM133" s="687">
        <v>28393586</v>
      </c>
      <c r="BN133" s="687">
        <v>66227574</v>
      </c>
      <c r="BO133" s="687">
        <v>46521426</v>
      </c>
      <c r="BP133" s="687">
        <f t="shared" si="160"/>
        <v>117484.458</v>
      </c>
      <c r="BQ133" s="687">
        <f t="shared" si="161"/>
        <v>29586.116612000002</v>
      </c>
      <c r="BR133" s="687">
        <f t="shared" si="162"/>
        <v>69009.132107999991</v>
      </c>
      <c r="BS133" s="755">
        <f t="shared" si="163"/>
        <v>48475.325892000001</v>
      </c>
      <c r="BZ133" s="729" t="s">
        <v>499</v>
      </c>
      <c r="CA133" s="687">
        <v>112749000</v>
      </c>
      <c r="CB133" s="687">
        <v>34181869</v>
      </c>
      <c r="CC133" s="687">
        <v>66227574</v>
      </c>
      <c r="CD133" s="687">
        <v>46521426</v>
      </c>
      <c r="CE133" s="687">
        <f t="shared" si="164"/>
        <v>117484.458</v>
      </c>
      <c r="CF133" s="687">
        <f t="shared" si="165"/>
        <v>35617.507497999999</v>
      </c>
      <c r="CG133" s="687">
        <f t="shared" si="166"/>
        <v>69009.132107999991</v>
      </c>
      <c r="CH133" s="687">
        <f t="shared" si="167"/>
        <v>48475.325892000001</v>
      </c>
      <c r="CP133" s="731" t="s">
        <v>470</v>
      </c>
      <c r="CQ133" s="730">
        <v>837092000</v>
      </c>
      <c r="CR133" s="730">
        <v>504285988</v>
      </c>
      <c r="CS133" s="730">
        <v>504285988</v>
      </c>
      <c r="CT133" s="730">
        <v>332806012</v>
      </c>
      <c r="CU133" s="730">
        <f t="shared" si="140"/>
        <v>872249.86400000006</v>
      </c>
      <c r="CV133" s="730">
        <f t="shared" si="141"/>
        <v>525465.999496</v>
      </c>
      <c r="CW133" s="730">
        <f t="shared" si="142"/>
        <v>525465.999496</v>
      </c>
      <c r="CX133" s="730">
        <f t="shared" si="143"/>
        <v>346783.864504</v>
      </c>
      <c r="DE133" s="729" t="s">
        <v>499</v>
      </c>
      <c r="DF133" s="687">
        <v>112749000</v>
      </c>
      <c r="DG133" s="687">
        <v>47773621</v>
      </c>
      <c r="DH133" s="687">
        <v>66227282</v>
      </c>
      <c r="DI133" s="687">
        <v>46521718</v>
      </c>
      <c r="DJ133" s="730">
        <f t="shared" si="168"/>
        <v>117484.458</v>
      </c>
      <c r="DK133" s="730">
        <f t="shared" si="169"/>
        <v>49780.113082000003</v>
      </c>
      <c r="DL133" s="730">
        <f t="shared" si="170"/>
        <v>69008.827844000014</v>
      </c>
      <c r="DM133" s="730">
        <f t="shared" si="171"/>
        <v>48475.630155999999</v>
      </c>
      <c r="DT133" s="729" t="s">
        <v>499</v>
      </c>
      <c r="DU133" s="687">
        <v>112749000</v>
      </c>
      <c r="DV133" s="687">
        <v>54005686</v>
      </c>
      <c r="DW133" s="687">
        <v>87794615</v>
      </c>
      <c r="DX133" s="687">
        <v>24954385</v>
      </c>
      <c r="DY133" s="730">
        <f t="shared" si="172"/>
        <v>112749</v>
      </c>
      <c r="DZ133" s="730">
        <f t="shared" si="173"/>
        <v>54005.686000000002</v>
      </c>
      <c r="EA133" s="730">
        <f t="shared" si="174"/>
        <v>87794.615000000005</v>
      </c>
      <c r="EB133" s="730">
        <f t="shared" si="175"/>
        <v>24954.384999999998</v>
      </c>
      <c r="EI133" s="731" t="s">
        <v>860</v>
      </c>
      <c r="EJ133" s="730">
        <v>150000000</v>
      </c>
      <c r="EK133" s="730">
        <v>0</v>
      </c>
      <c r="EL133" s="730">
        <v>0</v>
      </c>
      <c r="EM133" s="734">
        <f t="shared" si="176"/>
        <v>150000</v>
      </c>
      <c r="EN133" s="734">
        <f t="shared" si="177"/>
        <v>0</v>
      </c>
      <c r="EO133" s="734">
        <f t="shared" si="178"/>
        <v>0</v>
      </c>
      <c r="EW133" s="729" t="s">
        <v>904</v>
      </c>
      <c r="EX133" s="687">
        <v>400000000</v>
      </c>
      <c r="EY133" s="687">
        <v>400000000</v>
      </c>
      <c r="EZ133" s="687">
        <v>400000000</v>
      </c>
      <c r="FA133" s="687">
        <v>400000000</v>
      </c>
      <c r="FB133" s="687">
        <v>0</v>
      </c>
      <c r="FC133" s="730">
        <f t="shared" si="179"/>
        <v>400000</v>
      </c>
      <c r="FD133" s="730">
        <f t="shared" si="180"/>
        <v>400000</v>
      </c>
      <c r="FE133" s="730">
        <f t="shared" si="181"/>
        <v>400000</v>
      </c>
      <c r="FF133" s="730">
        <f t="shared" si="182"/>
        <v>400000</v>
      </c>
      <c r="FG133" s="730">
        <f t="shared" si="183"/>
        <v>0</v>
      </c>
      <c r="FN133" s="735" t="s">
        <v>860</v>
      </c>
      <c r="FO133" s="736">
        <v>150000000</v>
      </c>
      <c r="FP133" s="736">
        <v>150000000</v>
      </c>
      <c r="FQ133" s="736">
        <v>150000000</v>
      </c>
      <c r="FR133" s="736">
        <f t="shared" si="184"/>
        <v>150000</v>
      </c>
      <c r="FS133" s="736">
        <f t="shared" si="185"/>
        <v>150000</v>
      </c>
      <c r="FT133" s="736">
        <f t="shared" si="186"/>
        <v>150000</v>
      </c>
    </row>
    <row r="134" spans="1:176" ht="15" customHeight="1" x14ac:dyDescent="0.25">
      <c r="A134" s="728" t="s">
        <v>879</v>
      </c>
      <c r="B134" s="729" t="s">
        <v>768</v>
      </c>
      <c r="C134" s="687">
        <v>33120000</v>
      </c>
      <c r="D134" s="687">
        <v>33120000</v>
      </c>
      <c r="E134" s="687">
        <v>0</v>
      </c>
      <c r="F134" s="687">
        <v>33120000</v>
      </c>
      <c r="G134" s="687">
        <v>0</v>
      </c>
      <c r="H134" s="730">
        <f t="shared" si="187"/>
        <v>34511.040000000001</v>
      </c>
      <c r="I134" s="730">
        <f t="shared" si="188"/>
        <v>0</v>
      </c>
      <c r="J134" s="730">
        <f t="shared" si="189"/>
        <v>34511.040000000001</v>
      </c>
      <c r="K134" s="730">
        <f t="shared" si="190"/>
        <v>0</v>
      </c>
      <c r="S134" s="729" t="s">
        <v>577</v>
      </c>
      <c r="T134" s="687">
        <v>262003000</v>
      </c>
      <c r="U134" s="687">
        <v>34710474</v>
      </c>
      <c r="V134" s="687">
        <v>43018224</v>
      </c>
      <c r="W134" s="687">
        <v>218984776</v>
      </c>
      <c r="X134" s="730">
        <f t="shared" si="148"/>
        <v>273007.12599999999</v>
      </c>
      <c r="Y134" s="730">
        <f t="shared" si="149"/>
        <v>36168.313908000004</v>
      </c>
      <c r="Z134" s="730">
        <f t="shared" si="150"/>
        <v>44824.989408000001</v>
      </c>
      <c r="AA134" s="730">
        <f t="shared" si="151"/>
        <v>228182.13659200002</v>
      </c>
      <c r="AG134" s="729" t="s">
        <v>576</v>
      </c>
      <c r="AH134" s="687">
        <v>108758000</v>
      </c>
      <c r="AI134" s="687">
        <v>0</v>
      </c>
      <c r="AJ134" s="687">
        <v>0</v>
      </c>
      <c r="AK134" s="687">
        <v>108758000</v>
      </c>
      <c r="AL134" s="687">
        <f t="shared" si="152"/>
        <v>113325.83600000001</v>
      </c>
      <c r="AM134" s="687">
        <f t="shared" si="153"/>
        <v>0</v>
      </c>
      <c r="AN134" s="687">
        <f t="shared" si="154"/>
        <v>0</v>
      </c>
      <c r="AO134" s="687">
        <f t="shared" si="155"/>
        <v>113325.83600000001</v>
      </c>
      <c r="AV134" s="729" t="s">
        <v>905</v>
      </c>
      <c r="AW134" s="687">
        <v>468334000</v>
      </c>
      <c r="AX134" s="687">
        <v>0</v>
      </c>
      <c r="AY134" s="687">
        <v>0</v>
      </c>
      <c r="AZ134" s="687">
        <v>468334000</v>
      </c>
      <c r="BA134" s="730">
        <f t="shared" si="156"/>
        <v>488004.02799999999</v>
      </c>
      <c r="BB134" s="730">
        <f t="shared" si="157"/>
        <v>0</v>
      </c>
      <c r="BC134" s="730">
        <f t="shared" si="158"/>
        <v>0</v>
      </c>
      <c r="BD134" s="730">
        <f t="shared" si="159"/>
        <v>488004.02799999999</v>
      </c>
      <c r="BK134" s="754" t="s">
        <v>470</v>
      </c>
      <c r="BL134" s="687">
        <v>837092000</v>
      </c>
      <c r="BM134" s="687">
        <v>0</v>
      </c>
      <c r="BN134" s="687">
        <v>0</v>
      </c>
      <c r="BO134" s="687">
        <v>837092000</v>
      </c>
      <c r="BP134" s="687">
        <f t="shared" si="160"/>
        <v>872249.86400000006</v>
      </c>
      <c r="BQ134" s="687">
        <f t="shared" si="161"/>
        <v>0</v>
      </c>
      <c r="BR134" s="687">
        <f t="shared" si="162"/>
        <v>0</v>
      </c>
      <c r="BS134" s="755">
        <f t="shared" si="163"/>
        <v>872249.86400000006</v>
      </c>
      <c r="BZ134" s="729" t="s">
        <v>470</v>
      </c>
      <c r="CA134" s="687">
        <v>837092000</v>
      </c>
      <c r="CB134" s="687">
        <v>260000000</v>
      </c>
      <c r="CC134" s="687">
        <v>260000000</v>
      </c>
      <c r="CD134" s="687">
        <v>577092000</v>
      </c>
      <c r="CE134" s="687">
        <f t="shared" si="164"/>
        <v>872249.86400000006</v>
      </c>
      <c r="CF134" s="687">
        <f t="shared" si="165"/>
        <v>270920</v>
      </c>
      <c r="CG134" s="687">
        <f t="shared" si="166"/>
        <v>270920</v>
      </c>
      <c r="CH134" s="687">
        <f t="shared" si="167"/>
        <v>601329.86400000006</v>
      </c>
      <c r="CP134" s="731" t="s">
        <v>905</v>
      </c>
      <c r="CQ134" s="730">
        <v>468334000</v>
      </c>
      <c r="CR134" s="730">
        <v>135527988</v>
      </c>
      <c r="CS134" s="730">
        <v>135527988</v>
      </c>
      <c r="CT134" s="730">
        <v>332806012</v>
      </c>
      <c r="CU134" s="730">
        <f t="shared" si="140"/>
        <v>488004.02799999999</v>
      </c>
      <c r="CV134" s="730">
        <f t="shared" si="141"/>
        <v>141220.16349600002</v>
      </c>
      <c r="CW134" s="730">
        <f t="shared" si="142"/>
        <v>141220.16349600002</v>
      </c>
      <c r="CX134" s="730">
        <f t="shared" si="143"/>
        <v>346783.864504</v>
      </c>
      <c r="DE134" s="729" t="s">
        <v>470</v>
      </c>
      <c r="DF134" s="687">
        <v>837092000</v>
      </c>
      <c r="DG134" s="687">
        <v>504285988</v>
      </c>
      <c r="DH134" s="687">
        <v>504285988</v>
      </c>
      <c r="DI134" s="687">
        <v>332806012</v>
      </c>
      <c r="DJ134" s="730">
        <f t="shared" si="168"/>
        <v>872249.86400000006</v>
      </c>
      <c r="DK134" s="730">
        <f t="shared" si="169"/>
        <v>525465.999496</v>
      </c>
      <c r="DL134" s="730">
        <f t="shared" si="170"/>
        <v>525465.999496</v>
      </c>
      <c r="DM134" s="730">
        <f t="shared" si="171"/>
        <v>346783.864504</v>
      </c>
      <c r="DT134" s="729" t="s">
        <v>470</v>
      </c>
      <c r="DU134" s="687">
        <v>1057092000</v>
      </c>
      <c r="DV134" s="687">
        <v>504285988</v>
      </c>
      <c r="DW134" s="687">
        <v>504285988</v>
      </c>
      <c r="DX134" s="687">
        <v>552806012</v>
      </c>
      <c r="DY134" s="730">
        <f t="shared" si="172"/>
        <v>1057092</v>
      </c>
      <c r="DZ134" s="730">
        <f t="shared" si="173"/>
        <v>504285.98800000001</v>
      </c>
      <c r="EA134" s="730">
        <f t="shared" si="174"/>
        <v>504285.98800000001</v>
      </c>
      <c r="EB134" s="730">
        <f t="shared" si="175"/>
        <v>552806.01199999999</v>
      </c>
      <c r="EI134" s="731" t="s">
        <v>903</v>
      </c>
      <c r="EJ134" s="730">
        <v>55000000</v>
      </c>
      <c r="EK134" s="730">
        <v>0</v>
      </c>
      <c r="EL134" s="730">
        <v>0</v>
      </c>
      <c r="EM134" s="734">
        <f t="shared" si="176"/>
        <v>55000</v>
      </c>
      <c r="EN134" s="734">
        <f t="shared" si="177"/>
        <v>0</v>
      </c>
      <c r="EO134" s="734">
        <f t="shared" si="178"/>
        <v>0</v>
      </c>
      <c r="EW134" s="729" t="s">
        <v>499</v>
      </c>
      <c r="EX134" s="687">
        <v>112749000</v>
      </c>
      <c r="EY134" s="687">
        <v>112749000</v>
      </c>
      <c r="EZ134" s="687">
        <v>71795088</v>
      </c>
      <c r="FA134" s="687">
        <v>85527231</v>
      </c>
      <c r="FB134" s="687">
        <v>27221769</v>
      </c>
      <c r="FC134" s="730">
        <f t="shared" si="179"/>
        <v>112749</v>
      </c>
      <c r="FD134" s="730">
        <f t="shared" si="180"/>
        <v>112749</v>
      </c>
      <c r="FE134" s="730">
        <f t="shared" si="181"/>
        <v>71795.088000000003</v>
      </c>
      <c r="FF134" s="730">
        <f t="shared" si="182"/>
        <v>85527.231</v>
      </c>
      <c r="FG134" s="730">
        <f t="shared" si="183"/>
        <v>27221.769</v>
      </c>
      <c r="FN134" s="735" t="s">
        <v>903</v>
      </c>
      <c r="FO134" s="736">
        <v>55000000</v>
      </c>
      <c r="FP134" s="736">
        <v>55000000</v>
      </c>
      <c r="FQ134" s="736">
        <v>55000000</v>
      </c>
      <c r="FR134" s="736">
        <f t="shared" si="184"/>
        <v>55000</v>
      </c>
      <c r="FS134" s="736">
        <f t="shared" si="185"/>
        <v>55000</v>
      </c>
      <c r="FT134" s="736">
        <f t="shared" si="186"/>
        <v>55000</v>
      </c>
    </row>
    <row r="135" spans="1:176" ht="15" customHeight="1" x14ac:dyDescent="0.25">
      <c r="A135" s="728" t="s">
        <v>428</v>
      </c>
      <c r="B135" s="729" t="s">
        <v>398</v>
      </c>
      <c r="C135" s="687">
        <v>228883000</v>
      </c>
      <c r="D135" s="687">
        <v>228883000</v>
      </c>
      <c r="E135" s="687">
        <v>20561625</v>
      </c>
      <c r="F135" s="687">
        <v>208321375</v>
      </c>
      <c r="G135" s="687">
        <v>4153875</v>
      </c>
      <c r="H135" s="730">
        <f t="shared" si="187"/>
        <v>238496.08600000001</v>
      </c>
      <c r="I135" s="730">
        <f t="shared" si="188"/>
        <v>21425.213250000001</v>
      </c>
      <c r="J135" s="730">
        <f t="shared" si="189"/>
        <v>217070.87275000001</v>
      </c>
      <c r="K135" s="730">
        <f t="shared" si="190"/>
        <v>4328.3377500000006</v>
      </c>
      <c r="S135" s="729" t="s">
        <v>768</v>
      </c>
      <c r="T135" s="687">
        <v>33120000</v>
      </c>
      <c r="U135" s="687">
        <v>22456599</v>
      </c>
      <c r="V135" s="687">
        <v>22456599</v>
      </c>
      <c r="W135" s="687">
        <v>10663401</v>
      </c>
      <c r="X135" s="730">
        <f t="shared" si="148"/>
        <v>34511.040000000001</v>
      </c>
      <c r="Y135" s="730">
        <f t="shared" si="149"/>
        <v>23399.776158000001</v>
      </c>
      <c r="Z135" s="730">
        <f t="shared" si="150"/>
        <v>23399.776158000001</v>
      </c>
      <c r="AA135" s="730">
        <f t="shared" si="151"/>
        <v>11111.263842</v>
      </c>
      <c r="AG135" s="729" t="s">
        <v>906</v>
      </c>
      <c r="AH135" s="687">
        <v>260000000</v>
      </c>
      <c r="AI135" s="687">
        <v>0</v>
      </c>
      <c r="AJ135" s="687">
        <v>0</v>
      </c>
      <c r="AK135" s="687">
        <v>260000000</v>
      </c>
      <c r="AL135" s="687">
        <f t="shared" si="152"/>
        <v>270920</v>
      </c>
      <c r="AM135" s="687">
        <f t="shared" si="153"/>
        <v>0</v>
      </c>
      <c r="AN135" s="687">
        <f t="shared" si="154"/>
        <v>0</v>
      </c>
      <c r="AO135" s="687">
        <f t="shared" si="155"/>
        <v>270920</v>
      </c>
      <c r="AV135" s="729" t="s">
        <v>576</v>
      </c>
      <c r="AW135" s="687">
        <v>108758000</v>
      </c>
      <c r="AX135" s="687">
        <v>0</v>
      </c>
      <c r="AY135" s="687">
        <v>0</v>
      </c>
      <c r="AZ135" s="687">
        <v>108758000</v>
      </c>
      <c r="BA135" s="730">
        <f t="shared" si="156"/>
        <v>113325.83600000001</v>
      </c>
      <c r="BB135" s="730">
        <f t="shared" si="157"/>
        <v>0</v>
      </c>
      <c r="BC135" s="730">
        <f t="shared" si="158"/>
        <v>0</v>
      </c>
      <c r="BD135" s="730">
        <f t="shared" si="159"/>
        <v>113325.83600000001</v>
      </c>
      <c r="BK135" s="754" t="s">
        <v>905</v>
      </c>
      <c r="BL135" s="687">
        <v>468334000</v>
      </c>
      <c r="BM135" s="687">
        <v>0</v>
      </c>
      <c r="BN135" s="687">
        <v>0</v>
      </c>
      <c r="BO135" s="687">
        <v>468334000</v>
      </c>
      <c r="BP135" s="687">
        <f t="shared" si="160"/>
        <v>488004.02799999999</v>
      </c>
      <c r="BQ135" s="687">
        <f t="shared" si="161"/>
        <v>0</v>
      </c>
      <c r="BR135" s="687">
        <f t="shared" si="162"/>
        <v>0</v>
      </c>
      <c r="BS135" s="755">
        <f t="shared" si="163"/>
        <v>488004.02799999999</v>
      </c>
      <c r="BZ135" s="729" t="s">
        <v>905</v>
      </c>
      <c r="CA135" s="687">
        <v>468334000</v>
      </c>
      <c r="CB135" s="687">
        <v>0</v>
      </c>
      <c r="CC135" s="687">
        <v>0</v>
      </c>
      <c r="CD135" s="687">
        <v>468334000</v>
      </c>
      <c r="CE135" s="687">
        <f t="shared" si="164"/>
        <v>488004.02799999999</v>
      </c>
      <c r="CF135" s="687">
        <f t="shared" si="165"/>
        <v>0</v>
      </c>
      <c r="CG135" s="687">
        <f t="shared" si="166"/>
        <v>0</v>
      </c>
      <c r="CH135" s="687">
        <f t="shared" si="167"/>
        <v>488004.02799999999</v>
      </c>
      <c r="CP135" s="731" t="s">
        <v>576</v>
      </c>
      <c r="CQ135" s="730">
        <v>108758000</v>
      </c>
      <c r="CR135" s="730">
        <v>108758000</v>
      </c>
      <c r="CS135" s="730">
        <v>108758000</v>
      </c>
      <c r="CT135" s="730">
        <v>0</v>
      </c>
      <c r="CU135" s="730">
        <f t="shared" si="140"/>
        <v>113325.83600000001</v>
      </c>
      <c r="CV135" s="730">
        <f t="shared" si="141"/>
        <v>113325.83600000001</v>
      </c>
      <c r="CW135" s="730">
        <f t="shared" si="142"/>
        <v>113325.83600000001</v>
      </c>
      <c r="CX135" s="730">
        <f t="shared" si="143"/>
        <v>0</v>
      </c>
      <c r="DE135" s="729" t="s">
        <v>905</v>
      </c>
      <c r="DF135" s="687">
        <v>468334000</v>
      </c>
      <c r="DG135" s="687">
        <v>135527988</v>
      </c>
      <c r="DH135" s="687">
        <v>135527988</v>
      </c>
      <c r="DI135" s="687">
        <v>332806012</v>
      </c>
      <c r="DJ135" s="730">
        <f t="shared" si="168"/>
        <v>488004.02799999999</v>
      </c>
      <c r="DK135" s="730">
        <f t="shared" si="169"/>
        <v>141220.16349600002</v>
      </c>
      <c r="DL135" s="730">
        <f t="shared" si="170"/>
        <v>141220.16349600002</v>
      </c>
      <c r="DM135" s="730">
        <f t="shared" si="171"/>
        <v>346783.864504</v>
      </c>
      <c r="DT135" s="729" t="s">
        <v>905</v>
      </c>
      <c r="DU135" s="687">
        <v>468334000</v>
      </c>
      <c r="DV135" s="687">
        <v>135527988</v>
      </c>
      <c r="DW135" s="687">
        <v>135527988</v>
      </c>
      <c r="DX135" s="687">
        <v>332806012</v>
      </c>
      <c r="DY135" s="730">
        <f t="shared" si="172"/>
        <v>468334</v>
      </c>
      <c r="DZ135" s="730">
        <f t="shared" si="173"/>
        <v>135527.98800000001</v>
      </c>
      <c r="EA135" s="730">
        <f t="shared" si="174"/>
        <v>135527.98800000001</v>
      </c>
      <c r="EB135" s="730">
        <f t="shared" si="175"/>
        <v>332806.01199999999</v>
      </c>
      <c r="EI135" s="731" t="s">
        <v>904</v>
      </c>
      <c r="EJ135" s="730">
        <v>400000000</v>
      </c>
      <c r="EK135" s="730">
        <v>400000000</v>
      </c>
      <c r="EL135" s="730">
        <v>400000000</v>
      </c>
      <c r="EM135" s="734">
        <f t="shared" si="176"/>
        <v>400000</v>
      </c>
      <c r="EN135" s="734">
        <f t="shared" si="177"/>
        <v>400000</v>
      </c>
      <c r="EO135" s="734">
        <f t="shared" si="178"/>
        <v>400000</v>
      </c>
      <c r="EW135" s="729" t="s">
        <v>470</v>
      </c>
      <c r="EX135" s="687">
        <v>1057092000</v>
      </c>
      <c r="EY135" s="687">
        <v>1057092000</v>
      </c>
      <c r="EZ135" s="687">
        <v>504285988</v>
      </c>
      <c r="FA135" s="687">
        <v>504285988</v>
      </c>
      <c r="FB135" s="687">
        <v>552806012</v>
      </c>
      <c r="FC135" s="730">
        <f t="shared" si="179"/>
        <v>1057092</v>
      </c>
      <c r="FD135" s="730">
        <f t="shared" si="180"/>
        <v>1057092</v>
      </c>
      <c r="FE135" s="730">
        <f t="shared" si="181"/>
        <v>504285.98800000001</v>
      </c>
      <c r="FF135" s="730">
        <f t="shared" si="182"/>
        <v>504285.98800000001</v>
      </c>
      <c r="FG135" s="730">
        <f t="shared" si="183"/>
        <v>552806.01199999999</v>
      </c>
      <c r="FN135" s="735" t="s">
        <v>904</v>
      </c>
      <c r="FO135" s="736">
        <v>400000000</v>
      </c>
      <c r="FP135" s="736">
        <v>400000000</v>
      </c>
      <c r="FQ135" s="736">
        <v>400000000</v>
      </c>
      <c r="FR135" s="736">
        <f t="shared" si="184"/>
        <v>400000</v>
      </c>
      <c r="FS135" s="736">
        <f t="shared" si="185"/>
        <v>400000</v>
      </c>
      <c r="FT135" s="736">
        <f t="shared" si="186"/>
        <v>400000</v>
      </c>
    </row>
    <row r="136" spans="1:176" ht="15" customHeight="1" x14ac:dyDescent="0.25">
      <c r="A136" s="728" t="s">
        <v>879</v>
      </c>
      <c r="B136" s="729" t="s">
        <v>579</v>
      </c>
      <c r="C136" s="687">
        <v>0</v>
      </c>
      <c r="D136" s="687">
        <v>139738375</v>
      </c>
      <c r="E136" s="687">
        <v>8100000</v>
      </c>
      <c r="F136" s="687">
        <v>131638375</v>
      </c>
      <c r="G136" s="687">
        <v>0</v>
      </c>
      <c r="H136" s="730">
        <f t="shared" si="187"/>
        <v>145607.38675000001</v>
      </c>
      <c r="I136" s="730">
        <f t="shared" si="188"/>
        <v>8440.2000000000007</v>
      </c>
      <c r="J136" s="730">
        <f t="shared" si="189"/>
        <v>137167.18674999999</v>
      </c>
      <c r="K136" s="730">
        <f t="shared" si="190"/>
        <v>0</v>
      </c>
      <c r="S136" s="729" t="s">
        <v>398</v>
      </c>
      <c r="T136" s="687">
        <v>228883000</v>
      </c>
      <c r="U136" s="687">
        <v>12253875</v>
      </c>
      <c r="V136" s="687">
        <v>20561625</v>
      </c>
      <c r="W136" s="687">
        <v>208321375</v>
      </c>
      <c r="X136" s="730">
        <f t="shared" si="148"/>
        <v>238496.08600000001</v>
      </c>
      <c r="Y136" s="730">
        <f t="shared" si="149"/>
        <v>12768.537750000001</v>
      </c>
      <c r="Z136" s="730">
        <f t="shared" si="150"/>
        <v>21425.213250000001</v>
      </c>
      <c r="AA136" s="730">
        <f t="shared" si="151"/>
        <v>217070.87275000001</v>
      </c>
      <c r="AG136" s="732" t="s">
        <v>594</v>
      </c>
      <c r="AH136" s="687">
        <v>171178000</v>
      </c>
      <c r="AI136" s="687">
        <v>79116193</v>
      </c>
      <c r="AJ136" s="687">
        <v>79213257</v>
      </c>
      <c r="AK136" s="687">
        <v>91964743</v>
      </c>
      <c r="AL136" s="733">
        <f t="shared" si="152"/>
        <v>178367.476</v>
      </c>
      <c r="AM136" s="733">
        <f t="shared" si="153"/>
        <v>82439.073105999996</v>
      </c>
      <c r="AN136" s="733">
        <f t="shared" si="154"/>
        <v>82540.213793999996</v>
      </c>
      <c r="AO136" s="733">
        <f t="shared" si="155"/>
        <v>95827.262205999999</v>
      </c>
      <c r="AV136" s="729" t="s">
        <v>906</v>
      </c>
      <c r="AW136" s="687">
        <v>260000000</v>
      </c>
      <c r="AX136" s="687">
        <v>0</v>
      </c>
      <c r="AY136" s="687">
        <v>0</v>
      </c>
      <c r="AZ136" s="687">
        <v>260000000</v>
      </c>
      <c r="BA136" s="730">
        <f t="shared" si="156"/>
        <v>270920</v>
      </c>
      <c r="BB136" s="730">
        <f t="shared" si="157"/>
        <v>0</v>
      </c>
      <c r="BC136" s="730">
        <f t="shared" si="158"/>
        <v>0</v>
      </c>
      <c r="BD136" s="730">
        <f t="shared" si="159"/>
        <v>270920</v>
      </c>
      <c r="BK136" s="754" t="s">
        <v>576</v>
      </c>
      <c r="BL136" s="687">
        <v>108758000</v>
      </c>
      <c r="BM136" s="687">
        <v>0</v>
      </c>
      <c r="BN136" s="687">
        <v>0</v>
      </c>
      <c r="BO136" s="687">
        <v>108758000</v>
      </c>
      <c r="BP136" s="687">
        <f t="shared" si="160"/>
        <v>113325.83600000001</v>
      </c>
      <c r="BQ136" s="687">
        <f t="shared" si="161"/>
        <v>0</v>
      </c>
      <c r="BR136" s="687">
        <f t="shared" si="162"/>
        <v>0</v>
      </c>
      <c r="BS136" s="755">
        <f t="shared" si="163"/>
        <v>113325.83600000001</v>
      </c>
      <c r="BZ136" s="729" t="s">
        <v>576</v>
      </c>
      <c r="CA136" s="687">
        <v>108758000</v>
      </c>
      <c r="CB136" s="687">
        <v>0</v>
      </c>
      <c r="CC136" s="687">
        <v>0</v>
      </c>
      <c r="CD136" s="687">
        <v>108758000</v>
      </c>
      <c r="CE136" s="687">
        <f t="shared" si="164"/>
        <v>113325.83600000001</v>
      </c>
      <c r="CF136" s="687">
        <f t="shared" si="165"/>
        <v>0</v>
      </c>
      <c r="CG136" s="687">
        <f t="shared" si="166"/>
        <v>0</v>
      </c>
      <c r="CH136" s="687">
        <f t="shared" si="167"/>
        <v>113325.83600000001</v>
      </c>
      <c r="CP136" s="731" t="s">
        <v>906</v>
      </c>
      <c r="CQ136" s="730">
        <v>260000000</v>
      </c>
      <c r="CR136" s="730">
        <v>260000000</v>
      </c>
      <c r="CS136" s="730">
        <v>260000000</v>
      </c>
      <c r="CT136" s="730">
        <v>0</v>
      </c>
      <c r="CU136" s="730">
        <f t="shared" si="140"/>
        <v>270920</v>
      </c>
      <c r="CV136" s="730">
        <f t="shared" si="141"/>
        <v>270920</v>
      </c>
      <c r="CW136" s="730">
        <f t="shared" si="142"/>
        <v>270920</v>
      </c>
      <c r="CX136" s="730">
        <f t="shared" si="143"/>
        <v>0</v>
      </c>
      <c r="DE136" s="729" t="s">
        <v>576</v>
      </c>
      <c r="DF136" s="687">
        <v>108758000</v>
      </c>
      <c r="DG136" s="687">
        <v>108758000</v>
      </c>
      <c r="DH136" s="687">
        <v>108758000</v>
      </c>
      <c r="DI136" s="687">
        <v>0</v>
      </c>
      <c r="DJ136" s="730">
        <f t="shared" si="168"/>
        <v>113325.83600000001</v>
      </c>
      <c r="DK136" s="730">
        <f t="shared" si="169"/>
        <v>113325.83600000001</v>
      </c>
      <c r="DL136" s="730">
        <f t="shared" si="170"/>
        <v>113325.83600000001</v>
      </c>
      <c r="DM136" s="730">
        <f t="shared" si="171"/>
        <v>0</v>
      </c>
      <c r="DT136" s="729" t="s">
        <v>576</v>
      </c>
      <c r="DU136" s="687">
        <v>108758000</v>
      </c>
      <c r="DV136" s="687">
        <v>108758000</v>
      </c>
      <c r="DW136" s="687">
        <v>108758000</v>
      </c>
      <c r="DX136" s="687">
        <v>0</v>
      </c>
      <c r="DY136" s="730">
        <f t="shared" si="172"/>
        <v>108758</v>
      </c>
      <c r="DZ136" s="730">
        <f t="shared" si="173"/>
        <v>108758</v>
      </c>
      <c r="EA136" s="730">
        <f t="shared" si="174"/>
        <v>108758</v>
      </c>
      <c r="EB136" s="730">
        <f t="shared" si="175"/>
        <v>0</v>
      </c>
      <c r="EI136" s="731" t="s">
        <v>499</v>
      </c>
      <c r="EJ136" s="730">
        <v>112749000</v>
      </c>
      <c r="EK136" s="730">
        <v>83813631</v>
      </c>
      <c r="EL136" s="730">
        <v>62229320</v>
      </c>
      <c r="EM136" s="734">
        <f t="shared" si="176"/>
        <v>112749</v>
      </c>
      <c r="EN136" s="734">
        <f t="shared" si="177"/>
        <v>83813.630999999994</v>
      </c>
      <c r="EO136" s="734">
        <f t="shared" si="178"/>
        <v>62229.32</v>
      </c>
      <c r="EW136" s="729" t="s">
        <v>905</v>
      </c>
      <c r="EX136" s="687">
        <v>468334000</v>
      </c>
      <c r="EY136" s="687">
        <v>468334000</v>
      </c>
      <c r="EZ136" s="687">
        <v>135527988</v>
      </c>
      <c r="FA136" s="687">
        <v>135527988</v>
      </c>
      <c r="FB136" s="687">
        <v>332806012</v>
      </c>
      <c r="FC136" s="730">
        <f t="shared" si="179"/>
        <v>468334</v>
      </c>
      <c r="FD136" s="730">
        <f t="shared" si="180"/>
        <v>468334</v>
      </c>
      <c r="FE136" s="730">
        <f t="shared" si="181"/>
        <v>135527.98800000001</v>
      </c>
      <c r="FF136" s="730">
        <f t="shared" si="182"/>
        <v>135527.98800000001</v>
      </c>
      <c r="FG136" s="730">
        <f t="shared" si="183"/>
        <v>332806.01199999999</v>
      </c>
      <c r="FN136" s="735" t="s">
        <v>499</v>
      </c>
      <c r="FO136" s="736">
        <v>113891000</v>
      </c>
      <c r="FP136" s="736">
        <v>85087256</v>
      </c>
      <c r="FQ136" s="736">
        <v>85523553</v>
      </c>
      <c r="FR136" s="736">
        <f t="shared" si="184"/>
        <v>113891</v>
      </c>
      <c r="FS136" s="736">
        <f t="shared" si="185"/>
        <v>85087.255999999994</v>
      </c>
      <c r="FT136" s="736">
        <f t="shared" si="186"/>
        <v>85523.553</v>
      </c>
    </row>
    <row r="137" spans="1:176" ht="15" customHeight="1" x14ac:dyDescent="0.25">
      <c r="A137" s="728" t="s">
        <v>879</v>
      </c>
      <c r="B137" s="729" t="s">
        <v>762</v>
      </c>
      <c r="C137" s="687">
        <v>0</v>
      </c>
      <c r="D137" s="687">
        <v>89144625</v>
      </c>
      <c r="E137" s="687">
        <v>12461625</v>
      </c>
      <c r="F137" s="687">
        <v>76683000</v>
      </c>
      <c r="G137" s="687">
        <v>4153875</v>
      </c>
      <c r="H137" s="730">
        <f t="shared" si="187"/>
        <v>92888.699250000005</v>
      </c>
      <c r="I137" s="730">
        <f t="shared" si="188"/>
        <v>12985.01325</v>
      </c>
      <c r="J137" s="730">
        <f t="shared" si="189"/>
        <v>79903.686000000002</v>
      </c>
      <c r="K137" s="730">
        <f t="shared" si="190"/>
        <v>4328.3377500000006</v>
      </c>
      <c r="S137" s="729" t="s">
        <v>579</v>
      </c>
      <c r="T137" s="687">
        <v>139738375</v>
      </c>
      <c r="U137" s="687">
        <v>8100000</v>
      </c>
      <c r="V137" s="687">
        <v>8100000</v>
      </c>
      <c r="W137" s="687">
        <v>131638375</v>
      </c>
      <c r="X137" s="730">
        <f t="shared" si="148"/>
        <v>145607.38675000001</v>
      </c>
      <c r="Y137" s="730">
        <f t="shared" si="149"/>
        <v>8440.2000000000007</v>
      </c>
      <c r="Z137" s="730">
        <f t="shared" si="150"/>
        <v>8440.2000000000007</v>
      </c>
      <c r="AA137" s="730">
        <f t="shared" si="151"/>
        <v>137167.18674999999</v>
      </c>
      <c r="AG137" s="729" t="s">
        <v>595</v>
      </c>
      <c r="AH137" s="687">
        <v>171178000</v>
      </c>
      <c r="AI137" s="687">
        <v>79116193</v>
      </c>
      <c r="AJ137" s="687">
        <v>79213257</v>
      </c>
      <c r="AK137" s="687">
        <v>91964743</v>
      </c>
      <c r="AL137" s="687">
        <f t="shared" si="152"/>
        <v>178367.476</v>
      </c>
      <c r="AM137" s="687">
        <f t="shared" si="153"/>
        <v>82439.073105999996</v>
      </c>
      <c r="AN137" s="687">
        <f t="shared" si="154"/>
        <v>82540.213793999996</v>
      </c>
      <c r="AO137" s="687">
        <f t="shared" si="155"/>
        <v>95827.262205999999</v>
      </c>
      <c r="AV137" s="729" t="s">
        <v>594</v>
      </c>
      <c r="AW137" s="687">
        <v>171178000</v>
      </c>
      <c r="AX137" s="687">
        <v>106505547</v>
      </c>
      <c r="AY137" s="687">
        <v>106602611</v>
      </c>
      <c r="AZ137" s="687">
        <v>64575389</v>
      </c>
      <c r="BA137" s="730">
        <f t="shared" si="156"/>
        <v>178367.476</v>
      </c>
      <c r="BB137" s="730">
        <f t="shared" si="157"/>
        <v>110978.779974</v>
      </c>
      <c r="BC137" s="730">
        <f t="shared" si="158"/>
        <v>111079.920662</v>
      </c>
      <c r="BD137" s="730">
        <f t="shared" si="159"/>
        <v>67287.555338000006</v>
      </c>
      <c r="BK137" s="754" t="s">
        <v>906</v>
      </c>
      <c r="BL137" s="687">
        <v>260000000</v>
      </c>
      <c r="BM137" s="687">
        <v>0</v>
      </c>
      <c r="BN137" s="687">
        <v>0</v>
      </c>
      <c r="BO137" s="687">
        <v>260000000</v>
      </c>
      <c r="BP137" s="687">
        <f t="shared" si="160"/>
        <v>270920</v>
      </c>
      <c r="BQ137" s="687">
        <f t="shared" si="161"/>
        <v>0</v>
      </c>
      <c r="BR137" s="687">
        <f t="shared" si="162"/>
        <v>0</v>
      </c>
      <c r="BS137" s="755">
        <f t="shared" si="163"/>
        <v>270920</v>
      </c>
      <c r="BZ137" s="729" t="s">
        <v>906</v>
      </c>
      <c r="CA137" s="687">
        <v>260000000</v>
      </c>
      <c r="CB137" s="687">
        <v>260000000</v>
      </c>
      <c r="CC137" s="687">
        <v>260000000</v>
      </c>
      <c r="CD137" s="687">
        <v>0</v>
      </c>
      <c r="CE137" s="687">
        <f t="shared" si="164"/>
        <v>270920</v>
      </c>
      <c r="CF137" s="687">
        <f t="shared" si="165"/>
        <v>270920</v>
      </c>
      <c r="CG137" s="687">
        <f t="shared" si="166"/>
        <v>270920</v>
      </c>
      <c r="CH137" s="687">
        <f t="shared" si="167"/>
        <v>0</v>
      </c>
      <c r="CP137" s="731" t="s">
        <v>594</v>
      </c>
      <c r="CQ137" s="730">
        <v>171178000</v>
      </c>
      <c r="CR137" s="730">
        <v>262275304</v>
      </c>
      <c r="CS137" s="730">
        <v>262372368</v>
      </c>
      <c r="CT137" s="730">
        <v>-91194368</v>
      </c>
      <c r="CU137" s="730">
        <f t="shared" si="140"/>
        <v>178367.476</v>
      </c>
      <c r="CV137" s="730">
        <f t="shared" si="141"/>
        <v>273290.86676800001</v>
      </c>
      <c r="CW137" s="730">
        <f t="shared" si="142"/>
        <v>273392.00745600002</v>
      </c>
      <c r="CX137" s="730">
        <f t="shared" si="143"/>
        <v>-95024.531456000012</v>
      </c>
      <c r="DE137" s="729" t="s">
        <v>906</v>
      </c>
      <c r="DF137" s="687">
        <v>260000000</v>
      </c>
      <c r="DG137" s="687">
        <v>260000000</v>
      </c>
      <c r="DH137" s="687">
        <v>260000000</v>
      </c>
      <c r="DI137" s="687">
        <v>0</v>
      </c>
      <c r="DJ137" s="730">
        <f t="shared" si="168"/>
        <v>270920</v>
      </c>
      <c r="DK137" s="730">
        <f t="shared" si="169"/>
        <v>270920</v>
      </c>
      <c r="DL137" s="730">
        <f t="shared" si="170"/>
        <v>270920</v>
      </c>
      <c r="DM137" s="730">
        <f t="shared" si="171"/>
        <v>0</v>
      </c>
      <c r="DT137" s="729" t="s">
        <v>906</v>
      </c>
      <c r="DU137" s="687">
        <v>260000000</v>
      </c>
      <c r="DV137" s="687">
        <v>260000000</v>
      </c>
      <c r="DW137" s="687">
        <v>260000000</v>
      </c>
      <c r="DX137" s="687">
        <v>0</v>
      </c>
      <c r="DY137" s="730">
        <f t="shared" si="172"/>
        <v>260000</v>
      </c>
      <c r="DZ137" s="730">
        <f t="shared" si="173"/>
        <v>260000</v>
      </c>
      <c r="EA137" s="730">
        <f t="shared" si="174"/>
        <v>260000</v>
      </c>
      <c r="EB137" s="730">
        <f t="shared" si="175"/>
        <v>0</v>
      </c>
      <c r="EI137" s="731" t="s">
        <v>470</v>
      </c>
      <c r="EJ137" s="730">
        <v>1057092000</v>
      </c>
      <c r="EK137" s="730">
        <v>504285988</v>
      </c>
      <c r="EL137" s="730">
        <v>504285988</v>
      </c>
      <c r="EM137" s="734">
        <f t="shared" si="176"/>
        <v>1057092</v>
      </c>
      <c r="EN137" s="734">
        <f t="shared" si="177"/>
        <v>504285.98800000001</v>
      </c>
      <c r="EO137" s="734">
        <f t="shared" si="178"/>
        <v>504285.98800000001</v>
      </c>
      <c r="EW137" s="729" t="s">
        <v>576</v>
      </c>
      <c r="EX137" s="687">
        <v>108758000</v>
      </c>
      <c r="EY137" s="687">
        <v>108758000</v>
      </c>
      <c r="EZ137" s="687">
        <v>108758000</v>
      </c>
      <c r="FA137" s="687">
        <v>108758000</v>
      </c>
      <c r="FB137" s="687">
        <v>0</v>
      </c>
      <c r="FC137" s="730">
        <f t="shared" si="179"/>
        <v>108758</v>
      </c>
      <c r="FD137" s="730">
        <f t="shared" si="180"/>
        <v>108758</v>
      </c>
      <c r="FE137" s="730">
        <f t="shared" si="181"/>
        <v>108758</v>
      </c>
      <c r="FF137" s="730">
        <f t="shared" si="182"/>
        <v>108758</v>
      </c>
      <c r="FG137" s="730">
        <f t="shared" si="183"/>
        <v>0</v>
      </c>
      <c r="FN137" s="735" t="s">
        <v>470</v>
      </c>
      <c r="FO137" s="736">
        <v>1057092000</v>
      </c>
      <c r="FP137" s="736">
        <v>1014885988</v>
      </c>
      <c r="FQ137" s="736">
        <v>1014885988</v>
      </c>
      <c r="FR137" s="736">
        <f t="shared" si="184"/>
        <v>1057092</v>
      </c>
      <c r="FS137" s="736">
        <f t="shared" si="185"/>
        <v>1014885.988</v>
      </c>
      <c r="FT137" s="736">
        <f t="shared" si="186"/>
        <v>1014885.988</v>
      </c>
    </row>
    <row r="138" spans="1:176" ht="15" customHeight="1" x14ac:dyDescent="0.25">
      <c r="A138" s="728" t="s">
        <v>880</v>
      </c>
      <c r="B138" s="729" t="s">
        <v>873</v>
      </c>
      <c r="C138" s="687">
        <v>192052970000</v>
      </c>
      <c r="D138" s="687">
        <v>0</v>
      </c>
      <c r="E138" s="687">
        <v>0</v>
      </c>
      <c r="F138" s="687">
        <v>0</v>
      </c>
      <c r="G138" s="687">
        <v>0</v>
      </c>
      <c r="H138" s="730">
        <f t="shared" si="187"/>
        <v>0</v>
      </c>
      <c r="I138" s="730">
        <f t="shared" si="188"/>
        <v>0</v>
      </c>
      <c r="J138" s="730">
        <f t="shared" si="189"/>
        <v>0</v>
      </c>
      <c r="K138" s="730">
        <f t="shared" si="190"/>
        <v>0</v>
      </c>
      <c r="S138" s="729" t="s">
        <v>762</v>
      </c>
      <c r="T138" s="687">
        <v>89144625</v>
      </c>
      <c r="U138" s="687">
        <v>4153875</v>
      </c>
      <c r="V138" s="687">
        <v>12461625</v>
      </c>
      <c r="W138" s="687">
        <v>76683000</v>
      </c>
      <c r="X138" s="730">
        <f t="shared" si="148"/>
        <v>92888.699250000005</v>
      </c>
      <c r="Y138" s="730">
        <f t="shared" si="149"/>
        <v>4328.3377500000006</v>
      </c>
      <c r="Z138" s="730">
        <f t="shared" si="150"/>
        <v>12985.01325</v>
      </c>
      <c r="AA138" s="730">
        <f t="shared" si="151"/>
        <v>79903.686000000002</v>
      </c>
      <c r="AG138" s="729" t="s">
        <v>844</v>
      </c>
      <c r="AH138" s="687">
        <v>71000000</v>
      </c>
      <c r="AI138" s="687">
        <v>79116193</v>
      </c>
      <c r="AJ138" s="687">
        <v>79116193</v>
      </c>
      <c r="AK138" s="687">
        <v>-8116193</v>
      </c>
      <c r="AL138" s="687">
        <f t="shared" si="152"/>
        <v>73982</v>
      </c>
      <c r="AM138" s="687">
        <f t="shared" si="153"/>
        <v>82439.073105999996</v>
      </c>
      <c r="AN138" s="687">
        <f t="shared" si="154"/>
        <v>82439.073105999996</v>
      </c>
      <c r="AO138" s="687">
        <f t="shared" si="155"/>
        <v>-8457.0731059999998</v>
      </c>
      <c r="AV138" s="729" t="s">
        <v>595</v>
      </c>
      <c r="AW138" s="687">
        <v>171178000</v>
      </c>
      <c r="AX138" s="687">
        <v>106505547</v>
      </c>
      <c r="AY138" s="687">
        <v>106602611</v>
      </c>
      <c r="AZ138" s="687">
        <v>64575389</v>
      </c>
      <c r="BA138" s="730">
        <f t="shared" si="156"/>
        <v>178367.476</v>
      </c>
      <c r="BB138" s="730">
        <f t="shared" si="157"/>
        <v>110978.779974</v>
      </c>
      <c r="BC138" s="730">
        <f t="shared" si="158"/>
        <v>111079.920662</v>
      </c>
      <c r="BD138" s="730">
        <f t="shared" si="159"/>
        <v>67287.555338000006</v>
      </c>
      <c r="BK138" s="754" t="s">
        <v>594</v>
      </c>
      <c r="BL138" s="687">
        <v>171178000</v>
      </c>
      <c r="BM138" s="687">
        <v>212985743</v>
      </c>
      <c r="BN138" s="687">
        <v>213082807</v>
      </c>
      <c r="BO138" s="687">
        <v>-41904807</v>
      </c>
      <c r="BP138" s="687">
        <f t="shared" si="160"/>
        <v>178367.476</v>
      </c>
      <c r="BQ138" s="687">
        <f t="shared" si="161"/>
        <v>221931.144206</v>
      </c>
      <c r="BR138" s="687">
        <f t="shared" si="162"/>
        <v>222032.28489400001</v>
      </c>
      <c r="BS138" s="755">
        <f t="shared" si="163"/>
        <v>-43664.808894000002</v>
      </c>
      <c r="BZ138" s="729" t="s">
        <v>594</v>
      </c>
      <c r="CA138" s="687">
        <v>171178000</v>
      </c>
      <c r="CB138" s="687">
        <v>240948039</v>
      </c>
      <c r="CC138" s="687">
        <v>241045103</v>
      </c>
      <c r="CD138" s="687">
        <v>-69867103</v>
      </c>
      <c r="CE138" s="687">
        <f t="shared" si="164"/>
        <v>178367.476</v>
      </c>
      <c r="CF138" s="687">
        <f t="shared" si="165"/>
        <v>251067.856638</v>
      </c>
      <c r="CG138" s="687">
        <f t="shared" si="166"/>
        <v>251168.99732600001</v>
      </c>
      <c r="CH138" s="687">
        <f t="shared" si="167"/>
        <v>-72801.521326000002</v>
      </c>
      <c r="CP138" s="731" t="s">
        <v>595</v>
      </c>
      <c r="CQ138" s="730">
        <v>171178000</v>
      </c>
      <c r="CR138" s="730">
        <v>262275304</v>
      </c>
      <c r="CS138" s="730">
        <v>262372368</v>
      </c>
      <c r="CT138" s="730">
        <v>-91194368</v>
      </c>
      <c r="CU138" s="730">
        <f t="shared" si="140"/>
        <v>178367.476</v>
      </c>
      <c r="CV138" s="730">
        <f t="shared" si="141"/>
        <v>273290.86676800001</v>
      </c>
      <c r="CW138" s="730">
        <f t="shared" si="142"/>
        <v>273392.00745600002</v>
      </c>
      <c r="CX138" s="730">
        <f t="shared" si="143"/>
        <v>-95024.531456000012</v>
      </c>
      <c r="DE138" s="729" t="s">
        <v>594</v>
      </c>
      <c r="DF138" s="687">
        <v>171178000</v>
      </c>
      <c r="DG138" s="687">
        <v>319483919</v>
      </c>
      <c r="DH138" s="687">
        <v>319580983</v>
      </c>
      <c r="DI138" s="687">
        <v>-148402983</v>
      </c>
      <c r="DJ138" s="730">
        <f t="shared" si="168"/>
        <v>178367.476</v>
      </c>
      <c r="DK138" s="730">
        <f t="shared" si="169"/>
        <v>332902.24359800003</v>
      </c>
      <c r="DL138" s="730">
        <f t="shared" si="170"/>
        <v>333003.38428600004</v>
      </c>
      <c r="DM138" s="730">
        <f t="shared" si="171"/>
        <v>-154635.90828600002</v>
      </c>
      <c r="DT138" s="729" t="s">
        <v>957</v>
      </c>
      <c r="DU138" s="687">
        <v>220000000</v>
      </c>
      <c r="DV138" s="687">
        <v>0</v>
      </c>
      <c r="DW138" s="687">
        <v>0</v>
      </c>
      <c r="DX138" s="687">
        <v>220000000</v>
      </c>
      <c r="DY138" s="730">
        <f t="shared" si="172"/>
        <v>220000</v>
      </c>
      <c r="DZ138" s="730">
        <f t="shared" si="173"/>
        <v>0</v>
      </c>
      <c r="EA138" s="730">
        <f t="shared" si="174"/>
        <v>0</v>
      </c>
      <c r="EB138" s="730">
        <f t="shared" si="175"/>
        <v>220000</v>
      </c>
      <c r="EI138" s="731" t="s">
        <v>905</v>
      </c>
      <c r="EJ138" s="730">
        <v>468334000</v>
      </c>
      <c r="EK138" s="730">
        <v>135527988</v>
      </c>
      <c r="EL138" s="730">
        <v>135527988</v>
      </c>
      <c r="EM138" s="734">
        <f t="shared" si="176"/>
        <v>468334</v>
      </c>
      <c r="EN138" s="734">
        <f t="shared" si="177"/>
        <v>135527.98800000001</v>
      </c>
      <c r="EO138" s="734">
        <f t="shared" si="178"/>
        <v>135527.98800000001</v>
      </c>
      <c r="EW138" s="729" t="s">
        <v>906</v>
      </c>
      <c r="EX138" s="687">
        <v>260000000</v>
      </c>
      <c r="EY138" s="687">
        <v>260000000</v>
      </c>
      <c r="EZ138" s="687">
        <v>260000000</v>
      </c>
      <c r="FA138" s="687">
        <v>260000000</v>
      </c>
      <c r="FB138" s="687">
        <v>0</v>
      </c>
      <c r="FC138" s="730">
        <f t="shared" si="179"/>
        <v>260000</v>
      </c>
      <c r="FD138" s="730">
        <f t="shared" si="180"/>
        <v>260000</v>
      </c>
      <c r="FE138" s="730">
        <f t="shared" si="181"/>
        <v>260000</v>
      </c>
      <c r="FF138" s="730">
        <f t="shared" si="182"/>
        <v>260000</v>
      </c>
      <c r="FG138" s="730">
        <f t="shared" si="183"/>
        <v>0</v>
      </c>
      <c r="FN138" s="735" t="s">
        <v>905</v>
      </c>
      <c r="FO138" s="736">
        <v>468334000</v>
      </c>
      <c r="FP138" s="736">
        <v>435527988</v>
      </c>
      <c r="FQ138" s="736">
        <v>435527988</v>
      </c>
      <c r="FR138" s="736">
        <f t="shared" si="184"/>
        <v>468334</v>
      </c>
      <c r="FS138" s="736">
        <f t="shared" si="185"/>
        <v>435527.98800000001</v>
      </c>
      <c r="FT138" s="736">
        <f t="shared" si="186"/>
        <v>435527.98800000001</v>
      </c>
    </row>
    <row r="139" spans="1:176" ht="15" customHeight="1" x14ac:dyDescent="0.25">
      <c r="A139" s="728" t="s">
        <v>880</v>
      </c>
      <c r="B139" s="729" t="s">
        <v>874</v>
      </c>
      <c r="C139" s="687">
        <v>192052970000</v>
      </c>
      <c r="D139" s="687">
        <v>0</v>
      </c>
      <c r="E139" s="687">
        <v>0</v>
      </c>
      <c r="F139" s="687">
        <v>0</v>
      </c>
      <c r="G139" s="687">
        <v>0</v>
      </c>
      <c r="H139" s="730">
        <f t="shared" si="187"/>
        <v>0</v>
      </c>
      <c r="I139" s="730">
        <f t="shared" si="188"/>
        <v>0</v>
      </c>
      <c r="J139" s="730">
        <f t="shared" si="189"/>
        <v>0</v>
      </c>
      <c r="K139" s="730">
        <f t="shared" si="190"/>
        <v>0</v>
      </c>
      <c r="S139" s="729" t="s">
        <v>873</v>
      </c>
      <c r="T139" s="687">
        <v>192052970000</v>
      </c>
      <c r="U139" s="687">
        <v>210102000</v>
      </c>
      <c r="V139" s="687">
        <v>1080957000</v>
      </c>
      <c r="W139" s="687">
        <v>190972013000</v>
      </c>
      <c r="X139" s="730">
        <f t="shared" si="148"/>
        <v>200119194.74000001</v>
      </c>
      <c r="Y139" s="730">
        <f t="shared" si="149"/>
        <v>218926.28400000001</v>
      </c>
      <c r="Z139" s="730">
        <f t="shared" si="150"/>
        <v>1126357.1940000001</v>
      </c>
      <c r="AA139" s="730">
        <f t="shared" si="151"/>
        <v>198992837.546</v>
      </c>
      <c r="AG139" s="729" t="s">
        <v>849</v>
      </c>
      <c r="AH139" s="687">
        <v>100000</v>
      </c>
      <c r="AI139" s="687">
        <v>0</v>
      </c>
      <c r="AJ139" s="687">
        <v>0</v>
      </c>
      <c r="AK139" s="687">
        <v>100000</v>
      </c>
      <c r="AL139" s="687">
        <f t="shared" si="152"/>
        <v>104.2</v>
      </c>
      <c r="AM139" s="687">
        <f t="shared" si="153"/>
        <v>0</v>
      </c>
      <c r="AN139" s="687">
        <f t="shared" si="154"/>
        <v>0</v>
      </c>
      <c r="AO139" s="687">
        <f t="shared" si="155"/>
        <v>104.2</v>
      </c>
      <c r="AV139" s="729" t="s">
        <v>844</v>
      </c>
      <c r="AW139" s="687">
        <v>71000000</v>
      </c>
      <c r="AX139" s="687">
        <v>106505547</v>
      </c>
      <c r="AY139" s="687">
        <v>106505547</v>
      </c>
      <c r="AZ139" s="687">
        <v>-35505547</v>
      </c>
      <c r="BA139" s="730">
        <f t="shared" si="156"/>
        <v>73982</v>
      </c>
      <c r="BB139" s="730">
        <f t="shared" si="157"/>
        <v>110978.779974</v>
      </c>
      <c r="BC139" s="730">
        <f t="shared" si="158"/>
        <v>110978.779974</v>
      </c>
      <c r="BD139" s="730">
        <f t="shared" si="159"/>
        <v>-36996.779973999997</v>
      </c>
      <c r="BK139" s="754" t="s">
        <v>595</v>
      </c>
      <c r="BL139" s="687">
        <v>171178000</v>
      </c>
      <c r="BM139" s="687">
        <v>212985743</v>
      </c>
      <c r="BN139" s="687">
        <v>213082807</v>
      </c>
      <c r="BO139" s="687">
        <v>-41904807</v>
      </c>
      <c r="BP139" s="687">
        <f t="shared" si="160"/>
        <v>178367.476</v>
      </c>
      <c r="BQ139" s="687">
        <f t="shared" si="161"/>
        <v>221931.144206</v>
      </c>
      <c r="BR139" s="687">
        <f t="shared" si="162"/>
        <v>222032.28489400001</v>
      </c>
      <c r="BS139" s="755">
        <f t="shared" si="163"/>
        <v>-43664.808894000002</v>
      </c>
      <c r="BZ139" s="729" t="s">
        <v>595</v>
      </c>
      <c r="CA139" s="687">
        <v>171178000</v>
      </c>
      <c r="CB139" s="687">
        <v>240948039</v>
      </c>
      <c r="CC139" s="687">
        <v>241045103</v>
      </c>
      <c r="CD139" s="687">
        <v>-69867103</v>
      </c>
      <c r="CE139" s="687">
        <f t="shared" si="164"/>
        <v>178367.476</v>
      </c>
      <c r="CF139" s="687">
        <f t="shared" si="165"/>
        <v>251067.856638</v>
      </c>
      <c r="CG139" s="687">
        <f t="shared" si="166"/>
        <v>251168.99732600001</v>
      </c>
      <c r="CH139" s="687">
        <f t="shared" si="167"/>
        <v>-72801.521326000002</v>
      </c>
      <c r="CP139" s="731" t="s">
        <v>844</v>
      </c>
      <c r="CQ139" s="730">
        <v>71000000</v>
      </c>
      <c r="CR139" s="730">
        <v>262275304</v>
      </c>
      <c r="CS139" s="730">
        <v>262275304</v>
      </c>
      <c r="CT139" s="730">
        <v>-191275304</v>
      </c>
      <c r="CU139" s="730">
        <f t="shared" si="140"/>
        <v>73982</v>
      </c>
      <c r="CV139" s="730">
        <f t="shared" si="141"/>
        <v>273290.86676800001</v>
      </c>
      <c r="CW139" s="730">
        <f t="shared" si="142"/>
        <v>273290.86676800001</v>
      </c>
      <c r="CX139" s="730">
        <f t="shared" si="143"/>
        <v>-199308.86676800001</v>
      </c>
      <c r="DE139" s="729" t="s">
        <v>595</v>
      </c>
      <c r="DF139" s="687">
        <v>171178000</v>
      </c>
      <c r="DG139" s="687">
        <v>319483919</v>
      </c>
      <c r="DH139" s="687">
        <v>319580983</v>
      </c>
      <c r="DI139" s="687">
        <v>-148402983</v>
      </c>
      <c r="DJ139" s="730">
        <f t="shared" si="168"/>
        <v>178367.476</v>
      </c>
      <c r="DK139" s="730">
        <f t="shared" si="169"/>
        <v>332902.24359800003</v>
      </c>
      <c r="DL139" s="730">
        <f t="shared" si="170"/>
        <v>333003.38428600004</v>
      </c>
      <c r="DM139" s="730">
        <f t="shared" si="171"/>
        <v>-154635.90828600002</v>
      </c>
      <c r="DT139" s="729" t="s">
        <v>594</v>
      </c>
      <c r="DU139" s="687">
        <v>171178000</v>
      </c>
      <c r="DV139" s="687">
        <v>376229488</v>
      </c>
      <c r="DW139" s="687">
        <v>376326552</v>
      </c>
      <c r="DX139" s="687">
        <v>-205148552</v>
      </c>
      <c r="DY139" s="730">
        <f t="shared" si="172"/>
        <v>171178</v>
      </c>
      <c r="DZ139" s="730">
        <f t="shared" si="173"/>
        <v>376229.48800000001</v>
      </c>
      <c r="EA139" s="730">
        <f t="shared" si="174"/>
        <v>376326.55200000003</v>
      </c>
      <c r="EB139" s="730">
        <f t="shared" si="175"/>
        <v>-205148.552</v>
      </c>
      <c r="EI139" s="731" t="s">
        <v>576</v>
      </c>
      <c r="EJ139" s="730">
        <v>108758000</v>
      </c>
      <c r="EK139" s="730">
        <v>108758000</v>
      </c>
      <c r="EL139" s="730">
        <v>108758000</v>
      </c>
      <c r="EM139" s="734">
        <f t="shared" si="176"/>
        <v>108758</v>
      </c>
      <c r="EN139" s="734">
        <f t="shared" si="177"/>
        <v>108758</v>
      </c>
      <c r="EO139" s="734">
        <f t="shared" si="178"/>
        <v>108758</v>
      </c>
      <c r="EW139" s="729" t="s">
        <v>957</v>
      </c>
      <c r="EX139" s="687">
        <v>220000000</v>
      </c>
      <c r="EY139" s="687">
        <v>220000000</v>
      </c>
      <c r="EZ139" s="687">
        <v>0</v>
      </c>
      <c r="FA139" s="687">
        <v>0</v>
      </c>
      <c r="FB139" s="687">
        <v>220000000</v>
      </c>
      <c r="FC139" s="730">
        <f t="shared" si="179"/>
        <v>220000</v>
      </c>
      <c r="FD139" s="730">
        <f t="shared" si="180"/>
        <v>220000</v>
      </c>
      <c r="FE139" s="730">
        <f t="shared" si="181"/>
        <v>0</v>
      </c>
      <c r="FF139" s="730">
        <f t="shared" si="182"/>
        <v>0</v>
      </c>
      <c r="FG139" s="730">
        <f t="shared" si="183"/>
        <v>220000</v>
      </c>
      <c r="FN139" s="735" t="s">
        <v>576</v>
      </c>
      <c r="FO139" s="736">
        <v>108758000</v>
      </c>
      <c r="FP139" s="736">
        <v>108758000</v>
      </c>
      <c r="FQ139" s="736">
        <v>108758000</v>
      </c>
      <c r="FR139" s="736">
        <f t="shared" si="184"/>
        <v>108758</v>
      </c>
      <c r="FS139" s="736">
        <f t="shared" si="185"/>
        <v>108758</v>
      </c>
      <c r="FT139" s="736">
        <f t="shared" si="186"/>
        <v>108758</v>
      </c>
    </row>
    <row r="140" spans="1:176" ht="15" customHeight="1" x14ac:dyDescent="0.25">
      <c r="A140" s="728" t="s">
        <v>428</v>
      </c>
      <c r="B140" s="729" t="s">
        <v>875</v>
      </c>
      <c r="C140" s="687">
        <v>192052970000</v>
      </c>
      <c r="D140" s="687">
        <v>0</v>
      </c>
      <c r="E140" s="687">
        <v>0</v>
      </c>
      <c r="F140" s="687">
        <v>0</v>
      </c>
      <c r="G140" s="687">
        <v>0</v>
      </c>
      <c r="H140" s="730">
        <f t="shared" si="187"/>
        <v>0</v>
      </c>
      <c r="I140" s="730">
        <f t="shared" si="188"/>
        <v>0</v>
      </c>
      <c r="J140" s="730">
        <f t="shared" si="189"/>
        <v>0</v>
      </c>
      <c r="K140" s="730">
        <f t="shared" si="190"/>
        <v>0</v>
      </c>
      <c r="L140" s="730"/>
      <c r="S140" s="729" t="s">
        <v>874</v>
      </c>
      <c r="T140" s="687">
        <v>192052970000</v>
      </c>
      <c r="U140" s="687">
        <v>210102000</v>
      </c>
      <c r="V140" s="687">
        <v>1080957000</v>
      </c>
      <c r="W140" s="687">
        <v>190972013000</v>
      </c>
      <c r="X140" s="730">
        <f t="shared" si="148"/>
        <v>200119194.74000001</v>
      </c>
      <c r="Y140" s="730">
        <f t="shared" si="149"/>
        <v>218926.28400000001</v>
      </c>
      <c r="Z140" s="730">
        <f t="shared" si="150"/>
        <v>1126357.1940000001</v>
      </c>
      <c r="AA140" s="730">
        <f t="shared" si="151"/>
        <v>198992837.546</v>
      </c>
      <c r="AG140" s="729" t="s">
        <v>850</v>
      </c>
      <c r="AH140" s="687">
        <v>78000</v>
      </c>
      <c r="AI140" s="687">
        <v>0</v>
      </c>
      <c r="AJ140" s="687">
        <v>0</v>
      </c>
      <c r="AK140" s="687">
        <v>78000</v>
      </c>
      <c r="AL140" s="687">
        <f t="shared" si="152"/>
        <v>81.275999999999996</v>
      </c>
      <c r="AM140" s="687">
        <f t="shared" si="153"/>
        <v>0</v>
      </c>
      <c r="AN140" s="687">
        <f t="shared" si="154"/>
        <v>0</v>
      </c>
      <c r="AO140" s="687">
        <f t="shared" si="155"/>
        <v>81.275999999999996</v>
      </c>
      <c r="AV140" s="729" t="s">
        <v>849</v>
      </c>
      <c r="AW140" s="687">
        <v>100000</v>
      </c>
      <c r="AX140" s="687">
        <v>0</v>
      </c>
      <c r="AY140" s="687">
        <v>0</v>
      </c>
      <c r="AZ140" s="687">
        <v>100000</v>
      </c>
      <c r="BA140" s="730">
        <f t="shared" si="156"/>
        <v>104.2</v>
      </c>
      <c r="BB140" s="730">
        <f t="shared" si="157"/>
        <v>0</v>
      </c>
      <c r="BC140" s="730">
        <f t="shared" si="158"/>
        <v>0</v>
      </c>
      <c r="BD140" s="730">
        <f t="shared" si="159"/>
        <v>104.2</v>
      </c>
      <c r="BK140" s="754" t="s">
        <v>844</v>
      </c>
      <c r="BL140" s="687">
        <v>71000000</v>
      </c>
      <c r="BM140" s="687">
        <v>212985743</v>
      </c>
      <c r="BN140" s="687">
        <v>212985743</v>
      </c>
      <c r="BO140" s="687">
        <v>-141985743</v>
      </c>
      <c r="BP140" s="687">
        <f t="shared" si="160"/>
        <v>73982</v>
      </c>
      <c r="BQ140" s="687">
        <f t="shared" si="161"/>
        <v>221931.144206</v>
      </c>
      <c r="BR140" s="687">
        <f t="shared" si="162"/>
        <v>221931.144206</v>
      </c>
      <c r="BS140" s="755">
        <f t="shared" si="163"/>
        <v>-147949.144206</v>
      </c>
      <c r="BZ140" s="729" t="s">
        <v>844</v>
      </c>
      <c r="CA140" s="687">
        <v>71000000</v>
      </c>
      <c r="CB140" s="687">
        <v>240948039</v>
      </c>
      <c r="CC140" s="687">
        <v>240948039</v>
      </c>
      <c r="CD140" s="687">
        <v>-169948039</v>
      </c>
      <c r="CE140" s="687">
        <f t="shared" si="164"/>
        <v>73982</v>
      </c>
      <c r="CF140" s="687">
        <f t="shared" si="165"/>
        <v>251067.856638</v>
      </c>
      <c r="CG140" s="687">
        <f t="shared" si="166"/>
        <v>251067.856638</v>
      </c>
      <c r="CH140" s="687">
        <f t="shared" si="167"/>
        <v>-177085.856638</v>
      </c>
      <c r="CP140" s="731" t="s">
        <v>849</v>
      </c>
      <c r="CQ140" s="730">
        <v>100000</v>
      </c>
      <c r="CR140" s="730">
        <v>0</v>
      </c>
      <c r="CS140" s="730">
        <v>0</v>
      </c>
      <c r="CT140" s="730">
        <v>100000</v>
      </c>
      <c r="CU140" s="730">
        <f t="shared" si="140"/>
        <v>104.2</v>
      </c>
      <c r="CV140" s="730">
        <f t="shared" si="141"/>
        <v>0</v>
      </c>
      <c r="CW140" s="730">
        <f t="shared" si="142"/>
        <v>0</v>
      </c>
      <c r="CX140" s="730">
        <f t="shared" si="143"/>
        <v>104.2</v>
      </c>
      <c r="DE140" s="729" t="s">
        <v>844</v>
      </c>
      <c r="DF140" s="687">
        <v>71000000</v>
      </c>
      <c r="DG140" s="687">
        <v>319483919</v>
      </c>
      <c r="DH140" s="687">
        <v>319483919</v>
      </c>
      <c r="DI140" s="687">
        <v>-248483919</v>
      </c>
      <c r="DJ140" s="730">
        <f t="shared" si="168"/>
        <v>73982</v>
      </c>
      <c r="DK140" s="730">
        <f t="shared" si="169"/>
        <v>332902.24359800003</v>
      </c>
      <c r="DL140" s="730">
        <f t="shared" si="170"/>
        <v>332902.24359800003</v>
      </c>
      <c r="DM140" s="730">
        <f t="shared" si="171"/>
        <v>-258920.243598</v>
      </c>
      <c r="DT140" s="729" t="s">
        <v>595</v>
      </c>
      <c r="DU140" s="687">
        <v>171178000</v>
      </c>
      <c r="DV140" s="687">
        <v>376229488</v>
      </c>
      <c r="DW140" s="687">
        <v>376326552</v>
      </c>
      <c r="DX140" s="687">
        <v>-205148552</v>
      </c>
      <c r="DY140" s="730">
        <f t="shared" si="172"/>
        <v>171178</v>
      </c>
      <c r="DZ140" s="730">
        <f t="shared" si="173"/>
        <v>376229.48800000001</v>
      </c>
      <c r="EA140" s="730">
        <f t="shared" si="174"/>
        <v>376326.55200000003</v>
      </c>
      <c r="EB140" s="730">
        <f t="shared" si="175"/>
        <v>-205148.552</v>
      </c>
      <c r="EI140" s="731" t="s">
        <v>906</v>
      </c>
      <c r="EJ140" s="730">
        <v>260000000</v>
      </c>
      <c r="EK140" s="730">
        <v>260000000</v>
      </c>
      <c r="EL140" s="730">
        <v>260000000</v>
      </c>
      <c r="EM140" s="734">
        <f t="shared" si="176"/>
        <v>260000</v>
      </c>
      <c r="EN140" s="734">
        <f t="shared" si="177"/>
        <v>260000</v>
      </c>
      <c r="EO140" s="734">
        <f t="shared" si="178"/>
        <v>260000</v>
      </c>
      <c r="EW140" s="729" t="s">
        <v>594</v>
      </c>
      <c r="EX140" s="687">
        <v>171178000</v>
      </c>
      <c r="EY140" s="687">
        <v>171178000</v>
      </c>
      <c r="EZ140" s="687">
        <v>488060017</v>
      </c>
      <c r="FA140" s="687">
        <v>488157081</v>
      </c>
      <c r="FB140" s="687">
        <v>-316979081</v>
      </c>
      <c r="FC140" s="730">
        <f t="shared" si="179"/>
        <v>171178</v>
      </c>
      <c r="FD140" s="730">
        <f t="shared" si="180"/>
        <v>171178</v>
      </c>
      <c r="FE140" s="730">
        <f t="shared" si="181"/>
        <v>488060.01699999999</v>
      </c>
      <c r="FF140" s="730">
        <f t="shared" si="182"/>
        <v>488157.08100000001</v>
      </c>
      <c r="FG140" s="730">
        <f t="shared" si="183"/>
        <v>-316979.08100000001</v>
      </c>
      <c r="FN140" s="735" t="s">
        <v>906</v>
      </c>
      <c r="FO140" s="736">
        <v>260000000</v>
      </c>
      <c r="FP140" s="736">
        <v>260000000</v>
      </c>
      <c r="FQ140" s="736">
        <v>260000000</v>
      </c>
      <c r="FR140" s="736">
        <f t="shared" si="184"/>
        <v>260000</v>
      </c>
      <c r="FS140" s="736">
        <f t="shared" si="185"/>
        <v>260000</v>
      </c>
      <c r="FT140" s="736">
        <f t="shared" si="186"/>
        <v>260000</v>
      </c>
    </row>
    <row r="141" spans="1:176" ht="15" customHeight="1" x14ac:dyDescent="0.25">
      <c r="A141" s="728" t="s">
        <v>879</v>
      </c>
      <c r="B141" s="729" t="s">
        <v>399</v>
      </c>
      <c r="C141" s="687">
        <v>15249044100</v>
      </c>
      <c r="D141" s="687">
        <v>15249044100</v>
      </c>
      <c r="E141" s="687">
        <v>2063242961</v>
      </c>
      <c r="F141" s="687">
        <v>13185801139</v>
      </c>
      <c r="G141" s="687">
        <v>2063242961</v>
      </c>
      <c r="H141" s="730">
        <f t="shared" si="187"/>
        <v>15889503.952200001</v>
      </c>
      <c r="I141" s="730">
        <f t="shared" si="188"/>
        <v>2149899.165362</v>
      </c>
      <c r="J141" s="730">
        <f t="shared" si="189"/>
        <v>13739604.786838001</v>
      </c>
      <c r="K141" s="730">
        <f t="shared" si="190"/>
        <v>2149899.165362</v>
      </c>
      <c r="L141" s="730"/>
      <c r="S141" s="729" t="s">
        <v>875</v>
      </c>
      <c r="T141" s="687">
        <v>192052970000</v>
      </c>
      <c r="U141" s="687">
        <v>210102000</v>
      </c>
      <c r="V141" s="687">
        <v>1080957000</v>
      </c>
      <c r="W141" s="687">
        <v>190972013000</v>
      </c>
      <c r="X141" s="730">
        <f t="shared" si="148"/>
        <v>200119194.74000001</v>
      </c>
      <c r="Y141" s="730">
        <f t="shared" si="149"/>
        <v>218926.28400000001</v>
      </c>
      <c r="Z141" s="730">
        <f t="shared" si="150"/>
        <v>1126357.1940000001</v>
      </c>
      <c r="AA141" s="730">
        <f t="shared" si="151"/>
        <v>198992837.546</v>
      </c>
      <c r="AG141" s="729" t="s">
        <v>851</v>
      </c>
      <c r="AH141" s="687">
        <v>100000000</v>
      </c>
      <c r="AI141" s="687">
        <v>0</v>
      </c>
      <c r="AJ141" s="687">
        <v>97064</v>
      </c>
      <c r="AK141" s="687">
        <v>99902936</v>
      </c>
      <c r="AL141" s="687">
        <f t="shared" si="152"/>
        <v>104200</v>
      </c>
      <c r="AM141" s="687">
        <f t="shared" si="153"/>
        <v>0</v>
      </c>
      <c r="AN141" s="687">
        <f t="shared" si="154"/>
        <v>101.140688</v>
      </c>
      <c r="AO141" s="687">
        <f t="shared" si="155"/>
        <v>104098.859312</v>
      </c>
      <c r="AV141" s="729" t="s">
        <v>850</v>
      </c>
      <c r="AW141" s="687">
        <v>78000</v>
      </c>
      <c r="AX141" s="687">
        <v>0</v>
      </c>
      <c r="AY141" s="687">
        <v>0</v>
      </c>
      <c r="AZ141" s="687">
        <v>78000</v>
      </c>
      <c r="BA141" s="730">
        <f t="shared" si="156"/>
        <v>81.275999999999996</v>
      </c>
      <c r="BB141" s="730">
        <f t="shared" si="157"/>
        <v>0</v>
      </c>
      <c r="BC141" s="730">
        <f t="shared" si="158"/>
        <v>0</v>
      </c>
      <c r="BD141" s="730">
        <f t="shared" si="159"/>
        <v>81.275999999999996</v>
      </c>
      <c r="BK141" s="754" t="s">
        <v>849</v>
      </c>
      <c r="BL141" s="687">
        <v>100000</v>
      </c>
      <c r="BM141" s="687">
        <v>0</v>
      </c>
      <c r="BN141" s="687">
        <v>0</v>
      </c>
      <c r="BO141" s="687">
        <v>100000</v>
      </c>
      <c r="BP141" s="687">
        <f t="shared" si="160"/>
        <v>104.2</v>
      </c>
      <c r="BQ141" s="687">
        <f t="shared" si="161"/>
        <v>0</v>
      </c>
      <c r="BR141" s="687">
        <f t="shared" si="162"/>
        <v>0</v>
      </c>
      <c r="BS141" s="755">
        <f t="shared" si="163"/>
        <v>104.2</v>
      </c>
      <c r="BZ141" s="729" t="s">
        <v>849</v>
      </c>
      <c r="CA141" s="687">
        <v>100000</v>
      </c>
      <c r="CB141" s="687">
        <v>0</v>
      </c>
      <c r="CC141" s="687">
        <v>0</v>
      </c>
      <c r="CD141" s="687">
        <v>100000</v>
      </c>
      <c r="CE141" s="687">
        <f t="shared" si="164"/>
        <v>104.2</v>
      </c>
      <c r="CF141" s="687">
        <f t="shared" si="165"/>
        <v>0</v>
      </c>
      <c r="CG141" s="687">
        <f t="shared" si="166"/>
        <v>0</v>
      </c>
      <c r="CH141" s="687">
        <f t="shared" si="167"/>
        <v>104.2</v>
      </c>
      <c r="CP141" s="731" t="s">
        <v>850</v>
      </c>
      <c r="CQ141" s="730">
        <v>78000</v>
      </c>
      <c r="CR141" s="730">
        <v>0</v>
      </c>
      <c r="CS141" s="730">
        <v>0</v>
      </c>
      <c r="CT141" s="730">
        <v>78000</v>
      </c>
      <c r="CU141" s="730">
        <f t="shared" si="140"/>
        <v>81.275999999999996</v>
      </c>
      <c r="CV141" s="730">
        <f t="shared" si="141"/>
        <v>0</v>
      </c>
      <c r="CW141" s="730">
        <f t="shared" si="142"/>
        <v>0</v>
      </c>
      <c r="CX141" s="730">
        <f t="shared" si="143"/>
        <v>81.275999999999996</v>
      </c>
      <c r="DE141" s="729" t="s">
        <v>849</v>
      </c>
      <c r="DF141" s="687">
        <v>100000</v>
      </c>
      <c r="DG141" s="687">
        <v>0</v>
      </c>
      <c r="DH141" s="687">
        <v>0</v>
      </c>
      <c r="DI141" s="687">
        <v>100000</v>
      </c>
      <c r="DJ141" s="730">
        <f t="shared" si="168"/>
        <v>104.2</v>
      </c>
      <c r="DK141" s="730">
        <f t="shared" si="169"/>
        <v>0</v>
      </c>
      <c r="DL141" s="730">
        <f t="shared" si="170"/>
        <v>0</v>
      </c>
      <c r="DM141" s="730">
        <f t="shared" si="171"/>
        <v>104.2</v>
      </c>
      <c r="DT141" s="729" t="s">
        <v>844</v>
      </c>
      <c r="DU141" s="687">
        <v>71000000</v>
      </c>
      <c r="DV141" s="687">
        <v>376229488</v>
      </c>
      <c r="DW141" s="687">
        <v>376229488</v>
      </c>
      <c r="DX141" s="687">
        <v>-305229488</v>
      </c>
      <c r="DY141" s="730">
        <f t="shared" si="172"/>
        <v>71000</v>
      </c>
      <c r="DZ141" s="730">
        <f t="shared" si="173"/>
        <v>376229.48800000001</v>
      </c>
      <c r="EA141" s="730">
        <f t="shared" si="174"/>
        <v>376229.48800000001</v>
      </c>
      <c r="EB141" s="730">
        <f t="shared" si="175"/>
        <v>-305229.48800000001</v>
      </c>
      <c r="EI141" s="731" t="s">
        <v>957</v>
      </c>
      <c r="EJ141" s="730">
        <v>220000000</v>
      </c>
      <c r="EK141" s="730">
        <v>0</v>
      </c>
      <c r="EL141" s="730">
        <v>0</v>
      </c>
      <c r="EM141" s="734">
        <f t="shared" si="176"/>
        <v>220000</v>
      </c>
      <c r="EN141" s="734">
        <f t="shared" si="177"/>
        <v>0</v>
      </c>
      <c r="EO141" s="734">
        <f t="shared" si="178"/>
        <v>0</v>
      </c>
      <c r="EW141" s="729" t="s">
        <v>595</v>
      </c>
      <c r="EX141" s="687">
        <v>171178000</v>
      </c>
      <c r="EY141" s="687">
        <v>171178000</v>
      </c>
      <c r="EZ141" s="687">
        <v>488060017</v>
      </c>
      <c r="FA141" s="687">
        <v>488157081</v>
      </c>
      <c r="FB141" s="687">
        <v>-316979081</v>
      </c>
      <c r="FC141" s="730">
        <f t="shared" si="179"/>
        <v>171178</v>
      </c>
      <c r="FD141" s="730">
        <f t="shared" si="180"/>
        <v>171178</v>
      </c>
      <c r="FE141" s="730">
        <f t="shared" si="181"/>
        <v>488060.01699999999</v>
      </c>
      <c r="FF141" s="730">
        <f t="shared" si="182"/>
        <v>488157.08100000001</v>
      </c>
      <c r="FG141" s="730">
        <f t="shared" si="183"/>
        <v>-316979.08100000001</v>
      </c>
      <c r="FN141" s="735" t="s">
        <v>957</v>
      </c>
      <c r="FO141" s="736">
        <v>220000000</v>
      </c>
      <c r="FP141" s="736">
        <v>210600000</v>
      </c>
      <c r="FQ141" s="736">
        <v>210600000</v>
      </c>
      <c r="FR141" s="736">
        <f t="shared" si="184"/>
        <v>220000</v>
      </c>
      <c r="FS141" s="736">
        <f t="shared" si="185"/>
        <v>210600</v>
      </c>
      <c r="FT141" s="736">
        <f t="shared" si="186"/>
        <v>210600</v>
      </c>
    </row>
    <row r="142" spans="1:176" ht="15" customHeight="1" x14ac:dyDescent="0.25">
      <c r="A142" s="728" t="s">
        <v>880</v>
      </c>
      <c r="B142" s="729" t="s">
        <v>400</v>
      </c>
      <c r="C142" s="687">
        <v>12687731000</v>
      </c>
      <c r="D142" s="687">
        <v>12687731000</v>
      </c>
      <c r="E142" s="687">
        <v>0</v>
      </c>
      <c r="F142" s="687">
        <v>12687731000</v>
      </c>
      <c r="G142" s="687">
        <v>0</v>
      </c>
      <c r="H142" s="730">
        <f t="shared" si="187"/>
        <v>13220615.702</v>
      </c>
      <c r="I142" s="730">
        <f t="shared" si="188"/>
        <v>0</v>
      </c>
      <c r="J142" s="730">
        <f t="shared" si="189"/>
        <v>13220615.702</v>
      </c>
      <c r="K142" s="730">
        <f t="shared" si="190"/>
        <v>0</v>
      </c>
      <c r="L142" s="730"/>
      <c r="S142" s="729" t="s">
        <v>399</v>
      </c>
      <c r="T142" s="687">
        <v>15249044100</v>
      </c>
      <c r="U142" s="687">
        <v>2063242961</v>
      </c>
      <c r="V142" s="687">
        <v>2063242961</v>
      </c>
      <c r="W142" s="687">
        <v>13185801139</v>
      </c>
      <c r="X142" s="730">
        <f t="shared" si="148"/>
        <v>15889503.952200001</v>
      </c>
      <c r="Y142" s="730">
        <f t="shared" si="149"/>
        <v>2149899.165362</v>
      </c>
      <c r="Z142" s="730">
        <f t="shared" si="150"/>
        <v>2149899.165362</v>
      </c>
      <c r="AA142" s="730">
        <f t="shared" si="151"/>
        <v>13739604.786838001</v>
      </c>
      <c r="AG142" s="732" t="s">
        <v>577</v>
      </c>
      <c r="AH142" s="687">
        <v>262003000</v>
      </c>
      <c r="AI142" s="687">
        <v>34710474</v>
      </c>
      <c r="AJ142" s="687">
        <v>43399024</v>
      </c>
      <c r="AK142" s="687">
        <v>218603976</v>
      </c>
      <c r="AL142" s="733">
        <f t="shared" ref="AL142:AL151" si="191">+AH142/$AN$1*$AO$1</f>
        <v>273007.12599999999</v>
      </c>
      <c r="AM142" s="733">
        <f t="shared" ref="AM142:AM151" si="192">+AI142/$AN$1*$AO$1</f>
        <v>36168.313908000004</v>
      </c>
      <c r="AN142" s="733">
        <f t="shared" ref="AN142:AN151" si="193">+AJ142/$AN$1*$AO$1</f>
        <v>45221.783007999999</v>
      </c>
      <c r="AO142" s="733">
        <f t="shared" ref="AO142:AO151" si="194">+AK142/$AN$1*$AO$1</f>
        <v>227785.34299199999</v>
      </c>
      <c r="AV142" s="729" t="s">
        <v>851</v>
      </c>
      <c r="AW142" s="687">
        <v>100000000</v>
      </c>
      <c r="AX142" s="687">
        <v>0</v>
      </c>
      <c r="AY142" s="687">
        <v>97064</v>
      </c>
      <c r="AZ142" s="687">
        <v>99902936</v>
      </c>
      <c r="BA142" s="730">
        <f t="shared" si="156"/>
        <v>104200</v>
      </c>
      <c r="BB142" s="730">
        <f t="shared" si="157"/>
        <v>0</v>
      </c>
      <c r="BC142" s="730">
        <f t="shared" si="158"/>
        <v>101.140688</v>
      </c>
      <c r="BD142" s="730">
        <f t="shared" si="159"/>
        <v>104098.859312</v>
      </c>
      <c r="BK142" s="754" t="s">
        <v>850</v>
      </c>
      <c r="BL142" s="687">
        <v>78000</v>
      </c>
      <c r="BM142" s="687">
        <v>0</v>
      </c>
      <c r="BN142" s="687">
        <v>0</v>
      </c>
      <c r="BO142" s="687">
        <v>78000</v>
      </c>
      <c r="BP142" s="687">
        <f t="shared" si="160"/>
        <v>81.275999999999996</v>
      </c>
      <c r="BQ142" s="687">
        <f t="shared" si="161"/>
        <v>0</v>
      </c>
      <c r="BR142" s="687">
        <f t="shared" si="162"/>
        <v>0</v>
      </c>
      <c r="BS142" s="755">
        <f t="shared" si="163"/>
        <v>81.275999999999996</v>
      </c>
      <c r="BZ142" s="729" t="s">
        <v>850</v>
      </c>
      <c r="CA142" s="687">
        <v>78000</v>
      </c>
      <c r="CB142" s="687">
        <v>0</v>
      </c>
      <c r="CC142" s="687">
        <v>0</v>
      </c>
      <c r="CD142" s="687">
        <v>78000</v>
      </c>
      <c r="CE142" s="687">
        <f t="shared" si="164"/>
        <v>81.275999999999996</v>
      </c>
      <c r="CF142" s="687">
        <f t="shared" si="165"/>
        <v>0</v>
      </c>
      <c r="CG142" s="687">
        <f t="shared" si="166"/>
        <v>0</v>
      </c>
      <c r="CH142" s="687">
        <f t="shared" si="167"/>
        <v>81.275999999999996</v>
      </c>
      <c r="CP142" s="731" t="s">
        <v>851</v>
      </c>
      <c r="CQ142" s="730">
        <v>100000000</v>
      </c>
      <c r="CR142" s="730">
        <v>0</v>
      </c>
      <c r="CS142" s="730">
        <v>97064</v>
      </c>
      <c r="CT142" s="730">
        <v>99902936</v>
      </c>
      <c r="CU142" s="730">
        <f t="shared" si="140"/>
        <v>104200</v>
      </c>
      <c r="CV142" s="730">
        <f t="shared" si="141"/>
        <v>0</v>
      </c>
      <c r="CW142" s="730">
        <f t="shared" si="142"/>
        <v>101.140688</v>
      </c>
      <c r="CX142" s="730">
        <f t="shared" si="143"/>
        <v>104098.859312</v>
      </c>
      <c r="DE142" s="729" t="s">
        <v>850</v>
      </c>
      <c r="DF142" s="687">
        <v>78000</v>
      </c>
      <c r="DG142" s="687">
        <v>0</v>
      </c>
      <c r="DH142" s="687">
        <v>0</v>
      </c>
      <c r="DI142" s="687">
        <v>78000</v>
      </c>
      <c r="DJ142" s="730">
        <f t="shared" si="168"/>
        <v>81.275999999999996</v>
      </c>
      <c r="DK142" s="730">
        <f t="shared" si="169"/>
        <v>0</v>
      </c>
      <c r="DL142" s="730">
        <f t="shared" si="170"/>
        <v>0</v>
      </c>
      <c r="DM142" s="730">
        <f t="shared" si="171"/>
        <v>81.275999999999996</v>
      </c>
      <c r="DT142" s="729" t="s">
        <v>849</v>
      </c>
      <c r="DU142" s="687">
        <v>100000</v>
      </c>
      <c r="DV142" s="687">
        <v>0</v>
      </c>
      <c r="DW142" s="687">
        <v>0</v>
      </c>
      <c r="DX142" s="687">
        <v>100000</v>
      </c>
      <c r="DY142" s="730">
        <f t="shared" si="172"/>
        <v>100</v>
      </c>
      <c r="DZ142" s="730">
        <f t="shared" si="173"/>
        <v>0</v>
      </c>
      <c r="EA142" s="730">
        <f t="shared" si="174"/>
        <v>0</v>
      </c>
      <c r="EB142" s="730">
        <f t="shared" si="175"/>
        <v>100</v>
      </c>
      <c r="EI142" s="731" t="s">
        <v>594</v>
      </c>
      <c r="EJ142" s="730">
        <v>171178000</v>
      </c>
      <c r="EK142" s="730">
        <v>417820728</v>
      </c>
      <c r="EL142" s="730">
        <v>417723664</v>
      </c>
      <c r="EM142" s="734">
        <f t="shared" si="176"/>
        <v>171178</v>
      </c>
      <c r="EN142" s="734">
        <f t="shared" si="177"/>
        <v>417820.728</v>
      </c>
      <c r="EO142" s="734">
        <f t="shared" si="178"/>
        <v>417723.66399999999</v>
      </c>
      <c r="EW142" s="729" t="s">
        <v>844</v>
      </c>
      <c r="EX142" s="687">
        <v>0</v>
      </c>
      <c r="EY142" s="687">
        <v>71000000</v>
      </c>
      <c r="EZ142" s="687">
        <v>452614992</v>
      </c>
      <c r="FA142" s="687">
        <v>452614992</v>
      </c>
      <c r="FB142" s="687">
        <v>-381614992</v>
      </c>
      <c r="FC142" s="730">
        <f t="shared" si="179"/>
        <v>0</v>
      </c>
      <c r="FD142" s="730">
        <f t="shared" si="180"/>
        <v>71000</v>
      </c>
      <c r="FE142" s="730">
        <f t="shared" si="181"/>
        <v>452614.99200000003</v>
      </c>
      <c r="FF142" s="730">
        <f t="shared" si="182"/>
        <v>452614.99200000003</v>
      </c>
      <c r="FG142" s="730">
        <f t="shared" si="183"/>
        <v>-381614.99200000003</v>
      </c>
      <c r="FN142" s="735" t="s">
        <v>594</v>
      </c>
      <c r="FO142" s="736">
        <v>171178000</v>
      </c>
      <c r="FP142" s="736">
        <v>521417696</v>
      </c>
      <c r="FQ142" s="736">
        <v>521417696</v>
      </c>
      <c r="FR142" s="736">
        <f t="shared" si="184"/>
        <v>171178</v>
      </c>
      <c r="FS142" s="736">
        <f t="shared" si="185"/>
        <v>521417.696</v>
      </c>
      <c r="FT142" s="736">
        <f t="shared" si="186"/>
        <v>521417.696</v>
      </c>
    </row>
    <row r="143" spans="1:176" ht="15" customHeight="1" x14ac:dyDescent="0.25">
      <c r="A143" s="728" t="s">
        <v>428</v>
      </c>
      <c r="B143" s="729" t="s">
        <v>402</v>
      </c>
      <c r="C143" s="687">
        <v>2561303000</v>
      </c>
      <c r="D143" s="687">
        <v>2561303000</v>
      </c>
      <c r="E143" s="687">
        <v>977650647</v>
      </c>
      <c r="F143" s="687">
        <v>1583652353</v>
      </c>
      <c r="G143" s="687">
        <v>977650647</v>
      </c>
      <c r="H143" s="730">
        <f t="shared" ref="H143:K144" si="195">+D143/$I$1*$J$1</f>
        <v>2668877.7260000003</v>
      </c>
      <c r="I143" s="730">
        <f t="shared" si="195"/>
        <v>1018711.9741740001</v>
      </c>
      <c r="J143" s="730">
        <f t="shared" si="195"/>
        <v>1650165.7518259999</v>
      </c>
      <c r="K143" s="730">
        <f t="shared" si="195"/>
        <v>1018711.9741740001</v>
      </c>
      <c r="S143" s="729" t="s">
        <v>400</v>
      </c>
      <c r="T143" s="687">
        <v>12687731000</v>
      </c>
      <c r="U143" s="687">
        <v>0</v>
      </c>
      <c r="V143" s="687">
        <v>0</v>
      </c>
      <c r="W143" s="687">
        <v>12687731000</v>
      </c>
      <c r="X143" s="730">
        <f t="shared" si="148"/>
        <v>13220615.702</v>
      </c>
      <c r="Y143" s="730">
        <f t="shared" si="149"/>
        <v>0</v>
      </c>
      <c r="Z143" s="730">
        <f t="shared" si="150"/>
        <v>0</v>
      </c>
      <c r="AA143" s="730">
        <f t="shared" si="151"/>
        <v>13220615.702</v>
      </c>
      <c r="AG143" s="729" t="s">
        <v>768</v>
      </c>
      <c r="AH143" s="687">
        <v>33120000</v>
      </c>
      <c r="AI143" s="687">
        <v>22456599</v>
      </c>
      <c r="AJ143" s="687">
        <v>22456599</v>
      </c>
      <c r="AK143" s="687">
        <v>10663401</v>
      </c>
      <c r="AL143" s="687">
        <f t="shared" si="191"/>
        <v>34511.040000000001</v>
      </c>
      <c r="AM143" s="687">
        <f t="shared" si="192"/>
        <v>23399.776158000001</v>
      </c>
      <c r="AN143" s="687">
        <f t="shared" si="193"/>
        <v>23399.776158000001</v>
      </c>
      <c r="AO143" s="687">
        <f t="shared" si="194"/>
        <v>11111.263842</v>
      </c>
      <c r="AV143" s="739" t="s">
        <v>577</v>
      </c>
      <c r="AW143" s="740">
        <v>260003000</v>
      </c>
      <c r="AX143" s="740">
        <v>40906699</v>
      </c>
      <c r="AY143" s="740">
        <v>47811524</v>
      </c>
      <c r="AZ143" s="740">
        <v>214191476</v>
      </c>
      <c r="BA143" s="741">
        <f>+AW143/$BC$1*$BD$1</f>
        <v>270923.12599999999</v>
      </c>
      <c r="BB143" s="741">
        <f t="shared" ref="BB143:BB154" si="196">+AX143/$BC$1*$BD$1</f>
        <v>42624.780358000004</v>
      </c>
      <c r="BC143" s="741">
        <f t="shared" ref="BC143:BC154" si="197">+AY143/$BC$1*$BD$1</f>
        <v>49819.608008000003</v>
      </c>
      <c r="BD143" s="741">
        <f t="shared" ref="BD143:BD154" si="198">+AZ143/$BC$1*$BD$1</f>
        <v>223187.51799200001</v>
      </c>
      <c r="BK143" s="754" t="s">
        <v>851</v>
      </c>
      <c r="BL143" s="687">
        <v>100000000</v>
      </c>
      <c r="BM143" s="687">
        <v>0</v>
      </c>
      <c r="BN143" s="687">
        <v>97064</v>
      </c>
      <c r="BO143" s="687">
        <v>99902936</v>
      </c>
      <c r="BP143" s="687">
        <f t="shared" si="160"/>
        <v>104200</v>
      </c>
      <c r="BQ143" s="687">
        <f t="shared" si="161"/>
        <v>0</v>
      </c>
      <c r="BR143" s="687">
        <f t="shared" si="162"/>
        <v>101.140688</v>
      </c>
      <c r="BS143" s="755">
        <f t="shared" si="163"/>
        <v>104098.859312</v>
      </c>
      <c r="BZ143" s="729" t="s">
        <v>851</v>
      </c>
      <c r="CA143" s="687">
        <v>100000000</v>
      </c>
      <c r="CB143" s="687">
        <v>0</v>
      </c>
      <c r="CC143" s="687">
        <v>97064</v>
      </c>
      <c r="CD143" s="687">
        <v>99902936</v>
      </c>
      <c r="CE143" s="687">
        <f t="shared" ref="CE143:CE157" si="199">+CA143/$CG$1*$CH$1</f>
        <v>104200</v>
      </c>
      <c r="CF143" s="687">
        <f t="shared" si="165"/>
        <v>0</v>
      </c>
      <c r="CG143" s="687">
        <f t="shared" si="166"/>
        <v>101.140688</v>
      </c>
      <c r="CH143" s="687">
        <f t="shared" si="167"/>
        <v>104098.859312</v>
      </c>
      <c r="CP143" s="731" t="s">
        <v>577</v>
      </c>
      <c r="CQ143" s="730">
        <v>306345000</v>
      </c>
      <c r="CR143" s="730">
        <v>48213749</v>
      </c>
      <c r="CS143" s="730">
        <v>115018169</v>
      </c>
      <c r="CT143" s="730">
        <v>191326831</v>
      </c>
      <c r="CU143" s="730">
        <f t="shared" si="140"/>
        <v>319211.49</v>
      </c>
      <c r="CV143" s="730">
        <f t="shared" si="141"/>
        <v>50238.726458000005</v>
      </c>
      <c r="CW143" s="730">
        <f t="shared" si="142"/>
        <v>119848.932098</v>
      </c>
      <c r="CX143" s="730">
        <f t="shared" si="143"/>
        <v>199362.557902</v>
      </c>
      <c r="DE143" s="729" t="s">
        <v>851</v>
      </c>
      <c r="DF143" s="687">
        <v>100000000</v>
      </c>
      <c r="DG143" s="687">
        <v>0</v>
      </c>
      <c r="DH143" s="687">
        <v>97064</v>
      </c>
      <c r="DI143" s="687">
        <v>99902936</v>
      </c>
      <c r="DJ143" s="730">
        <f t="shared" si="168"/>
        <v>104200</v>
      </c>
      <c r="DK143" s="730">
        <f t="shared" si="169"/>
        <v>0</v>
      </c>
      <c r="DL143" s="730">
        <f t="shared" si="170"/>
        <v>101.140688</v>
      </c>
      <c r="DM143" s="730">
        <f t="shared" si="171"/>
        <v>104098.859312</v>
      </c>
      <c r="DT143" s="729" t="s">
        <v>850</v>
      </c>
      <c r="DU143" s="687">
        <v>78000</v>
      </c>
      <c r="DV143" s="687">
        <v>0</v>
      </c>
      <c r="DW143" s="687">
        <v>0</v>
      </c>
      <c r="DX143" s="687">
        <v>78000</v>
      </c>
      <c r="DY143" s="730">
        <f t="shared" si="172"/>
        <v>78</v>
      </c>
      <c r="DZ143" s="730">
        <f t="shared" si="173"/>
        <v>0</v>
      </c>
      <c r="EA143" s="730">
        <f t="shared" si="174"/>
        <v>0</v>
      </c>
      <c r="EB143" s="730">
        <f t="shared" si="175"/>
        <v>78</v>
      </c>
      <c r="EI143" s="731" t="s">
        <v>595</v>
      </c>
      <c r="EJ143" s="730">
        <v>171178000</v>
      </c>
      <c r="EK143" s="730">
        <v>417820728</v>
      </c>
      <c r="EL143" s="730">
        <v>417723664</v>
      </c>
      <c r="EM143" s="734">
        <f t="shared" si="176"/>
        <v>171178</v>
      </c>
      <c r="EN143" s="734">
        <f t="shared" si="177"/>
        <v>417820.728</v>
      </c>
      <c r="EO143" s="734">
        <f t="shared" si="178"/>
        <v>417723.66399999999</v>
      </c>
      <c r="EW143" s="729" t="s">
        <v>974</v>
      </c>
      <c r="EX143" s="687">
        <v>0</v>
      </c>
      <c r="EY143" s="687">
        <v>32805004</v>
      </c>
      <c r="EZ143" s="687">
        <v>32805004</v>
      </c>
      <c r="FA143" s="687">
        <v>32805004</v>
      </c>
      <c r="FB143" s="687">
        <v>0</v>
      </c>
      <c r="FC143" s="730">
        <f t="shared" si="179"/>
        <v>0</v>
      </c>
      <c r="FD143" s="730">
        <f t="shared" si="180"/>
        <v>32805.004000000001</v>
      </c>
      <c r="FE143" s="730">
        <f t="shared" si="181"/>
        <v>32805.004000000001</v>
      </c>
      <c r="FF143" s="730">
        <f t="shared" si="182"/>
        <v>32805.004000000001</v>
      </c>
      <c r="FG143" s="730">
        <f t="shared" si="183"/>
        <v>0</v>
      </c>
      <c r="FN143" s="735" t="s">
        <v>595</v>
      </c>
      <c r="FO143" s="736">
        <v>171178000</v>
      </c>
      <c r="FP143" s="736">
        <v>521417696</v>
      </c>
      <c r="FQ143" s="736">
        <v>521417696</v>
      </c>
      <c r="FR143" s="736">
        <f t="shared" si="184"/>
        <v>171178</v>
      </c>
      <c r="FS143" s="736">
        <f t="shared" si="185"/>
        <v>521417.696</v>
      </c>
      <c r="FT143" s="736">
        <f t="shared" si="186"/>
        <v>521417.696</v>
      </c>
    </row>
    <row r="144" spans="1:176" ht="15" customHeight="1" x14ac:dyDescent="0.25">
      <c r="A144" s="728" t="s">
        <v>879</v>
      </c>
      <c r="B144" s="729" t="s">
        <v>404</v>
      </c>
      <c r="C144" s="687">
        <v>10100</v>
      </c>
      <c r="D144" s="687">
        <v>10100</v>
      </c>
      <c r="E144" s="687">
        <v>1085592314</v>
      </c>
      <c r="F144" s="687">
        <v>-1085582214</v>
      </c>
      <c r="G144" s="687">
        <v>1085592314</v>
      </c>
      <c r="H144" s="730">
        <f t="shared" si="195"/>
        <v>10.5242</v>
      </c>
      <c r="I144" s="730">
        <f t="shared" si="195"/>
        <v>1131187.1911880001</v>
      </c>
      <c r="J144" s="730">
        <f t="shared" si="195"/>
        <v>-1131176.666988</v>
      </c>
      <c r="K144" s="730">
        <f t="shared" si="195"/>
        <v>1131187.1911880001</v>
      </c>
      <c r="S144" s="729" t="s">
        <v>402</v>
      </c>
      <c r="T144" s="687">
        <v>2561303000</v>
      </c>
      <c r="U144" s="687">
        <v>977650647</v>
      </c>
      <c r="V144" s="687">
        <v>977650647</v>
      </c>
      <c r="W144" s="687">
        <v>1583652353</v>
      </c>
      <c r="X144" s="730">
        <f t="shared" ref="X144:AA145" si="200">+T144/$Z$1*$AA$1</f>
        <v>2668877.7260000003</v>
      </c>
      <c r="Y144" s="730">
        <f t="shared" si="200"/>
        <v>1018711.9741740001</v>
      </c>
      <c r="Z144" s="730">
        <f t="shared" si="200"/>
        <v>1018711.9741740001</v>
      </c>
      <c r="AA144" s="730">
        <f t="shared" si="200"/>
        <v>1650165.7518259999</v>
      </c>
      <c r="AG144" s="729" t="s">
        <v>398</v>
      </c>
      <c r="AH144" s="687">
        <v>228883000</v>
      </c>
      <c r="AI144" s="687">
        <v>12253875</v>
      </c>
      <c r="AJ144" s="687">
        <v>20942425</v>
      </c>
      <c r="AK144" s="687">
        <v>207940575</v>
      </c>
      <c r="AL144" s="687">
        <f t="shared" si="191"/>
        <v>238496.08600000001</v>
      </c>
      <c r="AM144" s="687">
        <f t="shared" si="192"/>
        <v>12768.537750000001</v>
      </c>
      <c r="AN144" s="687">
        <f t="shared" si="193"/>
        <v>21822.006850000002</v>
      </c>
      <c r="AO144" s="687">
        <f t="shared" si="194"/>
        <v>216674.07915000003</v>
      </c>
      <c r="AV144" s="729" t="s">
        <v>768</v>
      </c>
      <c r="AW144" s="687">
        <v>31120000</v>
      </c>
      <c r="AX144" s="687">
        <v>22456599</v>
      </c>
      <c r="AY144" s="687">
        <v>22456599</v>
      </c>
      <c r="AZ144" s="687">
        <v>10663401</v>
      </c>
      <c r="BA144" s="730">
        <f>+AW144/$BC$1*$BD$1</f>
        <v>32427.040000000001</v>
      </c>
      <c r="BB144" s="730">
        <f t="shared" si="196"/>
        <v>23399.776158000001</v>
      </c>
      <c r="BC144" s="730">
        <f t="shared" si="197"/>
        <v>23399.776158000001</v>
      </c>
      <c r="BD144" s="730">
        <f t="shared" si="198"/>
        <v>11111.263842</v>
      </c>
      <c r="BK144" s="754" t="s">
        <v>577</v>
      </c>
      <c r="BL144" s="687">
        <v>306345000</v>
      </c>
      <c r="BM144" s="687">
        <v>40906699</v>
      </c>
      <c r="BN144" s="687">
        <v>97802514</v>
      </c>
      <c r="BO144" s="687">
        <v>208542486</v>
      </c>
      <c r="BP144" s="687">
        <f t="shared" ref="BP144:BP162" si="201">+BL144/$BR$1*$BS$1</f>
        <v>319211.49</v>
      </c>
      <c r="BQ144" s="687">
        <f t="shared" ref="BQ144:BQ162" si="202">+BM144/$BR$1*$BS$1</f>
        <v>42624.780358000004</v>
      </c>
      <c r="BR144" s="687">
        <f t="shared" ref="BR144:BR162" si="203">+BN144/$BR$1*$BS$1</f>
        <v>101910.21958799999</v>
      </c>
      <c r="BS144" s="755">
        <f t="shared" ref="BS144:BS162" si="204">+BO144/$BR$1*$BS$1</f>
        <v>217301.27041200001</v>
      </c>
      <c r="BZ144" s="729" t="s">
        <v>577</v>
      </c>
      <c r="CA144" s="687">
        <v>306345000</v>
      </c>
      <c r="CB144" s="687">
        <v>43399024</v>
      </c>
      <c r="CC144" s="687">
        <v>113177239</v>
      </c>
      <c r="CD144" s="687">
        <v>193167761</v>
      </c>
      <c r="CE144" s="687">
        <f t="shared" si="199"/>
        <v>319211.49</v>
      </c>
      <c r="CF144" s="687">
        <f t="shared" ref="CF144:CF157" si="205">+CB144/$CG$1*$CH$1</f>
        <v>45221.783007999999</v>
      </c>
      <c r="CG144" s="687">
        <f t="shared" ref="CG144:CG157" si="206">+CC144/$CG$1*$CH$1</f>
        <v>117930.683038</v>
      </c>
      <c r="CH144" s="687">
        <f t="shared" ref="CH144:CH157" si="207">+CD144/$CG$1*$CH$1</f>
        <v>201280.806962</v>
      </c>
      <c r="CP144" s="731" t="s">
        <v>768</v>
      </c>
      <c r="CQ144" s="730">
        <v>22500000</v>
      </c>
      <c r="CR144" s="730">
        <v>22456599</v>
      </c>
      <c r="CS144" s="730">
        <v>22456599</v>
      </c>
      <c r="CT144" s="730">
        <v>43401</v>
      </c>
      <c r="CU144" s="730">
        <f t="shared" si="140"/>
        <v>23445</v>
      </c>
      <c r="CV144" s="730">
        <f t="shared" si="141"/>
        <v>23399.776158000001</v>
      </c>
      <c r="CW144" s="730">
        <f t="shared" si="142"/>
        <v>23399.776158000001</v>
      </c>
      <c r="CX144" s="730">
        <f t="shared" si="143"/>
        <v>45.223842000000005</v>
      </c>
      <c r="DE144" s="729" t="s">
        <v>577</v>
      </c>
      <c r="DF144" s="687">
        <v>306345000</v>
      </c>
      <c r="DG144" s="687">
        <v>104458169</v>
      </c>
      <c r="DH144" s="687">
        <v>115019169</v>
      </c>
      <c r="DI144" s="687">
        <v>191325831</v>
      </c>
      <c r="DJ144" s="730">
        <f t="shared" si="168"/>
        <v>319211.49</v>
      </c>
      <c r="DK144" s="730">
        <f t="shared" si="169"/>
        <v>108845.412098</v>
      </c>
      <c r="DL144" s="730">
        <f t="shared" si="170"/>
        <v>119849.97409799999</v>
      </c>
      <c r="DM144" s="730">
        <f t="shared" si="171"/>
        <v>199361.51590200001</v>
      </c>
      <c r="DT144" s="729" t="s">
        <v>851</v>
      </c>
      <c r="DU144" s="687">
        <v>100000000</v>
      </c>
      <c r="DV144" s="687">
        <v>0</v>
      </c>
      <c r="DW144" s="687">
        <v>97064</v>
      </c>
      <c r="DX144" s="687">
        <v>99902936</v>
      </c>
      <c r="DY144" s="730">
        <f t="shared" si="172"/>
        <v>100000</v>
      </c>
      <c r="DZ144" s="730">
        <f t="shared" si="173"/>
        <v>0</v>
      </c>
      <c r="EA144" s="730">
        <f t="shared" si="174"/>
        <v>97.063999999999993</v>
      </c>
      <c r="EB144" s="730">
        <f t="shared" si="175"/>
        <v>99902.936000000002</v>
      </c>
      <c r="EI144" s="731" t="s">
        <v>844</v>
      </c>
      <c r="EJ144" s="730">
        <v>71000000</v>
      </c>
      <c r="EK144" s="730">
        <v>416256037</v>
      </c>
      <c r="EL144" s="730">
        <v>416256037</v>
      </c>
      <c r="EM144" s="734">
        <f t="shared" si="176"/>
        <v>71000</v>
      </c>
      <c r="EN144" s="734">
        <f t="shared" si="177"/>
        <v>416256.03700000001</v>
      </c>
      <c r="EO144" s="734">
        <f t="shared" si="178"/>
        <v>416256.03700000001</v>
      </c>
      <c r="EW144" s="729" t="s">
        <v>849</v>
      </c>
      <c r="EX144" s="687">
        <v>0</v>
      </c>
      <c r="EY144" s="687">
        <v>2640021</v>
      </c>
      <c r="EZ144" s="687">
        <v>2640021</v>
      </c>
      <c r="FA144" s="687">
        <v>2640021</v>
      </c>
      <c r="FB144" s="687">
        <v>0</v>
      </c>
      <c r="FC144" s="730">
        <f t="shared" si="179"/>
        <v>0</v>
      </c>
      <c r="FD144" s="730">
        <f t="shared" si="180"/>
        <v>2640.0210000000002</v>
      </c>
      <c r="FE144" s="730">
        <f t="shared" si="181"/>
        <v>2640.0210000000002</v>
      </c>
      <c r="FF144" s="730">
        <f t="shared" si="182"/>
        <v>2640.0210000000002</v>
      </c>
      <c r="FG144" s="730">
        <f t="shared" si="183"/>
        <v>0</v>
      </c>
      <c r="FN144" s="735" t="s">
        <v>844</v>
      </c>
      <c r="FO144" s="736">
        <v>71000000</v>
      </c>
      <c r="FP144" s="736">
        <v>485972671</v>
      </c>
      <c r="FQ144" s="736">
        <v>485972671</v>
      </c>
      <c r="FR144" s="736">
        <f t="shared" si="184"/>
        <v>71000</v>
      </c>
      <c r="FS144" s="736">
        <f t="shared" si="185"/>
        <v>485972.67099999997</v>
      </c>
      <c r="FT144" s="736">
        <f t="shared" si="186"/>
        <v>485972.67099999997</v>
      </c>
    </row>
    <row r="145" spans="1:176" ht="15" customHeight="1" x14ac:dyDescent="0.25">
      <c r="A145" s="728" t="s">
        <v>880</v>
      </c>
      <c r="B145" s="729"/>
      <c r="C145" s="687"/>
      <c r="D145" s="687"/>
      <c r="E145" s="687"/>
      <c r="F145" s="687"/>
      <c r="G145" s="687"/>
      <c r="H145" s="730"/>
      <c r="I145" s="730"/>
      <c r="J145" s="730"/>
      <c r="K145" s="730"/>
      <c r="S145" s="729" t="s">
        <v>404</v>
      </c>
      <c r="T145" s="687">
        <v>10100</v>
      </c>
      <c r="U145" s="687">
        <v>1085592314</v>
      </c>
      <c r="V145" s="687">
        <v>1085592314</v>
      </c>
      <c r="W145" s="687">
        <v>-1085582214</v>
      </c>
      <c r="X145" s="730">
        <f t="shared" si="200"/>
        <v>10.5242</v>
      </c>
      <c r="Y145" s="730">
        <f t="shared" si="200"/>
        <v>1131187.1911880001</v>
      </c>
      <c r="Z145" s="730">
        <f t="shared" si="200"/>
        <v>1131187.1911880001</v>
      </c>
      <c r="AA145" s="730">
        <f t="shared" si="200"/>
        <v>-1131176.666988</v>
      </c>
      <c r="AG145" s="729" t="s">
        <v>579</v>
      </c>
      <c r="AH145" s="687">
        <v>139738375</v>
      </c>
      <c r="AI145" s="687">
        <v>8100000</v>
      </c>
      <c r="AJ145" s="687">
        <v>8480800</v>
      </c>
      <c r="AK145" s="687">
        <v>131257575</v>
      </c>
      <c r="AL145" s="687">
        <f t="shared" si="191"/>
        <v>145607.38675000001</v>
      </c>
      <c r="AM145" s="687">
        <f t="shared" si="192"/>
        <v>8440.2000000000007</v>
      </c>
      <c r="AN145" s="687">
        <f t="shared" si="193"/>
        <v>8836.9935999999998</v>
      </c>
      <c r="AO145" s="687">
        <f t="shared" si="194"/>
        <v>136770.39315000002</v>
      </c>
      <c r="AV145" s="729" t="s">
        <v>398</v>
      </c>
      <c r="AW145" s="687">
        <v>228883000</v>
      </c>
      <c r="AX145" s="687">
        <v>18450100</v>
      </c>
      <c r="AY145" s="687">
        <v>25354925</v>
      </c>
      <c r="AZ145" s="687">
        <v>203528075</v>
      </c>
      <c r="BA145" s="730">
        <f t="shared" ref="BA145:BA154" si="208">+AW145/$BC$1*$BD$1</f>
        <v>238496.08600000001</v>
      </c>
      <c r="BB145" s="730">
        <f t="shared" si="196"/>
        <v>19225.004199999999</v>
      </c>
      <c r="BC145" s="730">
        <f t="shared" si="197"/>
        <v>26419.831849999999</v>
      </c>
      <c r="BD145" s="730">
        <f t="shared" si="198"/>
        <v>212076.25415000002</v>
      </c>
      <c r="BF145" s="742"/>
      <c r="BK145" s="754" t="s">
        <v>768</v>
      </c>
      <c r="BL145" s="687">
        <v>22500000</v>
      </c>
      <c r="BM145" s="687">
        <v>22456599</v>
      </c>
      <c r="BN145" s="687">
        <v>22456599</v>
      </c>
      <c r="BO145" s="687">
        <v>43401</v>
      </c>
      <c r="BP145" s="687">
        <f t="shared" si="201"/>
        <v>23445</v>
      </c>
      <c r="BQ145" s="687">
        <f t="shared" si="202"/>
        <v>23399.776158000001</v>
      </c>
      <c r="BR145" s="687">
        <f t="shared" si="203"/>
        <v>23399.776158000001</v>
      </c>
      <c r="BS145" s="755">
        <f t="shared" si="204"/>
        <v>45.223842000000005</v>
      </c>
      <c r="BZ145" s="729" t="s">
        <v>768</v>
      </c>
      <c r="CA145" s="687">
        <v>22500000</v>
      </c>
      <c r="CB145" s="687">
        <v>22456599</v>
      </c>
      <c r="CC145" s="687">
        <v>22456599</v>
      </c>
      <c r="CD145" s="687">
        <v>43401</v>
      </c>
      <c r="CE145" s="687">
        <f t="shared" si="199"/>
        <v>23445</v>
      </c>
      <c r="CF145" s="687">
        <f t="shared" si="205"/>
        <v>23399.776158000001</v>
      </c>
      <c r="CG145" s="687">
        <f t="shared" si="206"/>
        <v>23399.776158000001</v>
      </c>
      <c r="CH145" s="687">
        <f t="shared" si="207"/>
        <v>45.223842000000005</v>
      </c>
      <c r="CP145" s="731" t="s">
        <v>824</v>
      </c>
      <c r="CQ145" s="730">
        <v>21000000</v>
      </c>
      <c r="CR145" s="730">
        <v>226100</v>
      </c>
      <c r="CS145" s="730">
        <v>2067030</v>
      </c>
      <c r="CT145" s="730">
        <v>18932970</v>
      </c>
      <c r="CU145" s="730">
        <f t="shared" si="140"/>
        <v>21882</v>
      </c>
      <c r="CV145" s="730">
        <f t="shared" si="141"/>
        <v>235.59620000000001</v>
      </c>
      <c r="CW145" s="730">
        <f t="shared" si="142"/>
        <v>2153.8452600000005</v>
      </c>
      <c r="CX145" s="730">
        <f t="shared" si="143"/>
        <v>19728.154740000002</v>
      </c>
      <c r="DE145" s="729" t="s">
        <v>768</v>
      </c>
      <c r="DF145" s="687">
        <v>22500000</v>
      </c>
      <c r="DG145" s="687">
        <v>22456599</v>
      </c>
      <c r="DH145" s="687">
        <v>22456599</v>
      </c>
      <c r="DI145" s="687">
        <v>43401</v>
      </c>
      <c r="DJ145" s="730">
        <f t="shared" si="168"/>
        <v>23445</v>
      </c>
      <c r="DK145" s="730">
        <f t="shared" si="169"/>
        <v>23399.776158000001</v>
      </c>
      <c r="DL145" s="730">
        <f t="shared" si="170"/>
        <v>23399.776158000001</v>
      </c>
      <c r="DM145" s="730">
        <f t="shared" si="171"/>
        <v>45.223842000000005</v>
      </c>
      <c r="DT145" s="729" t="s">
        <v>577</v>
      </c>
      <c r="DU145" s="687">
        <v>306345000</v>
      </c>
      <c r="DV145" s="687">
        <v>104458169</v>
      </c>
      <c r="DW145" s="687">
        <v>115840267</v>
      </c>
      <c r="DX145" s="687">
        <v>190504733</v>
      </c>
      <c r="DY145" s="730">
        <f t="shared" si="172"/>
        <v>306345</v>
      </c>
      <c r="DZ145" s="730">
        <f t="shared" si="173"/>
        <v>104458.16899999999</v>
      </c>
      <c r="EA145" s="730">
        <f t="shared" si="174"/>
        <v>115840.26700000001</v>
      </c>
      <c r="EB145" s="730">
        <f t="shared" si="175"/>
        <v>190504.73300000001</v>
      </c>
      <c r="EI145" s="731" t="s">
        <v>849</v>
      </c>
      <c r="EJ145" s="730">
        <v>1600000</v>
      </c>
      <c r="EK145" s="730">
        <v>1467627</v>
      </c>
      <c r="EL145" s="730">
        <v>1467627</v>
      </c>
      <c r="EM145" s="734">
        <f t="shared" si="176"/>
        <v>1600</v>
      </c>
      <c r="EN145" s="734">
        <f t="shared" si="177"/>
        <v>1467.627</v>
      </c>
      <c r="EO145" s="734">
        <f t="shared" si="178"/>
        <v>1467.627</v>
      </c>
      <c r="EW145" s="729" t="s">
        <v>850</v>
      </c>
      <c r="EX145" s="687">
        <v>0</v>
      </c>
      <c r="EY145" s="687">
        <v>78000</v>
      </c>
      <c r="EZ145" s="687">
        <v>0</v>
      </c>
      <c r="FA145" s="687">
        <v>0</v>
      </c>
      <c r="FB145" s="687">
        <v>78000</v>
      </c>
      <c r="FC145" s="730">
        <f t="shared" si="179"/>
        <v>0</v>
      </c>
      <c r="FD145" s="730">
        <f t="shared" si="180"/>
        <v>78</v>
      </c>
      <c r="FE145" s="730">
        <f t="shared" si="181"/>
        <v>0</v>
      </c>
      <c r="FF145" s="730">
        <f t="shared" si="182"/>
        <v>0</v>
      </c>
      <c r="FG145" s="730">
        <f t="shared" si="183"/>
        <v>78</v>
      </c>
      <c r="FN145" s="735" t="s">
        <v>974</v>
      </c>
      <c r="FO145" s="736">
        <v>32805004</v>
      </c>
      <c r="FP145" s="736">
        <v>32805004</v>
      </c>
      <c r="FQ145" s="736">
        <v>32805004</v>
      </c>
      <c r="FR145" s="736">
        <f t="shared" si="184"/>
        <v>32805.004000000001</v>
      </c>
      <c r="FS145" s="736">
        <f t="shared" si="185"/>
        <v>32805.004000000001</v>
      </c>
      <c r="FT145" s="736">
        <f t="shared" si="186"/>
        <v>32805.004000000001</v>
      </c>
    </row>
    <row r="146" spans="1:176" ht="15" customHeight="1" x14ac:dyDescent="0.25">
      <c r="A146" s="728" t="s">
        <v>879</v>
      </c>
      <c r="B146" s="729"/>
      <c r="C146" s="687"/>
      <c r="D146" s="687"/>
      <c r="E146" s="687"/>
      <c r="F146" s="687"/>
      <c r="G146" s="687"/>
      <c r="H146" s="730"/>
      <c r="I146" s="730"/>
      <c r="J146" s="730"/>
      <c r="K146" s="730"/>
      <c r="S146" s="729"/>
      <c r="T146" s="687"/>
      <c r="U146" s="687"/>
      <c r="V146" s="687"/>
      <c r="W146" s="687"/>
      <c r="X146" s="730"/>
      <c r="Y146" s="730"/>
      <c r="Z146" s="730"/>
      <c r="AA146" s="730"/>
      <c r="AG146" s="729" t="s">
        <v>762</v>
      </c>
      <c r="AH146" s="687">
        <v>89144625</v>
      </c>
      <c r="AI146" s="687">
        <v>4153875</v>
      </c>
      <c r="AJ146" s="687">
        <v>12461625</v>
      </c>
      <c r="AK146" s="687">
        <v>76683000</v>
      </c>
      <c r="AL146" s="687">
        <f t="shared" si="191"/>
        <v>92888.699250000005</v>
      </c>
      <c r="AM146" s="687">
        <f t="shared" si="192"/>
        <v>4328.3377500000006</v>
      </c>
      <c r="AN146" s="687">
        <f t="shared" si="193"/>
        <v>12985.01325</v>
      </c>
      <c r="AO146" s="687">
        <f t="shared" si="194"/>
        <v>79903.686000000002</v>
      </c>
      <c r="AV146" s="729" t="s">
        <v>579</v>
      </c>
      <c r="AW146" s="687">
        <v>139738375</v>
      </c>
      <c r="AX146" s="687">
        <v>8480800</v>
      </c>
      <c r="AY146" s="687">
        <v>12893300</v>
      </c>
      <c r="AZ146" s="687">
        <v>126845075</v>
      </c>
      <c r="BA146" s="730">
        <f t="shared" si="208"/>
        <v>145607.38675000001</v>
      </c>
      <c r="BB146" s="730">
        <f t="shared" si="196"/>
        <v>8836.9935999999998</v>
      </c>
      <c r="BC146" s="730">
        <f t="shared" si="197"/>
        <v>13434.818600000001</v>
      </c>
      <c r="BD146" s="730">
        <f t="shared" si="198"/>
        <v>132172.56815000001</v>
      </c>
      <c r="BF146" s="742"/>
      <c r="BK146" s="754" t="s">
        <v>824</v>
      </c>
      <c r="BL146" s="687">
        <v>21000000</v>
      </c>
      <c r="BM146" s="687">
        <v>0</v>
      </c>
      <c r="BN146" s="687">
        <v>0</v>
      </c>
      <c r="BO146" s="687">
        <v>21000000</v>
      </c>
      <c r="BP146" s="687">
        <f t="shared" si="201"/>
        <v>21882</v>
      </c>
      <c r="BQ146" s="687">
        <f t="shared" si="202"/>
        <v>0</v>
      </c>
      <c r="BR146" s="687">
        <f t="shared" si="203"/>
        <v>0</v>
      </c>
      <c r="BS146" s="755">
        <f t="shared" si="204"/>
        <v>21882</v>
      </c>
      <c r="BZ146" s="729" t="s">
        <v>824</v>
      </c>
      <c r="CA146" s="687">
        <v>21000000</v>
      </c>
      <c r="CB146" s="687">
        <v>0</v>
      </c>
      <c r="CC146" s="687">
        <v>226100</v>
      </c>
      <c r="CD146" s="687">
        <v>20773900</v>
      </c>
      <c r="CE146" s="687">
        <f t="shared" si="199"/>
        <v>21882</v>
      </c>
      <c r="CF146" s="687">
        <f t="shared" si="205"/>
        <v>0</v>
      </c>
      <c r="CG146" s="687">
        <f t="shared" si="206"/>
        <v>235.59620000000001</v>
      </c>
      <c r="CH146" s="687">
        <f t="shared" si="207"/>
        <v>21646.403800000004</v>
      </c>
      <c r="CP146" s="731" t="s">
        <v>397</v>
      </c>
      <c r="CQ146" s="730">
        <v>41500000</v>
      </c>
      <c r="CR146" s="730">
        <v>1948625</v>
      </c>
      <c r="CS146" s="730">
        <v>37448625</v>
      </c>
      <c r="CT146" s="730">
        <v>4051375</v>
      </c>
      <c r="CU146" s="730">
        <f t="shared" si="140"/>
        <v>43243</v>
      </c>
      <c r="CV146" s="730">
        <f t="shared" si="141"/>
        <v>2030.4672500000001</v>
      </c>
      <c r="CW146" s="730">
        <f t="shared" si="142"/>
        <v>39021.467250000002</v>
      </c>
      <c r="CX146" s="730">
        <f t="shared" si="143"/>
        <v>4221.5327500000003</v>
      </c>
      <c r="DE146" s="729" t="s">
        <v>824</v>
      </c>
      <c r="DF146" s="687">
        <v>21000000</v>
      </c>
      <c r="DG146" s="687">
        <v>2067030</v>
      </c>
      <c r="DH146" s="687">
        <v>2067030</v>
      </c>
      <c r="DI146" s="687">
        <v>18932970</v>
      </c>
      <c r="DJ146" s="730">
        <f t="shared" si="168"/>
        <v>21882</v>
      </c>
      <c r="DK146" s="730">
        <f t="shared" si="169"/>
        <v>2153.8452600000005</v>
      </c>
      <c r="DL146" s="730">
        <f t="shared" si="170"/>
        <v>2153.8452600000005</v>
      </c>
      <c r="DM146" s="730">
        <f t="shared" si="171"/>
        <v>19728.154740000002</v>
      </c>
      <c r="DT146" s="729" t="s">
        <v>768</v>
      </c>
      <c r="DU146" s="687">
        <v>22500000</v>
      </c>
      <c r="DV146" s="687">
        <v>22456599</v>
      </c>
      <c r="DW146" s="687">
        <v>22456599</v>
      </c>
      <c r="DX146" s="687">
        <v>43401</v>
      </c>
      <c r="DY146" s="730">
        <f t="shared" ref="DY146:DY164" si="209">+DU146/$EA$1*$EB$1</f>
        <v>22500</v>
      </c>
      <c r="DZ146" s="730">
        <f t="shared" ref="DZ146:DZ164" si="210">+DV146/$EA$1*$EB$1</f>
        <v>22456.598999999998</v>
      </c>
      <c r="EA146" s="730">
        <f t="shared" ref="EA146:EA164" si="211">+DW146/$EA$1*$EB$1</f>
        <v>22456.598999999998</v>
      </c>
      <c r="EB146" s="730">
        <f t="shared" ref="EB146:EB164" si="212">+DX146/$EA$1*$EB$1</f>
        <v>43.401000000000003</v>
      </c>
      <c r="EI146" s="731" t="s">
        <v>850</v>
      </c>
      <c r="EJ146" s="730">
        <v>78000</v>
      </c>
      <c r="EK146" s="730">
        <v>0</v>
      </c>
      <c r="EL146" s="730">
        <v>0</v>
      </c>
      <c r="EM146" s="734">
        <f t="shared" si="176"/>
        <v>78</v>
      </c>
      <c r="EN146" s="734">
        <f t="shared" si="177"/>
        <v>0</v>
      </c>
      <c r="EO146" s="734">
        <f t="shared" si="178"/>
        <v>0</v>
      </c>
      <c r="EW146" s="729" t="s">
        <v>851</v>
      </c>
      <c r="EX146" s="687">
        <v>0</v>
      </c>
      <c r="EY146" s="687">
        <v>64654975</v>
      </c>
      <c r="EZ146" s="687">
        <v>0</v>
      </c>
      <c r="FA146" s="687">
        <v>97064</v>
      </c>
      <c r="FB146" s="687">
        <v>64557911</v>
      </c>
      <c r="FC146" s="730">
        <f t="shared" si="179"/>
        <v>0</v>
      </c>
      <c r="FD146" s="730">
        <f t="shared" si="180"/>
        <v>64654.974999999999</v>
      </c>
      <c r="FE146" s="730">
        <f t="shared" si="181"/>
        <v>0</v>
      </c>
      <c r="FF146" s="730">
        <f t="shared" si="182"/>
        <v>97.063999999999993</v>
      </c>
      <c r="FG146" s="730">
        <f t="shared" si="183"/>
        <v>64557.911</v>
      </c>
      <c r="FN146" s="735" t="s">
        <v>849</v>
      </c>
      <c r="FO146" s="736">
        <v>2640021</v>
      </c>
      <c r="FP146" s="736">
        <v>2640021</v>
      </c>
      <c r="FQ146" s="736">
        <v>2640021</v>
      </c>
      <c r="FR146" s="736">
        <f t="shared" si="184"/>
        <v>2640.0210000000002</v>
      </c>
      <c r="FS146" s="736">
        <f t="shared" si="185"/>
        <v>2640.0210000000002</v>
      </c>
      <c r="FT146" s="736">
        <f t="shared" si="186"/>
        <v>2640.0210000000002</v>
      </c>
    </row>
    <row r="147" spans="1:176" ht="15" customHeight="1" x14ac:dyDescent="0.25">
      <c r="A147" s="728" t="s">
        <v>880</v>
      </c>
      <c r="S147" s="729"/>
      <c r="T147" s="687"/>
      <c r="U147" s="687"/>
      <c r="V147" s="687"/>
      <c r="W147" s="687"/>
      <c r="X147" s="730"/>
      <c r="Y147" s="730"/>
      <c r="Z147" s="730"/>
      <c r="AA147" s="730"/>
      <c r="AG147" s="732" t="s">
        <v>873</v>
      </c>
      <c r="AH147" s="687">
        <v>192052970000</v>
      </c>
      <c r="AI147" s="687">
        <v>1003570000</v>
      </c>
      <c r="AJ147" s="687">
        <v>1080957000</v>
      </c>
      <c r="AK147" s="687">
        <v>190972013000</v>
      </c>
      <c r="AL147" s="733">
        <f t="shared" si="191"/>
        <v>200119194.74000001</v>
      </c>
      <c r="AM147" s="733">
        <f t="shared" si="192"/>
        <v>1045719.9400000001</v>
      </c>
      <c r="AN147" s="733">
        <f t="shared" si="193"/>
        <v>1126357.1940000001</v>
      </c>
      <c r="AO147" s="733">
        <f t="shared" si="194"/>
        <v>198992837.546</v>
      </c>
      <c r="AV147" s="729" t="s">
        <v>762</v>
      </c>
      <c r="AW147" s="687">
        <v>89144625</v>
      </c>
      <c r="AX147" s="687">
        <v>9969300</v>
      </c>
      <c r="AY147" s="687">
        <v>12461625</v>
      </c>
      <c r="AZ147" s="687">
        <v>76683000</v>
      </c>
      <c r="BA147" s="730">
        <f t="shared" si="208"/>
        <v>92888.699250000005</v>
      </c>
      <c r="BB147" s="730">
        <f t="shared" si="196"/>
        <v>10388.0106</v>
      </c>
      <c r="BC147" s="730">
        <f t="shared" si="197"/>
        <v>12985.01325</v>
      </c>
      <c r="BD147" s="730">
        <f t="shared" si="198"/>
        <v>79903.686000000002</v>
      </c>
      <c r="BK147" s="754" t="s">
        <v>397</v>
      </c>
      <c r="BL147" s="687">
        <v>41500000</v>
      </c>
      <c r="BM147" s="687">
        <v>0</v>
      </c>
      <c r="BN147" s="687">
        <v>35500000</v>
      </c>
      <c r="BO147" s="687">
        <v>6000000</v>
      </c>
      <c r="BP147" s="687">
        <f t="shared" si="201"/>
        <v>43243</v>
      </c>
      <c r="BQ147" s="687">
        <f t="shared" si="202"/>
        <v>0</v>
      </c>
      <c r="BR147" s="687">
        <f t="shared" si="203"/>
        <v>36991</v>
      </c>
      <c r="BS147" s="755">
        <f t="shared" si="204"/>
        <v>6252</v>
      </c>
      <c r="BZ147" s="729" t="s">
        <v>397</v>
      </c>
      <c r="CA147" s="687">
        <v>41500000</v>
      </c>
      <c r="CB147" s="687">
        <v>0</v>
      </c>
      <c r="CC147" s="687">
        <v>37448625</v>
      </c>
      <c r="CD147" s="687">
        <v>4051375</v>
      </c>
      <c r="CE147" s="687">
        <f t="shared" si="199"/>
        <v>43243</v>
      </c>
      <c r="CF147" s="687">
        <f t="shared" si="205"/>
        <v>0</v>
      </c>
      <c r="CG147" s="687">
        <f t="shared" si="206"/>
        <v>39021.467250000002</v>
      </c>
      <c r="CH147" s="687">
        <f t="shared" si="207"/>
        <v>4221.5327500000003</v>
      </c>
      <c r="CP147" s="731" t="s">
        <v>578</v>
      </c>
      <c r="CQ147" s="730">
        <v>2000000</v>
      </c>
      <c r="CR147" s="730">
        <v>1948625</v>
      </c>
      <c r="CS147" s="730">
        <v>1948625</v>
      </c>
      <c r="CT147" s="730">
        <v>51375</v>
      </c>
      <c r="CU147" s="730">
        <f t="shared" si="140"/>
        <v>2084</v>
      </c>
      <c r="CV147" s="730">
        <f t="shared" si="141"/>
        <v>2030.4672500000001</v>
      </c>
      <c r="CW147" s="730">
        <f t="shared" si="142"/>
        <v>2030.4672500000001</v>
      </c>
      <c r="CX147" s="730">
        <f t="shared" si="143"/>
        <v>53.53275</v>
      </c>
      <c r="DE147" s="729" t="s">
        <v>397</v>
      </c>
      <c r="DF147" s="687">
        <v>41500000</v>
      </c>
      <c r="DG147" s="687">
        <v>37448624</v>
      </c>
      <c r="DH147" s="687">
        <v>37448625</v>
      </c>
      <c r="DI147" s="687">
        <v>4051375</v>
      </c>
      <c r="DJ147" s="730">
        <f t="shared" si="168"/>
        <v>43243</v>
      </c>
      <c r="DK147" s="730">
        <f t="shared" si="169"/>
        <v>39021.466208000005</v>
      </c>
      <c r="DL147" s="730">
        <f t="shared" si="170"/>
        <v>39021.467250000002</v>
      </c>
      <c r="DM147" s="730">
        <f t="shared" si="171"/>
        <v>4221.5327500000003</v>
      </c>
      <c r="DT147" s="729" t="s">
        <v>824</v>
      </c>
      <c r="DU147" s="687">
        <v>21000000</v>
      </c>
      <c r="DV147" s="687">
        <v>2067030</v>
      </c>
      <c r="DW147" s="687">
        <v>2067030</v>
      </c>
      <c r="DX147" s="687">
        <v>18932970</v>
      </c>
      <c r="DY147" s="730">
        <f t="shared" si="209"/>
        <v>21000</v>
      </c>
      <c r="DZ147" s="730">
        <f t="shared" si="210"/>
        <v>2067.0300000000002</v>
      </c>
      <c r="EA147" s="730">
        <f t="shared" si="211"/>
        <v>2067.0300000000002</v>
      </c>
      <c r="EB147" s="730">
        <f t="shared" si="212"/>
        <v>18932.97</v>
      </c>
      <c r="EI147" s="731" t="s">
        <v>851</v>
      </c>
      <c r="EJ147" s="730">
        <v>98500000</v>
      </c>
      <c r="EK147" s="730">
        <v>97064</v>
      </c>
      <c r="EL147" s="730">
        <v>0</v>
      </c>
      <c r="EM147" s="734">
        <f t="shared" si="176"/>
        <v>98500</v>
      </c>
      <c r="EN147" s="734">
        <f t="shared" si="177"/>
        <v>97.063999999999993</v>
      </c>
      <c r="EO147" s="734">
        <f t="shared" si="178"/>
        <v>0</v>
      </c>
      <c r="EW147" s="729" t="s">
        <v>577</v>
      </c>
      <c r="EX147" s="687">
        <v>261711000</v>
      </c>
      <c r="EY147" s="687">
        <v>275925887</v>
      </c>
      <c r="EZ147" s="687">
        <v>215830007</v>
      </c>
      <c r="FA147" s="687">
        <v>226390007</v>
      </c>
      <c r="FB147" s="687">
        <v>49535880</v>
      </c>
      <c r="FC147" s="730">
        <f t="shared" si="179"/>
        <v>261711</v>
      </c>
      <c r="FD147" s="730">
        <f t="shared" si="180"/>
        <v>275925.88699999999</v>
      </c>
      <c r="FE147" s="730">
        <f t="shared" si="181"/>
        <v>215830.00700000001</v>
      </c>
      <c r="FF147" s="730">
        <f t="shared" si="182"/>
        <v>226390.00700000001</v>
      </c>
      <c r="FG147" s="730">
        <f t="shared" si="183"/>
        <v>49535.88</v>
      </c>
      <c r="FN147" s="735" t="s">
        <v>850</v>
      </c>
      <c r="FO147" s="736">
        <v>78000</v>
      </c>
      <c r="FP147" s="736">
        <v>0</v>
      </c>
      <c r="FQ147" s="736">
        <v>0</v>
      </c>
      <c r="FR147" s="736">
        <f t="shared" si="184"/>
        <v>78</v>
      </c>
      <c r="FS147" s="736">
        <f t="shared" si="185"/>
        <v>0</v>
      </c>
      <c r="FT147" s="736">
        <f t="shared" si="186"/>
        <v>0</v>
      </c>
    </row>
    <row r="148" spans="1:176" ht="15" customHeight="1" x14ac:dyDescent="0.25">
      <c r="A148" s="728" t="s">
        <v>881</v>
      </c>
      <c r="H148" s="730"/>
      <c r="I148" s="730"/>
      <c r="J148" s="730"/>
      <c r="K148" s="730"/>
      <c r="AG148" s="729" t="s">
        <v>874</v>
      </c>
      <c r="AH148" s="687">
        <v>192052970000</v>
      </c>
      <c r="AI148" s="687">
        <v>1003570000</v>
      </c>
      <c r="AJ148" s="687">
        <v>1080957000</v>
      </c>
      <c r="AK148" s="687">
        <v>190972013000</v>
      </c>
      <c r="AL148" s="687">
        <f t="shared" si="191"/>
        <v>200119194.74000001</v>
      </c>
      <c r="AM148" s="687">
        <f t="shared" si="192"/>
        <v>1045719.9400000001</v>
      </c>
      <c r="AN148" s="687">
        <f t="shared" si="193"/>
        <v>1126357.1940000001</v>
      </c>
      <c r="AO148" s="687">
        <f t="shared" si="194"/>
        <v>198992837.546</v>
      </c>
      <c r="AV148" s="729" t="s">
        <v>873</v>
      </c>
      <c r="AW148" s="687">
        <v>192052970000</v>
      </c>
      <c r="AX148" s="687">
        <v>1003570000</v>
      </c>
      <c r="AY148" s="687">
        <v>1080957000</v>
      </c>
      <c r="AZ148" s="687">
        <v>190972013000</v>
      </c>
      <c r="BA148" s="730">
        <f t="shared" si="208"/>
        <v>200119194.74000001</v>
      </c>
      <c r="BB148" s="730">
        <f t="shared" si="196"/>
        <v>1045719.9400000001</v>
      </c>
      <c r="BC148" s="730">
        <f t="shared" si="197"/>
        <v>1126357.1940000001</v>
      </c>
      <c r="BD148" s="730">
        <f t="shared" si="198"/>
        <v>198992837.546</v>
      </c>
      <c r="BK148" s="754" t="s">
        <v>578</v>
      </c>
      <c r="BL148" s="687">
        <v>2000000</v>
      </c>
      <c r="BM148" s="687">
        <v>0</v>
      </c>
      <c r="BN148" s="687">
        <v>0</v>
      </c>
      <c r="BO148" s="687">
        <v>2000000</v>
      </c>
      <c r="BP148" s="687">
        <f t="shared" si="201"/>
        <v>2084</v>
      </c>
      <c r="BQ148" s="687">
        <f t="shared" si="202"/>
        <v>0</v>
      </c>
      <c r="BR148" s="687">
        <f t="shared" si="203"/>
        <v>0</v>
      </c>
      <c r="BS148" s="755">
        <f t="shared" si="204"/>
        <v>2084</v>
      </c>
      <c r="BZ148" s="729" t="s">
        <v>578</v>
      </c>
      <c r="CA148" s="687">
        <v>2000000</v>
      </c>
      <c r="CB148" s="687">
        <v>0</v>
      </c>
      <c r="CC148" s="687">
        <v>1948625</v>
      </c>
      <c r="CD148" s="687">
        <v>51375</v>
      </c>
      <c r="CE148" s="687">
        <f t="shared" si="199"/>
        <v>2084</v>
      </c>
      <c r="CF148" s="687">
        <f t="shared" si="205"/>
        <v>0</v>
      </c>
      <c r="CG148" s="687">
        <f t="shared" si="206"/>
        <v>2030.4672500000001</v>
      </c>
      <c r="CH148" s="687">
        <f t="shared" si="207"/>
        <v>53.53275</v>
      </c>
      <c r="CP148" s="731" t="s">
        <v>926</v>
      </c>
      <c r="CQ148" s="730">
        <v>39500000</v>
      </c>
      <c r="CR148" s="730">
        <v>0</v>
      </c>
      <c r="CS148" s="730">
        <v>35500000</v>
      </c>
      <c r="CT148" s="730">
        <v>4000000</v>
      </c>
      <c r="CU148" s="730">
        <f t="shared" si="140"/>
        <v>41159</v>
      </c>
      <c r="CV148" s="730">
        <f t="shared" si="141"/>
        <v>0</v>
      </c>
      <c r="CW148" s="730">
        <f t="shared" si="142"/>
        <v>36991</v>
      </c>
      <c r="CX148" s="730">
        <f t="shared" si="143"/>
        <v>4168</v>
      </c>
      <c r="DE148" s="729" t="s">
        <v>578</v>
      </c>
      <c r="DF148" s="687">
        <v>2948625</v>
      </c>
      <c r="DG148" s="687">
        <v>1948625</v>
      </c>
      <c r="DH148" s="687">
        <v>1948625</v>
      </c>
      <c r="DI148" s="687">
        <v>1000000</v>
      </c>
      <c r="DJ148" s="730">
        <f t="shared" si="168"/>
        <v>3072.4672500000001</v>
      </c>
      <c r="DK148" s="730">
        <f t="shared" si="169"/>
        <v>2030.4672500000001</v>
      </c>
      <c r="DL148" s="730">
        <f t="shared" si="170"/>
        <v>2030.4672500000001</v>
      </c>
      <c r="DM148" s="730">
        <f t="shared" si="171"/>
        <v>1042</v>
      </c>
      <c r="DT148" s="729" t="s">
        <v>397</v>
      </c>
      <c r="DU148" s="687">
        <v>41500000</v>
      </c>
      <c r="DV148" s="687">
        <v>37448624</v>
      </c>
      <c r="DW148" s="687">
        <v>38269723</v>
      </c>
      <c r="DX148" s="687">
        <v>3230277</v>
      </c>
      <c r="DY148" s="730">
        <f t="shared" si="209"/>
        <v>41500</v>
      </c>
      <c r="DZ148" s="730">
        <f t="shared" si="210"/>
        <v>37448.624000000003</v>
      </c>
      <c r="EA148" s="730">
        <f t="shared" si="211"/>
        <v>38269.722999999998</v>
      </c>
      <c r="EB148" s="730">
        <f t="shared" si="212"/>
        <v>3230.277</v>
      </c>
      <c r="EI148" s="731" t="s">
        <v>822</v>
      </c>
      <c r="EJ148" s="730">
        <v>0</v>
      </c>
      <c r="EK148" s="730">
        <v>0</v>
      </c>
      <c r="EL148" s="730">
        <v>0</v>
      </c>
      <c r="EM148" s="734">
        <f t="shared" si="176"/>
        <v>0</v>
      </c>
      <c r="EN148" s="734">
        <f t="shared" si="177"/>
        <v>0</v>
      </c>
      <c r="EO148" s="734">
        <f t="shared" si="178"/>
        <v>0</v>
      </c>
      <c r="EW148" s="729" t="s">
        <v>768</v>
      </c>
      <c r="EX148" s="687">
        <v>22457000</v>
      </c>
      <c r="EY148" s="687">
        <v>22457000</v>
      </c>
      <c r="EZ148" s="687">
        <v>22456599</v>
      </c>
      <c r="FA148" s="687">
        <v>22456599</v>
      </c>
      <c r="FB148" s="687">
        <v>401</v>
      </c>
      <c r="FC148" s="730">
        <f t="shared" si="179"/>
        <v>22457</v>
      </c>
      <c r="FD148" s="730">
        <f t="shared" si="180"/>
        <v>22457</v>
      </c>
      <c r="FE148" s="730">
        <f t="shared" si="181"/>
        <v>22456.598999999998</v>
      </c>
      <c r="FF148" s="730">
        <f t="shared" si="182"/>
        <v>22456.598999999998</v>
      </c>
      <c r="FG148" s="730">
        <f t="shared" si="183"/>
        <v>0.40100000000000002</v>
      </c>
      <c r="FN148" s="735" t="s">
        <v>851</v>
      </c>
      <c r="FO148" s="736">
        <v>64654975</v>
      </c>
      <c r="FP148" s="736">
        <v>0</v>
      </c>
      <c r="FQ148" s="736">
        <v>0</v>
      </c>
      <c r="FR148" s="736">
        <f t="shared" si="184"/>
        <v>64654.974999999999</v>
      </c>
      <c r="FS148" s="736">
        <f t="shared" si="185"/>
        <v>0</v>
      </c>
      <c r="FT148" s="736">
        <f t="shared" si="186"/>
        <v>0</v>
      </c>
    </row>
    <row r="149" spans="1:176" ht="15" customHeight="1" x14ac:dyDescent="0.25">
      <c r="A149" s="728" t="s">
        <v>879</v>
      </c>
      <c r="H149" s="730"/>
      <c r="I149" s="730"/>
      <c r="J149" s="730"/>
      <c r="K149" s="730"/>
      <c r="T149" s="729"/>
      <c r="V149" s="687"/>
      <c r="W149" s="687"/>
      <c r="AG149" s="729" t="s">
        <v>875</v>
      </c>
      <c r="AH149" s="687">
        <v>192052970000</v>
      </c>
      <c r="AI149" s="687">
        <v>1003570000</v>
      </c>
      <c r="AJ149" s="687">
        <v>1080957000</v>
      </c>
      <c r="AK149" s="687">
        <v>190972013000</v>
      </c>
      <c r="AL149" s="687">
        <f t="shared" si="191"/>
        <v>200119194.74000001</v>
      </c>
      <c r="AM149" s="687">
        <f t="shared" si="192"/>
        <v>1045719.9400000001</v>
      </c>
      <c r="AN149" s="687">
        <f t="shared" si="193"/>
        <v>1126357.1940000001</v>
      </c>
      <c r="AO149" s="687">
        <f t="shared" si="194"/>
        <v>198992837.546</v>
      </c>
      <c r="AV149" s="729" t="s">
        <v>874</v>
      </c>
      <c r="AW149" s="687">
        <v>192052970000</v>
      </c>
      <c r="AX149" s="687">
        <v>1003570000</v>
      </c>
      <c r="AY149" s="687">
        <v>1080957000</v>
      </c>
      <c r="AZ149" s="687">
        <v>190972013000</v>
      </c>
      <c r="BA149" s="730">
        <f t="shared" si="208"/>
        <v>200119194.74000001</v>
      </c>
      <c r="BB149" s="730">
        <f t="shared" si="196"/>
        <v>1045719.9400000001</v>
      </c>
      <c r="BC149" s="730">
        <f t="shared" si="197"/>
        <v>1126357.1940000001</v>
      </c>
      <c r="BD149" s="730">
        <f t="shared" si="198"/>
        <v>198992837.546</v>
      </c>
      <c r="BK149" s="754" t="s">
        <v>926</v>
      </c>
      <c r="BL149" s="687">
        <v>39500000</v>
      </c>
      <c r="BM149" s="687">
        <v>0</v>
      </c>
      <c r="BN149" s="687">
        <v>35500000</v>
      </c>
      <c r="BO149" s="687">
        <v>4000000</v>
      </c>
      <c r="BP149" s="687">
        <f t="shared" si="201"/>
        <v>41159</v>
      </c>
      <c r="BQ149" s="687">
        <f t="shared" si="202"/>
        <v>0</v>
      </c>
      <c r="BR149" s="687">
        <f t="shared" si="203"/>
        <v>36991</v>
      </c>
      <c r="BS149" s="755">
        <f t="shared" si="204"/>
        <v>4168</v>
      </c>
      <c r="BZ149" s="729" t="s">
        <v>926</v>
      </c>
      <c r="CA149" s="687">
        <v>39500000</v>
      </c>
      <c r="CB149" s="687">
        <v>0</v>
      </c>
      <c r="CC149" s="687">
        <v>35500000</v>
      </c>
      <c r="CD149" s="687">
        <v>4000000</v>
      </c>
      <c r="CE149" s="687">
        <f t="shared" si="199"/>
        <v>41159</v>
      </c>
      <c r="CF149" s="687">
        <f t="shared" si="205"/>
        <v>0</v>
      </c>
      <c r="CG149" s="687">
        <f t="shared" si="206"/>
        <v>36991</v>
      </c>
      <c r="CH149" s="687">
        <f t="shared" si="207"/>
        <v>4168</v>
      </c>
      <c r="CP149" s="731" t="s">
        <v>398</v>
      </c>
      <c r="CQ149" s="730">
        <v>221345000</v>
      </c>
      <c r="CR149" s="730">
        <v>23582425</v>
      </c>
      <c r="CS149" s="730">
        <v>53045915</v>
      </c>
      <c r="CT149" s="730">
        <v>168299085</v>
      </c>
      <c r="CU149" s="730">
        <f t="shared" si="140"/>
        <v>230641.49000000002</v>
      </c>
      <c r="CV149" s="730">
        <f t="shared" si="141"/>
        <v>24572.886849999999</v>
      </c>
      <c r="CW149" s="730">
        <f t="shared" si="142"/>
        <v>55273.843430000001</v>
      </c>
      <c r="CX149" s="730">
        <f t="shared" si="143"/>
        <v>175367.64657000001</v>
      </c>
      <c r="DE149" s="729" t="s">
        <v>926</v>
      </c>
      <c r="DF149" s="687">
        <v>38551375</v>
      </c>
      <c r="DG149" s="687">
        <v>35499999</v>
      </c>
      <c r="DH149" s="687">
        <v>35500000</v>
      </c>
      <c r="DI149" s="687">
        <v>3051375</v>
      </c>
      <c r="DJ149" s="730">
        <f t="shared" si="168"/>
        <v>40170.532749999998</v>
      </c>
      <c r="DK149" s="730">
        <f t="shared" si="169"/>
        <v>36990.998958000004</v>
      </c>
      <c r="DL149" s="730">
        <f t="shared" si="170"/>
        <v>36991</v>
      </c>
      <c r="DM149" s="730">
        <f t="shared" si="171"/>
        <v>3179.5327500000003</v>
      </c>
      <c r="DT149" s="729" t="s">
        <v>578</v>
      </c>
      <c r="DU149" s="687">
        <v>2948625</v>
      </c>
      <c r="DV149" s="687">
        <v>1948625</v>
      </c>
      <c r="DW149" s="687">
        <v>2769723</v>
      </c>
      <c r="DX149" s="687">
        <v>178902</v>
      </c>
      <c r="DY149" s="730">
        <f t="shared" si="209"/>
        <v>2948.625</v>
      </c>
      <c r="DZ149" s="730">
        <f t="shared" si="210"/>
        <v>1948.625</v>
      </c>
      <c r="EA149" s="730">
        <f t="shared" si="211"/>
        <v>2769.723</v>
      </c>
      <c r="EB149" s="730">
        <f t="shared" si="212"/>
        <v>178.90199999999999</v>
      </c>
      <c r="EI149" s="731" t="s">
        <v>823</v>
      </c>
      <c r="EJ149" s="730">
        <v>0</v>
      </c>
      <c r="EK149" s="730">
        <v>0</v>
      </c>
      <c r="EL149" s="730">
        <v>0</v>
      </c>
      <c r="EM149" s="734">
        <f t="shared" si="176"/>
        <v>0</v>
      </c>
      <c r="EN149" s="734">
        <f t="shared" si="177"/>
        <v>0</v>
      </c>
      <c r="EO149" s="734">
        <f t="shared" si="178"/>
        <v>0</v>
      </c>
      <c r="EW149" s="729" t="s">
        <v>824</v>
      </c>
      <c r="EX149" s="687">
        <v>3067000</v>
      </c>
      <c r="EY149" s="687">
        <v>16461165</v>
      </c>
      <c r="EZ149" s="687">
        <v>16461165</v>
      </c>
      <c r="FA149" s="687">
        <v>16461165</v>
      </c>
      <c r="FB149" s="687">
        <v>0</v>
      </c>
      <c r="FC149" s="730">
        <f t="shared" si="179"/>
        <v>3067</v>
      </c>
      <c r="FD149" s="730">
        <f t="shared" si="180"/>
        <v>16461.165000000001</v>
      </c>
      <c r="FE149" s="730">
        <f t="shared" si="181"/>
        <v>16461.165000000001</v>
      </c>
      <c r="FF149" s="730">
        <f t="shared" si="182"/>
        <v>16461.165000000001</v>
      </c>
      <c r="FG149" s="730">
        <f t="shared" si="183"/>
        <v>0</v>
      </c>
      <c r="FN149" s="735" t="s">
        <v>577</v>
      </c>
      <c r="FO149" s="736">
        <v>275928000</v>
      </c>
      <c r="FP149" s="736">
        <v>261409027</v>
      </c>
      <c r="FQ149" s="736">
        <v>268009027</v>
      </c>
      <c r="FR149" s="736">
        <f t="shared" si="184"/>
        <v>275928</v>
      </c>
      <c r="FS149" s="736">
        <f t="shared" si="185"/>
        <v>261409.027</v>
      </c>
      <c r="FT149" s="736">
        <f t="shared" si="186"/>
        <v>268009.027</v>
      </c>
    </row>
    <row r="150" spans="1:176" ht="15" customHeight="1" x14ac:dyDescent="0.25">
      <c r="T150" s="729"/>
      <c r="V150" s="687"/>
      <c r="W150" s="687"/>
      <c r="AG150" s="732" t="s">
        <v>399</v>
      </c>
      <c r="AH150" s="687">
        <v>15249044100</v>
      </c>
      <c r="AI150" s="687">
        <v>10011097898</v>
      </c>
      <c r="AJ150" s="687">
        <v>10011097898</v>
      </c>
      <c r="AK150" s="687">
        <v>5237946202</v>
      </c>
      <c r="AL150" s="733">
        <f t="shared" si="191"/>
        <v>15889503.952200001</v>
      </c>
      <c r="AM150" s="733">
        <f t="shared" si="192"/>
        <v>10431564.009716</v>
      </c>
      <c r="AN150" s="733">
        <f t="shared" si="193"/>
        <v>10431564.009716</v>
      </c>
      <c r="AO150" s="733">
        <f t="shared" si="194"/>
        <v>5457939.9424839998</v>
      </c>
      <c r="AV150" s="729" t="s">
        <v>875</v>
      </c>
      <c r="AW150" s="687">
        <v>192052970000</v>
      </c>
      <c r="AX150" s="687">
        <v>1003570000</v>
      </c>
      <c r="AY150" s="687">
        <v>1080957000</v>
      </c>
      <c r="AZ150" s="687">
        <v>190972013000</v>
      </c>
      <c r="BA150" s="730">
        <f t="shared" si="208"/>
        <v>200119194.74000001</v>
      </c>
      <c r="BB150" s="730">
        <f t="shared" si="196"/>
        <v>1045719.9400000001</v>
      </c>
      <c r="BC150" s="730">
        <f t="shared" si="197"/>
        <v>1126357.1940000001</v>
      </c>
      <c r="BD150" s="730">
        <f t="shared" si="198"/>
        <v>198992837.546</v>
      </c>
      <c r="BK150" s="754" t="s">
        <v>398</v>
      </c>
      <c r="BL150" s="687">
        <v>221345000</v>
      </c>
      <c r="BM150" s="687">
        <v>18450100</v>
      </c>
      <c r="BN150" s="687">
        <v>39845915</v>
      </c>
      <c r="BO150" s="687">
        <v>181499085</v>
      </c>
      <c r="BP150" s="687">
        <f t="shared" si="201"/>
        <v>230641.49000000002</v>
      </c>
      <c r="BQ150" s="687">
        <f t="shared" si="202"/>
        <v>19225.004199999999</v>
      </c>
      <c r="BR150" s="687">
        <f t="shared" si="203"/>
        <v>41519.443429999999</v>
      </c>
      <c r="BS150" s="755">
        <f t="shared" si="204"/>
        <v>189122.04657000001</v>
      </c>
      <c r="BZ150" s="729" t="s">
        <v>398</v>
      </c>
      <c r="CA150" s="687">
        <v>221345000</v>
      </c>
      <c r="CB150" s="687">
        <v>20942425</v>
      </c>
      <c r="CC150" s="687">
        <v>53045915</v>
      </c>
      <c r="CD150" s="687">
        <v>168299085</v>
      </c>
      <c r="CE150" s="687">
        <f t="shared" si="199"/>
        <v>230641.49000000002</v>
      </c>
      <c r="CF150" s="687">
        <f t="shared" si="205"/>
        <v>21822.006850000002</v>
      </c>
      <c r="CG150" s="687">
        <f t="shared" si="206"/>
        <v>55273.843430000001</v>
      </c>
      <c r="CH150" s="687">
        <f t="shared" si="207"/>
        <v>175367.64657000001</v>
      </c>
      <c r="CP150" s="731" t="s">
        <v>579</v>
      </c>
      <c r="CQ150" s="730">
        <v>132200375</v>
      </c>
      <c r="CR150" s="730">
        <v>11120800</v>
      </c>
      <c r="CS150" s="730">
        <v>40584290</v>
      </c>
      <c r="CT150" s="730">
        <v>91616085</v>
      </c>
      <c r="CU150" s="730">
        <f t="shared" si="140"/>
        <v>137752.79075000001</v>
      </c>
      <c r="CV150" s="730">
        <f t="shared" si="141"/>
        <v>11587.873599999999</v>
      </c>
      <c r="CW150" s="730">
        <f t="shared" si="142"/>
        <v>42288.830180000004</v>
      </c>
      <c r="CX150" s="730">
        <f t="shared" si="143"/>
        <v>95463.96057000001</v>
      </c>
      <c r="DE150" s="729" t="s">
        <v>398</v>
      </c>
      <c r="DF150" s="687">
        <v>221345000</v>
      </c>
      <c r="DG150" s="687">
        <v>42485916</v>
      </c>
      <c r="DH150" s="687">
        <v>53046915</v>
      </c>
      <c r="DI150" s="687">
        <v>168298085</v>
      </c>
      <c r="DJ150" s="730">
        <f t="shared" si="168"/>
        <v>230641.49000000002</v>
      </c>
      <c r="DK150" s="730">
        <f t="shared" si="169"/>
        <v>44270.324472</v>
      </c>
      <c r="DL150" s="730">
        <f t="shared" si="170"/>
        <v>55274.885430000002</v>
      </c>
      <c r="DM150" s="730">
        <f t="shared" si="171"/>
        <v>175366.60457</v>
      </c>
      <c r="DT150" s="729" t="s">
        <v>926</v>
      </c>
      <c r="DU150" s="687">
        <v>38551375</v>
      </c>
      <c r="DV150" s="687">
        <v>35499999</v>
      </c>
      <c r="DW150" s="687">
        <v>35500000</v>
      </c>
      <c r="DX150" s="687">
        <v>3051375</v>
      </c>
      <c r="DY150" s="730">
        <f t="shared" si="209"/>
        <v>38551.375</v>
      </c>
      <c r="DZ150" s="730">
        <f t="shared" si="210"/>
        <v>35499.999000000003</v>
      </c>
      <c r="EA150" s="730">
        <f t="shared" si="211"/>
        <v>35500</v>
      </c>
      <c r="EB150" s="730">
        <f t="shared" si="212"/>
        <v>3051.375</v>
      </c>
      <c r="EI150" s="731" t="s">
        <v>577</v>
      </c>
      <c r="EJ150" s="730">
        <v>306345000</v>
      </c>
      <c r="EK150" s="730">
        <v>138205022</v>
      </c>
      <c r="EL150" s="730">
        <v>112476387</v>
      </c>
      <c r="EM150" s="734">
        <f t="shared" si="176"/>
        <v>306345</v>
      </c>
      <c r="EN150" s="734">
        <f t="shared" si="177"/>
        <v>138205.022</v>
      </c>
      <c r="EO150" s="734">
        <f t="shared" si="178"/>
        <v>112476.387</v>
      </c>
      <c r="EW150" s="729" t="s">
        <v>397</v>
      </c>
      <c r="EX150" s="687">
        <v>37449000</v>
      </c>
      <c r="EY150" s="687">
        <v>38269722</v>
      </c>
      <c r="EZ150" s="687">
        <v>38269722</v>
      </c>
      <c r="FA150" s="687">
        <v>38269722</v>
      </c>
      <c r="FB150" s="687">
        <v>0</v>
      </c>
      <c r="FC150" s="730">
        <f t="shared" si="179"/>
        <v>37449</v>
      </c>
      <c r="FD150" s="730">
        <f t="shared" si="180"/>
        <v>38269.722000000002</v>
      </c>
      <c r="FE150" s="730">
        <f t="shared" si="181"/>
        <v>38269.722000000002</v>
      </c>
      <c r="FF150" s="730">
        <f t="shared" si="182"/>
        <v>38269.722000000002</v>
      </c>
      <c r="FG150" s="730">
        <f t="shared" si="183"/>
        <v>0</v>
      </c>
      <c r="FN150" s="735" t="s">
        <v>768</v>
      </c>
      <c r="FO150" s="736">
        <v>22457000</v>
      </c>
      <c r="FP150" s="736">
        <v>22456599</v>
      </c>
      <c r="FQ150" s="736">
        <v>22456599</v>
      </c>
      <c r="FR150" s="736">
        <f t="shared" si="184"/>
        <v>22457</v>
      </c>
      <c r="FS150" s="736">
        <f t="shared" si="185"/>
        <v>22456.598999999998</v>
      </c>
      <c r="FT150" s="736">
        <f t="shared" si="186"/>
        <v>22456.598999999998</v>
      </c>
    </row>
    <row r="151" spans="1:176" ht="15" customHeight="1" x14ac:dyDescent="0.25">
      <c r="K151" s="734"/>
      <c r="T151" s="729"/>
      <c r="V151" s="687"/>
      <c r="W151" s="687"/>
      <c r="AG151" s="744" t="s">
        <v>400</v>
      </c>
      <c r="AH151" s="687">
        <v>12687731000</v>
      </c>
      <c r="AI151" s="687">
        <v>7143800375</v>
      </c>
      <c r="AJ151" s="687">
        <v>7143800375</v>
      </c>
      <c r="AK151" s="687">
        <v>5543930625</v>
      </c>
      <c r="AL151" s="687">
        <f t="shared" si="191"/>
        <v>13220615.702</v>
      </c>
      <c r="AM151" s="687">
        <f t="shared" si="192"/>
        <v>7443839.9907499999</v>
      </c>
      <c r="AN151" s="687">
        <f t="shared" si="193"/>
        <v>7443839.9907499999</v>
      </c>
      <c r="AO151" s="687">
        <f t="shared" si="194"/>
        <v>5776775.7112500006</v>
      </c>
      <c r="AV151" s="739" t="s">
        <v>399</v>
      </c>
      <c r="AW151" s="740">
        <f>15249044100</f>
        <v>15249044100</v>
      </c>
      <c r="AX151" s="740">
        <f>10011097898</f>
        <v>10011097898</v>
      </c>
      <c r="AY151" s="740">
        <v>10011097898</v>
      </c>
      <c r="AZ151" s="740">
        <f>+AW151-AY151</f>
        <v>5237946202</v>
      </c>
      <c r="BA151" s="741">
        <f t="shared" si="208"/>
        <v>15889503.952200001</v>
      </c>
      <c r="BB151" s="741">
        <f t="shared" si="196"/>
        <v>10431564.009716</v>
      </c>
      <c r="BC151" s="741">
        <f t="shared" si="197"/>
        <v>10431564.009716</v>
      </c>
      <c r="BD151" s="741">
        <f t="shared" si="198"/>
        <v>5457939.9424839998</v>
      </c>
      <c r="BK151" s="754" t="s">
        <v>579</v>
      </c>
      <c r="BL151" s="687">
        <v>132200375</v>
      </c>
      <c r="BM151" s="687">
        <v>8480800</v>
      </c>
      <c r="BN151" s="687">
        <v>27384290</v>
      </c>
      <c r="BO151" s="687">
        <v>104816085</v>
      </c>
      <c r="BP151" s="687">
        <f t="shared" si="201"/>
        <v>137752.79075000001</v>
      </c>
      <c r="BQ151" s="687">
        <f t="shared" si="202"/>
        <v>8836.9935999999998</v>
      </c>
      <c r="BR151" s="687">
        <f t="shared" si="203"/>
        <v>28534.430180000003</v>
      </c>
      <c r="BS151" s="755">
        <f t="shared" si="204"/>
        <v>109218.36057</v>
      </c>
      <c r="BZ151" s="729" t="s">
        <v>579</v>
      </c>
      <c r="CA151" s="687">
        <v>132200375</v>
      </c>
      <c r="CB151" s="687">
        <v>8480800</v>
      </c>
      <c r="CC151" s="687">
        <v>40584290</v>
      </c>
      <c r="CD151" s="687">
        <v>91616085</v>
      </c>
      <c r="CE151" s="687">
        <f t="shared" si="199"/>
        <v>137752.79075000001</v>
      </c>
      <c r="CF151" s="687">
        <f t="shared" si="205"/>
        <v>8836.9935999999998</v>
      </c>
      <c r="CG151" s="687">
        <f t="shared" si="206"/>
        <v>42288.830180000004</v>
      </c>
      <c r="CH151" s="687">
        <f t="shared" si="207"/>
        <v>95463.96057000001</v>
      </c>
      <c r="CP151" s="731" t="s">
        <v>762</v>
      </c>
      <c r="CQ151" s="730">
        <v>89144625</v>
      </c>
      <c r="CR151" s="730">
        <v>12461625</v>
      </c>
      <c r="CS151" s="730">
        <v>12461625</v>
      </c>
      <c r="CT151" s="730">
        <v>76683000</v>
      </c>
      <c r="CU151" s="730">
        <f t="shared" si="140"/>
        <v>92888.699250000005</v>
      </c>
      <c r="CV151" s="730">
        <f t="shared" si="141"/>
        <v>12985.01325</v>
      </c>
      <c r="CW151" s="730">
        <f t="shared" si="142"/>
        <v>12985.01325</v>
      </c>
      <c r="CX151" s="730">
        <f t="shared" si="143"/>
        <v>79903.686000000002</v>
      </c>
      <c r="DE151" s="729" t="s">
        <v>579</v>
      </c>
      <c r="DF151" s="687">
        <v>162200375</v>
      </c>
      <c r="DG151" s="687">
        <v>30024291</v>
      </c>
      <c r="DH151" s="687">
        <v>40585290</v>
      </c>
      <c r="DI151" s="687">
        <v>121615085</v>
      </c>
      <c r="DJ151" s="730">
        <f t="shared" si="168"/>
        <v>169012.79075000001</v>
      </c>
      <c r="DK151" s="730">
        <f t="shared" si="169"/>
        <v>31285.311222000004</v>
      </c>
      <c r="DL151" s="730">
        <f t="shared" si="170"/>
        <v>42289.872180000006</v>
      </c>
      <c r="DM151" s="730">
        <f t="shared" si="171"/>
        <v>126722.91857000001</v>
      </c>
      <c r="DT151" s="729" t="s">
        <v>398</v>
      </c>
      <c r="DU151" s="687">
        <v>221345000</v>
      </c>
      <c r="DV151" s="687">
        <v>42485916</v>
      </c>
      <c r="DW151" s="687">
        <v>53046915</v>
      </c>
      <c r="DX151" s="687">
        <v>168298085</v>
      </c>
      <c r="DY151" s="730">
        <f t="shared" si="209"/>
        <v>221345</v>
      </c>
      <c r="DZ151" s="730">
        <f t="shared" si="210"/>
        <v>42485.915999999997</v>
      </c>
      <c r="EA151" s="730">
        <f t="shared" si="211"/>
        <v>53046.915000000001</v>
      </c>
      <c r="EB151" s="730">
        <f t="shared" si="212"/>
        <v>168298.08499999999</v>
      </c>
      <c r="EI151" s="731" t="s">
        <v>768</v>
      </c>
      <c r="EJ151" s="730">
        <v>22500000</v>
      </c>
      <c r="EK151" s="730">
        <v>22456599</v>
      </c>
      <c r="EL151" s="730">
        <v>22456599</v>
      </c>
      <c r="EM151" s="734">
        <f t="shared" si="176"/>
        <v>22500</v>
      </c>
      <c r="EN151" s="734">
        <f t="shared" si="177"/>
        <v>22456.598999999998</v>
      </c>
      <c r="EO151" s="734">
        <f t="shared" si="178"/>
        <v>22456.598999999998</v>
      </c>
      <c r="EW151" s="729" t="s">
        <v>578</v>
      </c>
      <c r="EX151" s="687">
        <v>0</v>
      </c>
      <c r="EY151" s="687">
        <v>2769723</v>
      </c>
      <c r="EZ151" s="687">
        <v>2769723</v>
      </c>
      <c r="FA151" s="687">
        <v>2769723</v>
      </c>
      <c r="FB151" s="687">
        <v>0</v>
      </c>
      <c r="FC151" s="730">
        <f t="shared" si="179"/>
        <v>0</v>
      </c>
      <c r="FD151" s="730">
        <f t="shared" si="180"/>
        <v>2769.723</v>
      </c>
      <c r="FE151" s="730">
        <f t="shared" si="181"/>
        <v>2769.723</v>
      </c>
      <c r="FF151" s="730">
        <f t="shared" si="182"/>
        <v>2769.723</v>
      </c>
      <c r="FG151" s="730">
        <f t="shared" si="183"/>
        <v>0</v>
      </c>
      <c r="FN151" s="735" t="s">
        <v>824</v>
      </c>
      <c r="FO151" s="736">
        <v>16462000</v>
      </c>
      <c r="FP151" s="736">
        <v>16461165</v>
      </c>
      <c r="FQ151" s="736">
        <v>16461165</v>
      </c>
      <c r="FR151" s="736">
        <f t="shared" si="184"/>
        <v>16462</v>
      </c>
      <c r="FS151" s="736">
        <f t="shared" si="185"/>
        <v>16461.165000000001</v>
      </c>
      <c r="FT151" s="736">
        <f t="shared" si="186"/>
        <v>16461.165000000001</v>
      </c>
    </row>
    <row r="152" spans="1:176" ht="15" customHeight="1" x14ac:dyDescent="0.25">
      <c r="K152" s="734"/>
      <c r="T152" s="729"/>
      <c r="V152" s="687"/>
      <c r="W152" s="687"/>
      <c r="AG152" s="744" t="s">
        <v>402</v>
      </c>
      <c r="AH152" s="687">
        <v>2561303000</v>
      </c>
      <c r="AI152" s="687">
        <v>1781802273</v>
      </c>
      <c r="AJ152" s="687">
        <v>1781802273</v>
      </c>
      <c r="AK152" s="687">
        <v>779500727</v>
      </c>
      <c r="AL152" s="687">
        <f t="shared" ref="AL152:AO153" si="213">+AH152/$AN$1*$AO$1</f>
        <v>2668877.7260000003</v>
      </c>
      <c r="AM152" s="687">
        <f t="shared" si="213"/>
        <v>1856637.9684660002</v>
      </c>
      <c r="AN152" s="687">
        <f t="shared" si="213"/>
        <v>1856637.9684660002</v>
      </c>
      <c r="AO152" s="687">
        <f t="shared" si="213"/>
        <v>812239.75753399997</v>
      </c>
      <c r="AV152" s="729" t="s">
        <v>400</v>
      </c>
      <c r="AW152" s="687">
        <v>12687731000</v>
      </c>
      <c r="AX152" s="687">
        <v>7143800375</v>
      </c>
      <c r="AY152" s="687">
        <v>7143800375</v>
      </c>
      <c r="AZ152" s="687">
        <v>5543930625</v>
      </c>
      <c r="BA152" s="730">
        <f t="shared" si="208"/>
        <v>13220615.702</v>
      </c>
      <c r="BB152" s="730">
        <f t="shared" si="196"/>
        <v>7443839.9907499999</v>
      </c>
      <c r="BC152" s="730">
        <f t="shared" si="197"/>
        <v>7443839.9907499999</v>
      </c>
      <c r="BD152" s="730">
        <f t="shared" si="198"/>
        <v>5776775.7112500006</v>
      </c>
      <c r="BK152" s="754" t="s">
        <v>762</v>
      </c>
      <c r="BL152" s="687">
        <v>89144625</v>
      </c>
      <c r="BM152" s="687">
        <v>9969300</v>
      </c>
      <c r="BN152" s="687">
        <v>12461625</v>
      </c>
      <c r="BO152" s="687">
        <v>76683000</v>
      </c>
      <c r="BP152" s="687">
        <f t="shared" si="201"/>
        <v>92888.699250000005</v>
      </c>
      <c r="BQ152" s="687">
        <f t="shared" si="202"/>
        <v>10388.0106</v>
      </c>
      <c r="BR152" s="687">
        <f t="shared" si="203"/>
        <v>12985.01325</v>
      </c>
      <c r="BS152" s="755">
        <f t="shared" si="204"/>
        <v>79903.686000000002</v>
      </c>
      <c r="BZ152" s="729" t="s">
        <v>762</v>
      </c>
      <c r="CA152" s="687">
        <v>89144625</v>
      </c>
      <c r="CB152" s="687">
        <v>12461625</v>
      </c>
      <c r="CC152" s="687">
        <v>12461625</v>
      </c>
      <c r="CD152" s="687">
        <v>76683000</v>
      </c>
      <c r="CE152" s="687">
        <f t="shared" si="199"/>
        <v>92888.699250000005</v>
      </c>
      <c r="CF152" s="687">
        <f t="shared" si="205"/>
        <v>12985.01325</v>
      </c>
      <c r="CG152" s="687">
        <f t="shared" si="206"/>
        <v>12985.01325</v>
      </c>
      <c r="CH152" s="687">
        <f t="shared" si="207"/>
        <v>79903.686000000002</v>
      </c>
      <c r="CP152" s="731" t="s">
        <v>873</v>
      </c>
      <c r="CQ152" s="730">
        <v>192052970000</v>
      </c>
      <c r="CR152" s="730">
        <v>1003570000</v>
      </c>
      <c r="CS152" s="730">
        <v>1080957000</v>
      </c>
      <c r="CT152" s="730">
        <v>190972013000</v>
      </c>
      <c r="CU152" s="730">
        <f t="shared" si="140"/>
        <v>200119194.74000001</v>
      </c>
      <c r="CV152" s="730">
        <f t="shared" si="141"/>
        <v>1045719.9400000001</v>
      </c>
      <c r="CW152" s="730">
        <f t="shared" si="142"/>
        <v>1126357.1940000001</v>
      </c>
      <c r="CX152" s="730">
        <f t="shared" si="143"/>
        <v>198992837.546</v>
      </c>
      <c r="DE152" s="729" t="s">
        <v>762</v>
      </c>
      <c r="DF152" s="687">
        <v>59144625</v>
      </c>
      <c r="DG152" s="687">
        <v>12461625</v>
      </c>
      <c r="DH152" s="687">
        <v>12461625</v>
      </c>
      <c r="DI152" s="687">
        <v>46683000</v>
      </c>
      <c r="DJ152" s="730">
        <f t="shared" si="168"/>
        <v>61628.699250000005</v>
      </c>
      <c r="DK152" s="730">
        <f t="shared" si="169"/>
        <v>12985.01325</v>
      </c>
      <c r="DL152" s="730">
        <f t="shared" si="170"/>
        <v>12985.01325</v>
      </c>
      <c r="DM152" s="730">
        <f t="shared" si="171"/>
        <v>48643.686000000002</v>
      </c>
      <c r="DT152" s="729" t="s">
        <v>579</v>
      </c>
      <c r="DU152" s="687">
        <v>162200375</v>
      </c>
      <c r="DV152" s="687">
        <v>30024291</v>
      </c>
      <c r="DW152" s="687">
        <v>40585290</v>
      </c>
      <c r="DX152" s="687">
        <v>121615085</v>
      </c>
      <c r="DY152" s="730">
        <f t="shared" si="209"/>
        <v>162200.375</v>
      </c>
      <c r="DZ152" s="730">
        <f t="shared" si="210"/>
        <v>30024.291000000001</v>
      </c>
      <c r="EA152" s="730">
        <f t="shared" si="211"/>
        <v>40585.29</v>
      </c>
      <c r="EB152" s="730">
        <f t="shared" si="212"/>
        <v>121615.08500000001</v>
      </c>
      <c r="EI152" s="731" t="s">
        <v>824</v>
      </c>
      <c r="EJ152" s="730">
        <v>21000000</v>
      </c>
      <c r="EK152" s="730">
        <v>16461165</v>
      </c>
      <c r="EL152" s="730">
        <v>2067030</v>
      </c>
      <c r="EM152" s="734">
        <f t="shared" si="176"/>
        <v>21000</v>
      </c>
      <c r="EN152" s="734">
        <f t="shared" si="177"/>
        <v>16461.165000000001</v>
      </c>
      <c r="EO152" s="734">
        <f t="shared" si="178"/>
        <v>2067.0300000000002</v>
      </c>
      <c r="EW152" s="729" t="s">
        <v>926</v>
      </c>
      <c r="EX152" s="687">
        <v>0</v>
      </c>
      <c r="EY152" s="687">
        <v>35499999</v>
      </c>
      <c r="EZ152" s="687">
        <v>35499999</v>
      </c>
      <c r="FA152" s="687">
        <v>35499999</v>
      </c>
      <c r="FB152" s="687">
        <v>0</v>
      </c>
      <c r="FC152" s="730">
        <f t="shared" si="179"/>
        <v>0</v>
      </c>
      <c r="FD152" s="730">
        <f t="shared" si="180"/>
        <v>35499.999000000003</v>
      </c>
      <c r="FE152" s="730">
        <f t="shared" si="181"/>
        <v>35499.999000000003</v>
      </c>
      <c r="FF152" s="730">
        <f t="shared" si="182"/>
        <v>35499.999000000003</v>
      </c>
      <c r="FG152" s="730">
        <f t="shared" si="183"/>
        <v>0</v>
      </c>
      <c r="FN152" s="735" t="s">
        <v>397</v>
      </c>
      <c r="FO152" s="736">
        <v>38271000</v>
      </c>
      <c r="FP152" s="736">
        <v>38269722</v>
      </c>
      <c r="FQ152" s="736">
        <v>38269722</v>
      </c>
      <c r="FR152" s="736">
        <f t="shared" si="184"/>
        <v>38271</v>
      </c>
      <c r="FS152" s="736">
        <f t="shared" si="185"/>
        <v>38269.722000000002</v>
      </c>
      <c r="FT152" s="736">
        <f t="shared" si="186"/>
        <v>38269.722000000002</v>
      </c>
    </row>
    <row r="153" spans="1:176" ht="15" customHeight="1" x14ac:dyDescent="0.25">
      <c r="T153" s="729"/>
      <c r="V153" s="687"/>
      <c r="W153" s="687"/>
      <c r="AG153" s="744" t="s">
        <v>404</v>
      </c>
      <c r="AH153" s="687">
        <v>10100</v>
      </c>
      <c r="AI153" s="687">
        <v>1085495250</v>
      </c>
      <c r="AJ153" s="687">
        <v>1085495250</v>
      </c>
      <c r="AK153" s="687">
        <v>-1085485150</v>
      </c>
      <c r="AL153" s="687">
        <f t="shared" si="213"/>
        <v>10.5242</v>
      </c>
      <c r="AM153" s="687">
        <f t="shared" si="213"/>
        <v>1131086.0505000001</v>
      </c>
      <c r="AN153" s="687">
        <f t="shared" si="213"/>
        <v>1131086.0505000001</v>
      </c>
      <c r="AO153" s="687">
        <f t="shared" si="213"/>
        <v>-1131075.5263</v>
      </c>
      <c r="AV153" s="729" t="s">
        <v>402</v>
      </c>
      <c r="AW153" s="687">
        <v>2561303000</v>
      </c>
      <c r="AX153" s="687">
        <v>1781802273</v>
      </c>
      <c r="AY153" s="687">
        <v>1781802273</v>
      </c>
      <c r="AZ153" s="687">
        <v>779500727</v>
      </c>
      <c r="BA153" s="730">
        <f t="shared" si="208"/>
        <v>2668877.7260000003</v>
      </c>
      <c r="BB153" s="730">
        <f t="shared" si="196"/>
        <v>1856637.9684660002</v>
      </c>
      <c r="BC153" s="730">
        <f t="shared" si="197"/>
        <v>1856637.9684660002</v>
      </c>
      <c r="BD153" s="730">
        <f t="shared" si="198"/>
        <v>812239.75753399997</v>
      </c>
      <c r="BK153" s="754" t="s">
        <v>873</v>
      </c>
      <c r="BL153" s="687">
        <v>192052970000</v>
      </c>
      <c r="BM153" s="687">
        <v>1003570000</v>
      </c>
      <c r="BN153" s="687">
        <v>1080957000</v>
      </c>
      <c r="BO153" s="687">
        <v>190972013000</v>
      </c>
      <c r="BP153" s="687">
        <f t="shared" si="201"/>
        <v>200119194.74000001</v>
      </c>
      <c r="BQ153" s="687">
        <f t="shared" si="202"/>
        <v>1045719.9400000001</v>
      </c>
      <c r="BR153" s="687">
        <f t="shared" si="203"/>
        <v>1126357.1940000001</v>
      </c>
      <c r="BS153" s="755">
        <f t="shared" si="204"/>
        <v>198992837.546</v>
      </c>
      <c r="BZ153" s="729" t="s">
        <v>873</v>
      </c>
      <c r="CA153" s="687">
        <v>192052970000</v>
      </c>
      <c r="CB153" s="687">
        <v>1003570000</v>
      </c>
      <c r="CC153" s="687">
        <v>1080957000</v>
      </c>
      <c r="CD153" s="687">
        <v>190972013000</v>
      </c>
      <c r="CE153" s="687">
        <f t="shared" si="199"/>
        <v>200119194.74000001</v>
      </c>
      <c r="CF153" s="687">
        <f t="shared" si="205"/>
        <v>1045719.9400000001</v>
      </c>
      <c r="CG153" s="687">
        <f t="shared" si="206"/>
        <v>1126357.1940000001</v>
      </c>
      <c r="CH153" s="687">
        <f t="shared" si="207"/>
        <v>198992837.546</v>
      </c>
      <c r="CP153" s="731" t="s">
        <v>874</v>
      </c>
      <c r="CQ153" s="730">
        <v>192052970000</v>
      </c>
      <c r="CR153" s="730">
        <v>1003570000</v>
      </c>
      <c r="CS153" s="730">
        <v>1080957000</v>
      </c>
      <c r="CT153" s="730">
        <v>190972013000</v>
      </c>
      <c r="CU153" s="730">
        <f t="shared" si="140"/>
        <v>200119194.74000001</v>
      </c>
      <c r="CV153" s="730">
        <f t="shared" si="141"/>
        <v>1045719.9400000001</v>
      </c>
      <c r="CW153" s="730">
        <f t="shared" si="142"/>
        <v>1126357.1940000001</v>
      </c>
      <c r="CX153" s="730">
        <f t="shared" si="143"/>
        <v>198992837.546</v>
      </c>
      <c r="DE153" s="729" t="s">
        <v>873</v>
      </c>
      <c r="DF153" s="687">
        <v>192052970000</v>
      </c>
      <c r="DG153" s="687">
        <v>1003570000</v>
      </c>
      <c r="DH153" s="687">
        <v>1080957000</v>
      </c>
      <c r="DI153" s="687">
        <v>190972013000</v>
      </c>
      <c r="DJ153" s="730">
        <f t="shared" si="168"/>
        <v>200119194.74000001</v>
      </c>
      <c r="DK153" s="730">
        <f t="shared" si="169"/>
        <v>1045719.9400000001</v>
      </c>
      <c r="DL153" s="730">
        <f t="shared" si="170"/>
        <v>1126357.1940000001</v>
      </c>
      <c r="DM153" s="730">
        <f t="shared" si="171"/>
        <v>198992837.546</v>
      </c>
      <c r="DT153" s="729" t="s">
        <v>762</v>
      </c>
      <c r="DU153" s="687">
        <v>59144625</v>
      </c>
      <c r="DV153" s="687">
        <v>12461625</v>
      </c>
      <c r="DW153" s="687">
        <v>12461625</v>
      </c>
      <c r="DX153" s="687">
        <v>46683000</v>
      </c>
      <c r="DY153" s="730">
        <f t="shared" si="209"/>
        <v>59144.625</v>
      </c>
      <c r="DZ153" s="730">
        <f t="shared" si="210"/>
        <v>12461.625</v>
      </c>
      <c r="EA153" s="730">
        <f t="shared" si="211"/>
        <v>12461.625</v>
      </c>
      <c r="EB153" s="730">
        <f t="shared" si="212"/>
        <v>46683</v>
      </c>
      <c r="EI153" s="731" t="s">
        <v>397</v>
      </c>
      <c r="EJ153" s="730">
        <v>41500000</v>
      </c>
      <c r="EK153" s="730">
        <v>38269723</v>
      </c>
      <c r="EL153" s="730">
        <v>38269722</v>
      </c>
      <c r="EM153" s="734">
        <f t="shared" si="176"/>
        <v>41500</v>
      </c>
      <c r="EN153" s="734">
        <f t="shared" si="177"/>
        <v>38269.722999999998</v>
      </c>
      <c r="EO153" s="734">
        <f t="shared" si="178"/>
        <v>38269.722000000002</v>
      </c>
      <c r="EW153" s="729" t="s">
        <v>398</v>
      </c>
      <c r="EX153" s="687">
        <v>198738000</v>
      </c>
      <c r="EY153" s="687">
        <v>198738000</v>
      </c>
      <c r="EZ153" s="687">
        <v>138642521</v>
      </c>
      <c r="FA153" s="687">
        <v>149202521</v>
      </c>
      <c r="FB153" s="687">
        <v>49535479</v>
      </c>
      <c r="FC153" s="730">
        <f t="shared" si="179"/>
        <v>198738</v>
      </c>
      <c r="FD153" s="730">
        <f t="shared" si="180"/>
        <v>198738</v>
      </c>
      <c r="FE153" s="730">
        <f t="shared" si="181"/>
        <v>138642.52100000001</v>
      </c>
      <c r="FF153" s="730">
        <f t="shared" si="182"/>
        <v>149202.52100000001</v>
      </c>
      <c r="FG153" s="730">
        <f t="shared" si="183"/>
        <v>49535.478999999999</v>
      </c>
      <c r="FN153" s="735" t="s">
        <v>578</v>
      </c>
      <c r="FO153" s="736">
        <v>2771001</v>
      </c>
      <c r="FP153" s="736">
        <v>2769723</v>
      </c>
      <c r="FQ153" s="736">
        <v>2769723</v>
      </c>
      <c r="FR153" s="736">
        <f t="shared" si="184"/>
        <v>2771.0010000000002</v>
      </c>
      <c r="FS153" s="736">
        <f t="shared" si="185"/>
        <v>2769.723</v>
      </c>
      <c r="FT153" s="736">
        <f t="shared" si="186"/>
        <v>2769.723</v>
      </c>
    </row>
    <row r="154" spans="1:176" ht="15" customHeight="1" x14ac:dyDescent="0.25">
      <c r="T154" s="729"/>
      <c r="V154" s="687"/>
      <c r="W154" s="687"/>
      <c r="AG154" s="729"/>
      <c r="AH154" s="687"/>
      <c r="AI154" s="687"/>
      <c r="AJ154" s="687"/>
      <c r="AK154" s="687"/>
      <c r="AL154" s="687">
        <f>+AL3+AL65+AL122+AL125+AL136+AL142+AL150</f>
        <v>40463124.370200001</v>
      </c>
      <c r="AM154" s="687">
        <f t="shared" ref="AM154:AO154" si="214">+AM3+AM65+AM122+AM125+AM136+AM142+AM150</f>
        <v>16096217.905546002</v>
      </c>
      <c r="AN154" s="687">
        <f t="shared" si="214"/>
        <v>17382054.4364</v>
      </c>
      <c r="AO154" s="687">
        <f t="shared" si="214"/>
        <v>23081069.933800001</v>
      </c>
      <c r="AV154" s="729" t="s">
        <v>404</v>
      </c>
      <c r="AW154" s="687">
        <v>1085495250</v>
      </c>
      <c r="AX154" s="687">
        <v>1085495250</v>
      </c>
      <c r="AY154" s="687">
        <v>1085495250</v>
      </c>
      <c r="AZ154" s="687">
        <f>+AW154-AY154</f>
        <v>0</v>
      </c>
      <c r="BA154" s="730">
        <f t="shared" si="208"/>
        <v>1131086.0505000001</v>
      </c>
      <c r="BB154" s="730">
        <f t="shared" si="196"/>
        <v>1131086.0505000001</v>
      </c>
      <c r="BC154" s="730">
        <f t="shared" si="197"/>
        <v>1131086.0505000001</v>
      </c>
      <c r="BD154" s="730">
        <f t="shared" si="198"/>
        <v>0</v>
      </c>
      <c r="BK154" s="754" t="s">
        <v>874</v>
      </c>
      <c r="BL154" s="687">
        <v>192052970000</v>
      </c>
      <c r="BM154" s="687">
        <v>1003570000</v>
      </c>
      <c r="BN154" s="687">
        <v>1080957000</v>
      </c>
      <c r="BO154" s="687">
        <v>190972013000</v>
      </c>
      <c r="BP154" s="687">
        <f t="shared" si="201"/>
        <v>200119194.74000001</v>
      </c>
      <c r="BQ154" s="687">
        <f t="shared" si="202"/>
        <v>1045719.9400000001</v>
      </c>
      <c r="BR154" s="687">
        <f t="shared" si="203"/>
        <v>1126357.1940000001</v>
      </c>
      <c r="BS154" s="755">
        <f t="shared" si="204"/>
        <v>198992837.546</v>
      </c>
      <c r="BZ154" s="729" t="s">
        <v>874</v>
      </c>
      <c r="CA154" s="687">
        <v>192052970000</v>
      </c>
      <c r="CB154" s="687">
        <v>1003570000</v>
      </c>
      <c r="CC154" s="687">
        <v>1080957000</v>
      </c>
      <c r="CD154" s="687">
        <v>190972013000</v>
      </c>
      <c r="CE154" s="687">
        <f t="shared" si="199"/>
        <v>200119194.74000001</v>
      </c>
      <c r="CF154" s="687">
        <f t="shared" si="205"/>
        <v>1045719.9400000001</v>
      </c>
      <c r="CG154" s="687">
        <f t="shared" si="206"/>
        <v>1126357.1940000001</v>
      </c>
      <c r="CH154" s="687">
        <f t="shared" si="207"/>
        <v>198992837.546</v>
      </c>
      <c r="CP154" s="731" t="s">
        <v>875</v>
      </c>
      <c r="CQ154" s="730">
        <v>192052970000</v>
      </c>
      <c r="CR154" s="730">
        <v>1003570000</v>
      </c>
      <c r="CS154" s="730">
        <v>1080957000</v>
      </c>
      <c r="CT154" s="730">
        <v>190972013000</v>
      </c>
      <c r="CU154" s="730">
        <f t="shared" si="140"/>
        <v>200119194.74000001</v>
      </c>
      <c r="CV154" s="730">
        <f t="shared" si="141"/>
        <v>1045719.9400000001</v>
      </c>
      <c r="CW154" s="730">
        <f t="shared" si="142"/>
        <v>1126357.1940000001</v>
      </c>
      <c r="CX154" s="730">
        <f t="shared" si="143"/>
        <v>198992837.546</v>
      </c>
      <c r="DE154" s="729" t="s">
        <v>874</v>
      </c>
      <c r="DF154" s="687">
        <v>192052970000</v>
      </c>
      <c r="DG154" s="687">
        <v>1003570000</v>
      </c>
      <c r="DH154" s="687">
        <v>1080957000</v>
      </c>
      <c r="DI154" s="687">
        <v>190972013000</v>
      </c>
      <c r="DJ154" s="730">
        <f t="shared" si="168"/>
        <v>200119194.74000001</v>
      </c>
      <c r="DK154" s="730">
        <f t="shared" si="169"/>
        <v>1045719.9400000001</v>
      </c>
      <c r="DL154" s="730">
        <f t="shared" si="170"/>
        <v>1126357.1940000001</v>
      </c>
      <c r="DM154" s="730">
        <f t="shared" si="171"/>
        <v>198992837.546</v>
      </c>
      <c r="DT154" s="729" t="s">
        <v>873</v>
      </c>
      <c r="DU154" s="687">
        <v>192052970000</v>
      </c>
      <c r="DV154" s="687">
        <v>2721273457</v>
      </c>
      <c r="DW154" s="687">
        <v>2798660457</v>
      </c>
      <c r="DX154" s="687">
        <v>189254309543</v>
      </c>
      <c r="DY154" s="730">
        <f t="shared" si="209"/>
        <v>192052970</v>
      </c>
      <c r="DZ154" s="730">
        <f t="shared" si="210"/>
        <v>2721273.4569999999</v>
      </c>
      <c r="EA154" s="730">
        <f t="shared" si="211"/>
        <v>2798660.4569999999</v>
      </c>
      <c r="EB154" s="730">
        <f t="shared" si="212"/>
        <v>189254309.54300001</v>
      </c>
      <c r="EI154" s="731" t="s">
        <v>578</v>
      </c>
      <c r="EJ154" s="730">
        <v>2948625</v>
      </c>
      <c r="EK154" s="730">
        <v>2769723</v>
      </c>
      <c r="EL154" s="730">
        <v>2769723</v>
      </c>
      <c r="EM154" s="734">
        <f t="shared" si="176"/>
        <v>2948.625</v>
      </c>
      <c r="EN154" s="734">
        <f t="shared" si="177"/>
        <v>2769.723</v>
      </c>
      <c r="EO154" s="734">
        <f t="shared" si="178"/>
        <v>2769.723</v>
      </c>
      <c r="EW154" s="729" t="s">
        <v>579</v>
      </c>
      <c r="EX154" s="687">
        <v>0</v>
      </c>
      <c r="EY154" s="687">
        <v>186276375</v>
      </c>
      <c r="EZ154" s="687">
        <v>126180896</v>
      </c>
      <c r="FA154" s="687">
        <v>136740896</v>
      </c>
      <c r="FB154" s="687">
        <v>49535479</v>
      </c>
      <c r="FC154" s="730">
        <f t="shared" si="179"/>
        <v>0</v>
      </c>
      <c r="FD154" s="730">
        <f t="shared" si="180"/>
        <v>186276.375</v>
      </c>
      <c r="FE154" s="730">
        <f t="shared" si="181"/>
        <v>126180.89599999999</v>
      </c>
      <c r="FF154" s="730">
        <f t="shared" si="182"/>
        <v>136740.89600000001</v>
      </c>
      <c r="FG154" s="730">
        <f t="shared" si="183"/>
        <v>49535.478999999999</v>
      </c>
      <c r="FN154" s="735" t="s">
        <v>926</v>
      </c>
      <c r="FO154" s="736">
        <v>35499999</v>
      </c>
      <c r="FP154" s="736">
        <v>35499999</v>
      </c>
      <c r="FQ154" s="736">
        <v>35499999</v>
      </c>
      <c r="FR154" s="736">
        <f t="shared" si="184"/>
        <v>35499.999000000003</v>
      </c>
      <c r="FS154" s="736">
        <f t="shared" si="185"/>
        <v>35499.999000000003</v>
      </c>
      <c r="FT154" s="736">
        <f t="shared" si="186"/>
        <v>35499.999000000003</v>
      </c>
    </row>
    <row r="155" spans="1:176" ht="15" customHeight="1" x14ac:dyDescent="0.25">
      <c r="T155" s="729"/>
      <c r="V155" s="687"/>
      <c r="W155" s="687"/>
      <c r="AG155" s="729"/>
      <c r="AH155" s="687"/>
      <c r="AI155" s="687"/>
      <c r="AJ155" s="687"/>
      <c r="AK155" s="687"/>
      <c r="AL155" s="687"/>
      <c r="AM155" s="687"/>
      <c r="AN155" s="687"/>
      <c r="AO155" s="687"/>
      <c r="AV155" s="729"/>
      <c r="AW155" s="687"/>
      <c r="AX155" s="687"/>
      <c r="AY155" s="687"/>
      <c r="AZ155" s="687"/>
      <c r="BA155" s="730"/>
      <c r="BB155" s="730"/>
      <c r="BC155" s="730"/>
      <c r="BD155" s="730"/>
      <c r="BK155" s="754" t="s">
        <v>875</v>
      </c>
      <c r="BL155" s="687">
        <v>192052970000</v>
      </c>
      <c r="BM155" s="687">
        <v>1003570000</v>
      </c>
      <c r="BN155" s="687">
        <v>1080957000</v>
      </c>
      <c r="BO155" s="687">
        <v>190972013000</v>
      </c>
      <c r="BP155" s="687">
        <f t="shared" si="201"/>
        <v>200119194.74000001</v>
      </c>
      <c r="BQ155" s="687">
        <f t="shared" si="202"/>
        <v>1045719.9400000001</v>
      </c>
      <c r="BR155" s="687">
        <f t="shared" si="203"/>
        <v>1126357.1940000001</v>
      </c>
      <c r="BS155" s="755">
        <f t="shared" si="204"/>
        <v>198992837.546</v>
      </c>
      <c r="BZ155" s="729" t="s">
        <v>875</v>
      </c>
      <c r="CA155" s="687">
        <v>192052970000</v>
      </c>
      <c r="CB155" s="687">
        <v>1003570000</v>
      </c>
      <c r="CC155" s="687">
        <v>1080957000</v>
      </c>
      <c r="CD155" s="687">
        <v>190972013000</v>
      </c>
      <c r="CE155" s="687">
        <f t="shared" si="199"/>
        <v>200119194.74000001</v>
      </c>
      <c r="CF155" s="687">
        <f t="shared" si="205"/>
        <v>1045719.9400000001</v>
      </c>
      <c r="CG155" s="687">
        <f t="shared" si="206"/>
        <v>1126357.1940000001</v>
      </c>
      <c r="CH155" s="687">
        <f t="shared" si="207"/>
        <v>198992837.546</v>
      </c>
      <c r="CP155" s="731" t="s">
        <v>399</v>
      </c>
      <c r="CQ155" s="730">
        <v>16334626100</v>
      </c>
      <c r="CR155" s="730">
        <v>10912796774</v>
      </c>
      <c r="CS155" s="730">
        <v>10912796774</v>
      </c>
      <c r="CT155" s="730">
        <v>5421829326</v>
      </c>
      <c r="CU155" s="730">
        <f t="shared" si="140"/>
        <v>17020680.396200001</v>
      </c>
      <c r="CV155" s="730">
        <f t="shared" si="141"/>
        <v>11371134.238508001</v>
      </c>
      <c r="CW155" s="730">
        <f t="shared" si="142"/>
        <v>11371134.238508001</v>
      </c>
      <c r="CX155" s="730">
        <f t="shared" si="143"/>
        <v>5649546.1576920003</v>
      </c>
      <c r="DE155" s="729" t="s">
        <v>875</v>
      </c>
      <c r="DF155" s="687">
        <v>192052970000</v>
      </c>
      <c r="DG155" s="687">
        <v>1003570000</v>
      </c>
      <c r="DH155" s="687">
        <v>1080957000</v>
      </c>
      <c r="DI155" s="687">
        <v>190972013000</v>
      </c>
      <c r="DJ155" s="730">
        <f t="shared" si="168"/>
        <v>200119194.74000001</v>
      </c>
      <c r="DK155" s="730">
        <f t="shared" si="169"/>
        <v>1045719.9400000001</v>
      </c>
      <c r="DL155" s="730">
        <f t="shared" si="170"/>
        <v>1126357.1940000001</v>
      </c>
      <c r="DM155" s="730">
        <f t="shared" si="171"/>
        <v>198992837.546</v>
      </c>
      <c r="DT155" s="729" t="s">
        <v>874</v>
      </c>
      <c r="DU155" s="687">
        <v>192052970000</v>
      </c>
      <c r="DV155" s="687">
        <v>2721273457</v>
      </c>
      <c r="DW155" s="687">
        <v>2798660457</v>
      </c>
      <c r="DX155" s="687">
        <v>189254309543</v>
      </c>
      <c r="DY155" s="730">
        <f t="shared" si="209"/>
        <v>192052970</v>
      </c>
      <c r="DZ155" s="730">
        <f t="shared" si="210"/>
        <v>2721273.4569999999</v>
      </c>
      <c r="EA155" s="730">
        <f t="shared" si="211"/>
        <v>2798660.4569999999</v>
      </c>
      <c r="EB155" s="730">
        <f t="shared" si="212"/>
        <v>189254309.54300001</v>
      </c>
      <c r="EI155" s="731" t="s">
        <v>926</v>
      </c>
      <c r="EJ155" s="730">
        <v>38551375</v>
      </c>
      <c r="EK155" s="730">
        <v>35500000</v>
      </c>
      <c r="EL155" s="730">
        <v>35499999</v>
      </c>
      <c r="EM155" s="734">
        <f t="shared" si="176"/>
        <v>38551.375</v>
      </c>
      <c r="EN155" s="734">
        <f t="shared" si="177"/>
        <v>35500</v>
      </c>
      <c r="EO155" s="734">
        <f t="shared" si="178"/>
        <v>35499.999000000003</v>
      </c>
      <c r="EW155" s="729" t="s">
        <v>762</v>
      </c>
      <c r="EX155" s="687">
        <v>0</v>
      </c>
      <c r="EY155" s="687">
        <v>12461625</v>
      </c>
      <c r="EZ155" s="687">
        <v>12461625</v>
      </c>
      <c r="FA155" s="687">
        <v>12461625</v>
      </c>
      <c r="FB155" s="687">
        <v>0</v>
      </c>
      <c r="FC155" s="730">
        <f t="shared" si="179"/>
        <v>0</v>
      </c>
      <c r="FD155" s="730">
        <f t="shared" si="180"/>
        <v>12461.625</v>
      </c>
      <c r="FE155" s="730">
        <f t="shared" si="181"/>
        <v>12461.625</v>
      </c>
      <c r="FF155" s="730">
        <f t="shared" si="182"/>
        <v>12461.625</v>
      </c>
      <c r="FG155" s="730">
        <f t="shared" si="183"/>
        <v>0</v>
      </c>
      <c r="FN155" s="735" t="s">
        <v>398</v>
      </c>
      <c r="FO155" s="736">
        <v>198738000</v>
      </c>
      <c r="FP155" s="736">
        <v>184221541</v>
      </c>
      <c r="FQ155" s="736">
        <v>190821541</v>
      </c>
      <c r="FR155" s="736">
        <f t="shared" si="184"/>
        <v>198738</v>
      </c>
      <c r="FS155" s="736">
        <f t="shared" si="185"/>
        <v>184221.541</v>
      </c>
      <c r="FT155" s="736">
        <f t="shared" si="186"/>
        <v>190821.541</v>
      </c>
    </row>
    <row r="156" spans="1:176" ht="15" customHeight="1" x14ac:dyDescent="0.25">
      <c r="T156" s="729"/>
      <c r="V156" s="687"/>
      <c r="W156" s="687"/>
      <c r="AL156" s="737"/>
      <c r="AM156" s="737"/>
      <c r="AN156" s="737"/>
      <c r="AO156" s="737"/>
      <c r="AV156" s="729"/>
      <c r="AW156" s="745">
        <v>1085582000</v>
      </c>
      <c r="AX156" s="687"/>
      <c r="AY156" s="687"/>
      <c r="AZ156" s="687"/>
      <c r="BA156" s="730"/>
      <c r="BB156" s="730"/>
      <c r="BC156" s="730"/>
      <c r="BD156" s="730"/>
      <c r="BK156" s="754" t="s">
        <v>399</v>
      </c>
      <c r="BL156" s="687">
        <v>16334626100</v>
      </c>
      <c r="BM156" s="687">
        <v>10011097898</v>
      </c>
      <c r="BN156" s="687">
        <v>10011097898</v>
      </c>
      <c r="BO156" s="687">
        <v>6323528202</v>
      </c>
      <c r="BP156" s="687">
        <f t="shared" si="201"/>
        <v>17020680.396200001</v>
      </c>
      <c r="BQ156" s="687">
        <f t="shared" si="202"/>
        <v>10431564.009716</v>
      </c>
      <c r="BR156" s="687">
        <f t="shared" si="203"/>
        <v>10431564.009716</v>
      </c>
      <c r="BS156" s="755">
        <f t="shared" si="204"/>
        <v>6589116.3864839999</v>
      </c>
      <c r="BZ156" s="729" t="s">
        <v>399</v>
      </c>
      <c r="CA156" s="687">
        <v>16334626100</v>
      </c>
      <c r="CB156" s="687">
        <v>10154969458</v>
      </c>
      <c r="CC156" s="687">
        <v>10154969458</v>
      </c>
      <c r="CD156" s="687">
        <v>6179656642</v>
      </c>
      <c r="CE156" s="687">
        <f t="shared" si="199"/>
        <v>17020680.396200001</v>
      </c>
      <c r="CF156" s="687">
        <f t="shared" si="205"/>
        <v>10581478.175236002</v>
      </c>
      <c r="CG156" s="687">
        <f t="shared" si="206"/>
        <v>10581478.175236002</v>
      </c>
      <c r="CH156" s="687">
        <f t="shared" si="207"/>
        <v>6439202.2209640006</v>
      </c>
      <c r="CP156" s="731" t="s">
        <v>400</v>
      </c>
      <c r="CQ156" s="730">
        <v>12687731000</v>
      </c>
      <c r="CR156" s="730">
        <v>7265998524</v>
      </c>
      <c r="CS156" s="730">
        <v>7265998524</v>
      </c>
      <c r="CT156" s="730">
        <v>5421732476</v>
      </c>
      <c r="CU156" s="730">
        <f t="shared" si="140"/>
        <v>13220615.702</v>
      </c>
      <c r="CV156" s="730">
        <f t="shared" si="141"/>
        <v>7571170.4620080004</v>
      </c>
      <c r="CW156" s="730">
        <f t="shared" si="142"/>
        <v>7571170.4620080004</v>
      </c>
      <c r="CX156" s="730">
        <f t="shared" si="143"/>
        <v>5649445.2399920002</v>
      </c>
      <c r="DE156" s="729" t="s">
        <v>399</v>
      </c>
      <c r="DF156" s="687">
        <v>16334626100</v>
      </c>
      <c r="DG156" s="687">
        <v>10912796774</v>
      </c>
      <c r="DH156" s="687">
        <v>10912796774</v>
      </c>
      <c r="DI156" s="687">
        <v>5421829326</v>
      </c>
      <c r="DJ156" s="730">
        <f t="shared" si="168"/>
        <v>17020680.396200001</v>
      </c>
      <c r="DK156" s="730">
        <f t="shared" si="169"/>
        <v>11371134.238508001</v>
      </c>
      <c r="DL156" s="730">
        <f t="shared" si="170"/>
        <v>11371134.238508001</v>
      </c>
      <c r="DM156" s="730">
        <f t="shared" si="171"/>
        <v>5649546.1576920003</v>
      </c>
      <c r="DT156" s="729" t="s">
        <v>875</v>
      </c>
      <c r="DU156" s="687">
        <v>192052970000</v>
      </c>
      <c r="DV156" s="687">
        <v>2721273457</v>
      </c>
      <c r="DW156" s="687">
        <v>2798660457</v>
      </c>
      <c r="DX156" s="687">
        <v>189254309543</v>
      </c>
      <c r="DY156" s="730">
        <f t="shared" si="209"/>
        <v>192052970</v>
      </c>
      <c r="DZ156" s="730">
        <f t="shared" si="210"/>
        <v>2721273.4569999999</v>
      </c>
      <c r="EA156" s="730">
        <f t="shared" si="211"/>
        <v>2798660.4569999999</v>
      </c>
      <c r="EB156" s="730">
        <f t="shared" si="212"/>
        <v>189254309.54300001</v>
      </c>
      <c r="EI156" s="731" t="s">
        <v>398</v>
      </c>
      <c r="EJ156" s="730">
        <v>221345000</v>
      </c>
      <c r="EK156" s="730">
        <v>61017535</v>
      </c>
      <c r="EL156" s="730">
        <v>49683036</v>
      </c>
      <c r="EM156" s="734">
        <f t="shared" si="176"/>
        <v>221345</v>
      </c>
      <c r="EN156" s="734">
        <f t="shared" si="177"/>
        <v>61017.535000000003</v>
      </c>
      <c r="EO156" s="734">
        <f t="shared" si="178"/>
        <v>49683.036</v>
      </c>
      <c r="EW156" s="729" t="s">
        <v>873</v>
      </c>
      <c r="EX156" s="687">
        <v>189551138000</v>
      </c>
      <c r="EY156" s="687">
        <v>7526940000</v>
      </c>
      <c r="EZ156" s="687">
        <v>6830660584</v>
      </c>
      <c r="FA156" s="687">
        <v>7526940000</v>
      </c>
      <c r="FB156" s="687">
        <v>0</v>
      </c>
      <c r="FC156" s="730">
        <f t="shared" si="179"/>
        <v>189551138</v>
      </c>
      <c r="FD156" s="730">
        <f t="shared" si="180"/>
        <v>7526940</v>
      </c>
      <c r="FE156" s="730">
        <f t="shared" si="181"/>
        <v>6830660.5839999998</v>
      </c>
      <c r="FF156" s="730">
        <f t="shared" si="182"/>
        <v>7526940</v>
      </c>
      <c r="FG156" s="730">
        <f t="shared" si="183"/>
        <v>0</v>
      </c>
      <c r="FN156" s="735" t="s">
        <v>579</v>
      </c>
      <c r="FO156" s="736">
        <v>186276375</v>
      </c>
      <c r="FP156" s="736">
        <v>171759916</v>
      </c>
      <c r="FQ156" s="736">
        <v>178359916</v>
      </c>
      <c r="FR156" s="736">
        <f t="shared" si="184"/>
        <v>186276.375</v>
      </c>
      <c r="FS156" s="736">
        <f t="shared" si="185"/>
        <v>171759.916</v>
      </c>
      <c r="FT156" s="736">
        <f t="shared" si="186"/>
        <v>178359.916</v>
      </c>
    </row>
    <row r="157" spans="1:176" ht="15" customHeight="1" x14ac:dyDescent="0.25">
      <c r="AL157" s="742"/>
      <c r="BK157" s="754" t="s">
        <v>400</v>
      </c>
      <c r="BL157" s="687">
        <v>12687731000</v>
      </c>
      <c r="BM157" s="687">
        <v>7143800375</v>
      </c>
      <c r="BN157" s="687">
        <v>7143800375</v>
      </c>
      <c r="BO157" s="687">
        <v>5543930625</v>
      </c>
      <c r="BP157" s="687">
        <f t="shared" si="201"/>
        <v>13220615.702</v>
      </c>
      <c r="BQ157" s="687">
        <f t="shared" si="202"/>
        <v>7443839.9907499999</v>
      </c>
      <c r="BR157" s="687">
        <f t="shared" si="203"/>
        <v>7443839.9907499999</v>
      </c>
      <c r="BS157" s="755">
        <f t="shared" si="204"/>
        <v>5776775.7112500006</v>
      </c>
      <c r="BZ157" s="729" t="s">
        <v>400</v>
      </c>
      <c r="CA157" s="687">
        <v>12687731000</v>
      </c>
      <c r="CB157" s="687">
        <v>7265998524</v>
      </c>
      <c r="CC157" s="687">
        <v>7265998524</v>
      </c>
      <c r="CD157" s="687">
        <v>5421732476</v>
      </c>
      <c r="CE157" s="687">
        <f t="shared" si="199"/>
        <v>13220615.702</v>
      </c>
      <c r="CF157" s="687">
        <f t="shared" si="205"/>
        <v>7571170.4620080004</v>
      </c>
      <c r="CG157" s="687">
        <f t="shared" si="206"/>
        <v>7571170.4620080004</v>
      </c>
      <c r="CH157" s="687">
        <f t="shared" si="207"/>
        <v>5649445.2399920002</v>
      </c>
      <c r="CP157" s="731" t="s">
        <v>401</v>
      </c>
      <c r="CQ157" s="730">
        <v>12687731000</v>
      </c>
      <c r="CR157" s="730">
        <v>7265998524</v>
      </c>
      <c r="CS157" s="730">
        <v>7265998524</v>
      </c>
      <c r="CT157" s="730">
        <v>5421732476</v>
      </c>
      <c r="CU157" s="730">
        <f t="shared" si="140"/>
        <v>13220615.702</v>
      </c>
      <c r="CV157" s="730">
        <f t="shared" si="141"/>
        <v>7571170.4620080004</v>
      </c>
      <c r="CW157" s="730">
        <f t="shared" si="142"/>
        <v>7571170.4620080004</v>
      </c>
      <c r="CX157" s="730">
        <f t="shared" si="143"/>
        <v>5649445.2399920002</v>
      </c>
      <c r="DE157" s="729" t="s">
        <v>400</v>
      </c>
      <c r="DF157" s="687">
        <v>12687731000</v>
      </c>
      <c r="DG157" s="687">
        <v>7265998524</v>
      </c>
      <c r="DH157" s="687">
        <v>7265998524</v>
      </c>
      <c r="DI157" s="687">
        <v>5421732476</v>
      </c>
      <c r="DJ157" s="730">
        <f t="shared" si="168"/>
        <v>13220615.702</v>
      </c>
      <c r="DK157" s="730">
        <f t="shared" si="169"/>
        <v>7571170.4620080004</v>
      </c>
      <c r="DL157" s="730">
        <f t="shared" si="170"/>
        <v>7571170.4620080004</v>
      </c>
      <c r="DM157" s="730">
        <f t="shared" si="171"/>
        <v>5649445.2399920002</v>
      </c>
      <c r="DT157" s="729" t="s">
        <v>399</v>
      </c>
      <c r="DU157" s="687">
        <v>16334626100</v>
      </c>
      <c r="DV157" s="687">
        <v>16334529250</v>
      </c>
      <c r="DW157" s="687">
        <v>16334529250</v>
      </c>
      <c r="DX157" s="687">
        <v>96850</v>
      </c>
      <c r="DY157" s="730">
        <f t="shared" si="209"/>
        <v>16334626.1</v>
      </c>
      <c r="DZ157" s="730">
        <f t="shared" si="210"/>
        <v>16334529.25</v>
      </c>
      <c r="EA157" s="730">
        <f t="shared" si="211"/>
        <v>16334529.25</v>
      </c>
      <c r="EB157" s="730">
        <f t="shared" si="212"/>
        <v>96.85</v>
      </c>
      <c r="EI157" s="731" t="s">
        <v>579</v>
      </c>
      <c r="EJ157" s="730">
        <v>208883375</v>
      </c>
      <c r="EK157" s="730">
        <v>48555910</v>
      </c>
      <c r="EL157" s="730">
        <v>37221411</v>
      </c>
      <c r="EM157" s="734">
        <f t="shared" si="176"/>
        <v>208883.375</v>
      </c>
      <c r="EN157" s="734">
        <f t="shared" si="177"/>
        <v>48555.91</v>
      </c>
      <c r="EO157" s="734">
        <f t="shared" si="178"/>
        <v>37221.411</v>
      </c>
      <c r="EW157" s="729" t="s">
        <v>874</v>
      </c>
      <c r="EX157" s="687">
        <v>189551138000</v>
      </c>
      <c r="EY157" s="687">
        <v>7526940000</v>
      </c>
      <c r="EZ157" s="687">
        <v>6830660584</v>
      </c>
      <c r="FA157" s="687">
        <v>7526940000</v>
      </c>
      <c r="FB157" s="687">
        <v>0</v>
      </c>
      <c r="FC157" s="730">
        <f t="shared" si="179"/>
        <v>189551138</v>
      </c>
      <c r="FD157" s="730">
        <f t="shared" si="180"/>
        <v>7526940</v>
      </c>
      <c r="FE157" s="730">
        <f t="shared" si="181"/>
        <v>6830660.5839999998</v>
      </c>
      <c r="FF157" s="730">
        <f t="shared" si="182"/>
        <v>7526940</v>
      </c>
      <c r="FG157" s="730">
        <f t="shared" si="183"/>
        <v>0</v>
      </c>
      <c r="FN157" s="735" t="s">
        <v>762</v>
      </c>
      <c r="FO157" s="736">
        <v>12461625</v>
      </c>
      <c r="FP157" s="736">
        <v>12461625</v>
      </c>
      <c r="FQ157" s="736">
        <v>12461625</v>
      </c>
      <c r="FR157" s="736">
        <f t="shared" si="184"/>
        <v>12461.625</v>
      </c>
      <c r="FS157" s="736">
        <f t="shared" si="185"/>
        <v>12461.625</v>
      </c>
      <c r="FT157" s="736">
        <f t="shared" si="186"/>
        <v>12461.625</v>
      </c>
    </row>
    <row r="158" spans="1:176" ht="15" customHeight="1" x14ac:dyDescent="0.25">
      <c r="BK158" s="754" t="s">
        <v>401</v>
      </c>
      <c r="BL158" s="687">
        <v>12687731000</v>
      </c>
      <c r="BM158" s="687">
        <v>7143800375</v>
      </c>
      <c r="BN158" s="687">
        <v>7143800375</v>
      </c>
      <c r="BO158" s="687">
        <v>5543930625</v>
      </c>
      <c r="BP158" s="687">
        <f t="shared" si="201"/>
        <v>13220615.702</v>
      </c>
      <c r="BQ158" s="687">
        <f t="shared" si="202"/>
        <v>7443839.9907499999</v>
      </c>
      <c r="BR158" s="687">
        <f t="shared" si="203"/>
        <v>7443839.9907499999</v>
      </c>
      <c r="BS158" s="755">
        <f t="shared" si="204"/>
        <v>5776775.7112500006</v>
      </c>
      <c r="BZ158" s="729" t="s">
        <v>402</v>
      </c>
      <c r="CA158" s="687">
        <v>2561303000</v>
      </c>
      <c r="CB158" s="687">
        <v>1803475684</v>
      </c>
      <c r="CC158" s="687">
        <v>1803475684</v>
      </c>
      <c r="CD158" s="687">
        <v>757827316</v>
      </c>
      <c r="CE158" s="687">
        <f t="shared" ref="CE158:CH159" si="215">+CA158/$CG$1*$CH$1</f>
        <v>2668877.7260000003</v>
      </c>
      <c r="CF158" s="687">
        <f t="shared" si="215"/>
        <v>1879221.662728</v>
      </c>
      <c r="CG158" s="687">
        <f t="shared" si="215"/>
        <v>1879221.662728</v>
      </c>
      <c r="CH158" s="687">
        <f t="shared" si="215"/>
        <v>789656.06327200006</v>
      </c>
      <c r="CP158" s="731" t="s">
        <v>402</v>
      </c>
      <c r="CQ158" s="730">
        <v>2561303000</v>
      </c>
      <c r="CR158" s="730">
        <v>2561303000</v>
      </c>
      <c r="CS158" s="730">
        <v>2561303000</v>
      </c>
      <c r="CT158" s="730">
        <v>0</v>
      </c>
      <c r="CU158" s="730">
        <f t="shared" si="140"/>
        <v>2668877.7260000003</v>
      </c>
      <c r="CV158" s="730">
        <f t="shared" si="141"/>
        <v>2668877.7260000003</v>
      </c>
      <c r="CW158" s="730">
        <f t="shared" si="142"/>
        <v>2668877.7260000003</v>
      </c>
      <c r="CX158" s="730">
        <f t="shared" si="143"/>
        <v>0</v>
      </c>
      <c r="DE158" s="729" t="s">
        <v>401</v>
      </c>
      <c r="DF158" s="687">
        <v>12687731000</v>
      </c>
      <c r="DG158" s="687">
        <v>7265998524</v>
      </c>
      <c r="DH158" s="687">
        <v>7265998524</v>
      </c>
      <c r="DI158" s="687">
        <v>5421732476</v>
      </c>
      <c r="DJ158" s="730">
        <f t="shared" si="168"/>
        <v>13220615.702</v>
      </c>
      <c r="DK158" s="730">
        <f t="shared" si="169"/>
        <v>7571170.4620080004</v>
      </c>
      <c r="DL158" s="730">
        <f t="shared" si="170"/>
        <v>7571170.4620080004</v>
      </c>
      <c r="DM158" s="730">
        <f t="shared" si="171"/>
        <v>5649445.2399920002</v>
      </c>
      <c r="DT158" s="729" t="s">
        <v>400</v>
      </c>
      <c r="DU158" s="687">
        <v>12687731000</v>
      </c>
      <c r="DV158" s="687">
        <v>12687731000</v>
      </c>
      <c r="DW158" s="687">
        <v>12687731000</v>
      </c>
      <c r="DX158" s="687">
        <v>0</v>
      </c>
      <c r="DY158" s="730">
        <f t="shared" si="209"/>
        <v>12687731</v>
      </c>
      <c r="DZ158" s="730">
        <f t="shared" si="210"/>
        <v>12687731</v>
      </c>
      <c r="EA158" s="730">
        <f t="shared" si="211"/>
        <v>12687731</v>
      </c>
      <c r="EB158" s="730">
        <f t="shared" si="212"/>
        <v>0</v>
      </c>
      <c r="EI158" s="731" t="s">
        <v>762</v>
      </c>
      <c r="EJ158" s="730">
        <v>12461625</v>
      </c>
      <c r="EK158" s="730">
        <v>12461625</v>
      </c>
      <c r="EL158" s="730">
        <v>12461625</v>
      </c>
      <c r="EM158" s="734">
        <f t="shared" si="176"/>
        <v>12461.625</v>
      </c>
      <c r="EN158" s="734">
        <f t="shared" si="177"/>
        <v>12461.625</v>
      </c>
      <c r="EO158" s="734">
        <f t="shared" si="178"/>
        <v>12461.625</v>
      </c>
      <c r="EW158" s="729" t="s">
        <v>875</v>
      </c>
      <c r="EX158" s="687">
        <v>189551138000</v>
      </c>
      <c r="EY158" s="687">
        <v>7526940000</v>
      </c>
      <c r="EZ158" s="687">
        <v>6830660584</v>
      </c>
      <c r="FA158" s="687">
        <v>7526940000</v>
      </c>
      <c r="FB158" s="687">
        <v>0</v>
      </c>
      <c r="FC158" s="730">
        <f t="shared" si="179"/>
        <v>189551138</v>
      </c>
      <c r="FD158" s="730">
        <f t="shared" si="180"/>
        <v>7526940</v>
      </c>
      <c r="FE158" s="730">
        <f t="shared" si="181"/>
        <v>6830660.5839999998</v>
      </c>
      <c r="FF158" s="730">
        <f t="shared" si="182"/>
        <v>7526940</v>
      </c>
      <c r="FG158" s="730">
        <f t="shared" si="183"/>
        <v>0</v>
      </c>
      <c r="FN158" s="735" t="s">
        <v>873</v>
      </c>
      <c r="FO158" s="736">
        <v>7449553000</v>
      </c>
      <c r="FP158" s="736">
        <v>7449553000</v>
      </c>
      <c r="FQ158" s="736">
        <v>7449553000</v>
      </c>
      <c r="FR158" s="736">
        <f t="shared" si="184"/>
        <v>7449553</v>
      </c>
      <c r="FS158" s="736">
        <f t="shared" si="185"/>
        <v>7449553</v>
      </c>
      <c r="FT158" s="736">
        <f t="shared" si="186"/>
        <v>7449553</v>
      </c>
    </row>
    <row r="159" spans="1:176" ht="15" customHeight="1" x14ac:dyDescent="0.25">
      <c r="AK159" s="687"/>
      <c r="AL159" s="687"/>
      <c r="AM159" s="687"/>
      <c r="AN159" s="687"/>
      <c r="AO159" s="687"/>
      <c r="BK159" s="754" t="s">
        <v>402</v>
      </c>
      <c r="BL159" s="687">
        <v>2561303000</v>
      </c>
      <c r="BM159" s="687">
        <v>1781802273</v>
      </c>
      <c r="BN159" s="687">
        <v>1781802273</v>
      </c>
      <c r="BO159" s="687">
        <v>779500727</v>
      </c>
      <c r="BP159" s="687">
        <f t="shared" si="201"/>
        <v>2668877.7260000003</v>
      </c>
      <c r="BQ159" s="687">
        <f t="shared" si="202"/>
        <v>1856637.9684660002</v>
      </c>
      <c r="BR159" s="687">
        <f t="shared" si="203"/>
        <v>1856637.9684660002</v>
      </c>
      <c r="BS159" s="755">
        <f t="shared" si="204"/>
        <v>812239.75753399997</v>
      </c>
      <c r="BZ159" s="729" t="s">
        <v>404</v>
      </c>
      <c r="CA159" s="687">
        <v>1085592100</v>
      </c>
      <c r="CB159" s="687">
        <v>1085495250</v>
      </c>
      <c r="CC159" s="687">
        <v>1085495250</v>
      </c>
      <c r="CD159" s="687">
        <v>96850</v>
      </c>
      <c r="CE159" s="687">
        <f t="shared" si="215"/>
        <v>1131186.9682000002</v>
      </c>
      <c r="CF159" s="687">
        <f t="shared" si="215"/>
        <v>1131086.0505000001</v>
      </c>
      <c r="CG159" s="687">
        <f t="shared" si="215"/>
        <v>1131086.0505000001</v>
      </c>
      <c r="CH159" s="687">
        <f t="shared" si="215"/>
        <v>100.9177</v>
      </c>
      <c r="CP159" s="731" t="s">
        <v>403</v>
      </c>
      <c r="CQ159" s="730">
        <v>2561303000</v>
      </c>
      <c r="CR159" s="730">
        <v>2561303000</v>
      </c>
      <c r="CS159" s="730">
        <v>2561303000</v>
      </c>
      <c r="CT159" s="730">
        <v>0</v>
      </c>
      <c r="CU159" s="730">
        <f t="shared" si="140"/>
        <v>2668877.7260000003</v>
      </c>
      <c r="CV159" s="730">
        <f t="shared" si="141"/>
        <v>2668877.7260000003</v>
      </c>
      <c r="CW159" s="730">
        <f t="shared" si="142"/>
        <v>2668877.7260000003</v>
      </c>
      <c r="CX159" s="730">
        <f t="shared" si="143"/>
        <v>0</v>
      </c>
      <c r="DE159" s="729" t="s">
        <v>402</v>
      </c>
      <c r="DF159" s="687">
        <v>2561303000</v>
      </c>
      <c r="DG159" s="687">
        <v>2561303000</v>
      </c>
      <c r="DH159" s="687">
        <v>2561303000</v>
      </c>
      <c r="DI159" s="687">
        <v>0</v>
      </c>
      <c r="DJ159" s="730">
        <f>+DF159/$DL$1*$DM$1</f>
        <v>2668877.7260000003</v>
      </c>
      <c r="DK159" s="730">
        <f>+DG159/$DL$1*$DM$1</f>
        <v>2668877.7260000003</v>
      </c>
      <c r="DL159" s="730">
        <f>+DH159/$DL$1*$DM$1</f>
        <v>2668877.7260000003</v>
      </c>
      <c r="DM159" s="730">
        <f>+DI159/$DL$1*$DM$1</f>
        <v>0</v>
      </c>
      <c r="DT159" s="729" t="s">
        <v>401</v>
      </c>
      <c r="DU159" s="687">
        <v>12687731000</v>
      </c>
      <c r="DV159" s="687">
        <v>12687731000</v>
      </c>
      <c r="DW159" s="687">
        <v>12687731000</v>
      </c>
      <c r="DX159" s="687">
        <v>0</v>
      </c>
      <c r="DY159" s="730">
        <f t="shared" si="209"/>
        <v>12687731</v>
      </c>
      <c r="DZ159" s="730">
        <f t="shared" si="210"/>
        <v>12687731</v>
      </c>
      <c r="EA159" s="730">
        <f t="shared" si="211"/>
        <v>12687731</v>
      </c>
      <c r="EB159" s="730">
        <f t="shared" si="212"/>
        <v>0</v>
      </c>
      <c r="EI159" s="731" t="s">
        <v>873</v>
      </c>
      <c r="EJ159" s="730">
        <v>192052970000</v>
      </c>
      <c r="EK159" s="730">
        <v>2798660457</v>
      </c>
      <c r="EL159" s="730">
        <v>2721273457</v>
      </c>
      <c r="EM159" s="734">
        <f t="shared" si="176"/>
        <v>192052970</v>
      </c>
      <c r="EN159" s="734">
        <f t="shared" si="177"/>
        <v>2798660.4569999999</v>
      </c>
      <c r="EO159" s="734">
        <f t="shared" si="178"/>
        <v>2721273.4569999999</v>
      </c>
      <c r="EW159" s="729" t="s">
        <v>399</v>
      </c>
      <c r="EX159" s="687">
        <v>16334626100</v>
      </c>
      <c r="EY159" s="687">
        <v>16334626100</v>
      </c>
      <c r="EZ159" s="687">
        <v>16334529250</v>
      </c>
      <c r="FA159" s="687">
        <v>16334529250</v>
      </c>
      <c r="FB159" s="687">
        <v>96850</v>
      </c>
      <c r="FC159" s="730">
        <f t="shared" si="179"/>
        <v>16334626.1</v>
      </c>
      <c r="FD159" s="730">
        <f t="shared" si="180"/>
        <v>16334626.1</v>
      </c>
      <c r="FE159" s="730">
        <f t="shared" si="181"/>
        <v>16334529.25</v>
      </c>
      <c r="FF159" s="730">
        <f t="shared" si="182"/>
        <v>16334529.25</v>
      </c>
      <c r="FG159" s="730">
        <f t="shared" si="183"/>
        <v>96.85</v>
      </c>
      <c r="FN159" s="735" t="s">
        <v>874</v>
      </c>
      <c r="FO159" s="736">
        <v>7449553000</v>
      </c>
      <c r="FP159" s="736">
        <v>7449553000</v>
      </c>
      <c r="FQ159" s="736">
        <v>7449553000</v>
      </c>
      <c r="FR159" s="736">
        <f t="shared" si="184"/>
        <v>7449553</v>
      </c>
      <c r="FS159" s="736">
        <f t="shared" si="185"/>
        <v>7449553</v>
      </c>
      <c r="FT159" s="736">
        <f t="shared" si="186"/>
        <v>7449553</v>
      </c>
    </row>
    <row r="160" spans="1:176" ht="15" customHeight="1" x14ac:dyDescent="0.25">
      <c r="BK160" s="754" t="s">
        <v>403</v>
      </c>
      <c r="BL160" s="687">
        <v>2561303000</v>
      </c>
      <c r="BM160" s="687">
        <v>1781802273</v>
      </c>
      <c r="BN160" s="687">
        <v>1781802273</v>
      </c>
      <c r="BO160" s="687">
        <v>779500727</v>
      </c>
      <c r="BP160" s="687">
        <f t="shared" si="201"/>
        <v>2668877.7260000003</v>
      </c>
      <c r="BQ160" s="687">
        <f t="shared" si="202"/>
        <v>1856637.9684660002</v>
      </c>
      <c r="BR160" s="687">
        <f t="shared" si="203"/>
        <v>1856637.9684660002</v>
      </c>
      <c r="BS160" s="755">
        <f t="shared" si="204"/>
        <v>812239.75753399997</v>
      </c>
      <c r="BZ160" s="729"/>
      <c r="CA160" s="687"/>
      <c r="CB160" s="687"/>
      <c r="CC160" s="687"/>
      <c r="CD160" s="687"/>
      <c r="CE160" s="687"/>
      <c r="CF160" s="687"/>
      <c r="CG160" s="687"/>
      <c r="CH160" s="687"/>
      <c r="CP160" s="731" t="s">
        <v>580</v>
      </c>
      <c r="CQ160" s="730">
        <v>2561303000</v>
      </c>
      <c r="CR160" s="730">
        <v>2561303000</v>
      </c>
      <c r="CS160" s="730">
        <v>2561303000</v>
      </c>
      <c r="CT160" s="730">
        <v>0</v>
      </c>
      <c r="CU160" s="730">
        <f t="shared" si="140"/>
        <v>2668877.7260000003</v>
      </c>
      <c r="CV160" s="730">
        <f t="shared" si="141"/>
        <v>2668877.7260000003</v>
      </c>
      <c r="CW160" s="730">
        <f t="shared" si="142"/>
        <v>2668877.7260000003</v>
      </c>
      <c r="CX160" s="730">
        <f t="shared" si="143"/>
        <v>0</v>
      </c>
      <c r="DE160" s="729" t="s">
        <v>403</v>
      </c>
      <c r="DF160" s="687">
        <v>2561303000</v>
      </c>
      <c r="DG160" s="687">
        <v>2561303000</v>
      </c>
      <c r="DH160" s="687">
        <v>2561303000</v>
      </c>
      <c r="DI160" s="687">
        <v>0</v>
      </c>
      <c r="DJ160" s="730">
        <f t="shared" si="168"/>
        <v>2668877.7260000003</v>
      </c>
      <c r="DK160" s="730">
        <f t="shared" si="169"/>
        <v>2668877.7260000003</v>
      </c>
      <c r="DL160" s="730">
        <f t="shared" si="170"/>
        <v>2668877.7260000003</v>
      </c>
      <c r="DM160" s="730">
        <f t="shared" si="171"/>
        <v>0</v>
      </c>
      <c r="DT160" s="729" t="s">
        <v>402</v>
      </c>
      <c r="DU160" s="687">
        <v>2561303000</v>
      </c>
      <c r="DV160" s="687">
        <v>2561303000</v>
      </c>
      <c r="DW160" s="687">
        <v>2561303000</v>
      </c>
      <c r="DX160" s="687">
        <v>0</v>
      </c>
      <c r="DY160" s="730">
        <f t="shared" si="209"/>
        <v>2561303</v>
      </c>
      <c r="DZ160" s="730">
        <f t="shared" si="210"/>
        <v>2561303</v>
      </c>
      <c r="EA160" s="730">
        <f t="shared" si="211"/>
        <v>2561303</v>
      </c>
      <c r="EB160" s="730">
        <f t="shared" si="212"/>
        <v>0</v>
      </c>
      <c r="EI160" s="731" t="s">
        <v>874</v>
      </c>
      <c r="EJ160" s="730">
        <v>192052970000</v>
      </c>
      <c r="EK160" s="730">
        <v>2798660457</v>
      </c>
      <c r="EL160" s="730">
        <v>2721273457</v>
      </c>
      <c r="EM160" s="734">
        <f t="shared" si="176"/>
        <v>192052970</v>
      </c>
      <c r="EN160" s="734">
        <f t="shared" si="177"/>
        <v>2798660.4569999999</v>
      </c>
      <c r="EO160" s="734">
        <f t="shared" si="178"/>
        <v>2721273.4569999999</v>
      </c>
      <c r="EW160" s="729" t="s">
        <v>400</v>
      </c>
      <c r="EX160" s="687">
        <v>12687731000</v>
      </c>
      <c r="EY160" s="687">
        <v>12687731000</v>
      </c>
      <c r="EZ160" s="687">
        <v>12687731000</v>
      </c>
      <c r="FA160" s="687">
        <v>12687731000</v>
      </c>
      <c r="FB160" s="687">
        <v>0</v>
      </c>
      <c r="FC160" s="730">
        <f t="shared" si="179"/>
        <v>12687731</v>
      </c>
      <c r="FD160" s="730">
        <f t="shared" si="180"/>
        <v>12687731</v>
      </c>
      <c r="FE160" s="730">
        <f t="shared" si="181"/>
        <v>12687731</v>
      </c>
      <c r="FF160" s="730">
        <f t="shared" si="182"/>
        <v>12687731</v>
      </c>
      <c r="FG160" s="730">
        <f t="shared" si="183"/>
        <v>0</v>
      </c>
      <c r="FN160" s="735" t="s">
        <v>875</v>
      </c>
      <c r="FO160" s="736">
        <v>7449553000</v>
      </c>
      <c r="FP160" s="736">
        <v>7449553000</v>
      </c>
      <c r="FQ160" s="736">
        <v>7449553000</v>
      </c>
      <c r="FR160" s="736">
        <f t="shared" si="184"/>
        <v>7449553</v>
      </c>
      <c r="FS160" s="736">
        <f t="shared" si="185"/>
        <v>7449553</v>
      </c>
      <c r="FT160" s="736">
        <f t="shared" si="186"/>
        <v>7449553</v>
      </c>
    </row>
    <row r="161" spans="63:176" ht="15" customHeight="1" x14ac:dyDescent="0.25">
      <c r="BK161" s="754" t="s">
        <v>580</v>
      </c>
      <c r="BL161" s="687">
        <v>2561303000</v>
      </c>
      <c r="BM161" s="687">
        <v>1781802273</v>
      </c>
      <c r="BN161" s="687">
        <v>1781802273</v>
      </c>
      <c r="BO161" s="687">
        <v>779500727</v>
      </c>
      <c r="BP161" s="687">
        <f t="shared" si="201"/>
        <v>2668877.7260000003</v>
      </c>
      <c r="BQ161" s="687">
        <f t="shared" si="202"/>
        <v>1856637.9684660002</v>
      </c>
      <c r="BR161" s="687">
        <f t="shared" si="203"/>
        <v>1856637.9684660002</v>
      </c>
      <c r="BS161" s="755">
        <f t="shared" si="204"/>
        <v>812239.75753399997</v>
      </c>
      <c r="BZ161" s="729"/>
      <c r="CA161" s="687"/>
      <c r="CB161" s="687"/>
      <c r="CC161" s="687"/>
      <c r="CD161" s="687"/>
      <c r="CE161" s="687"/>
      <c r="CF161" s="687"/>
      <c r="CG161" s="687"/>
      <c r="CH161" s="687"/>
      <c r="CP161" s="731" t="s">
        <v>404</v>
      </c>
      <c r="CQ161" s="730">
        <v>1085592100</v>
      </c>
      <c r="CR161" s="730">
        <v>1085495250</v>
      </c>
      <c r="CS161" s="730">
        <v>1085495250</v>
      </c>
      <c r="CT161" s="730">
        <v>96850</v>
      </c>
      <c r="CU161" s="730">
        <f t="shared" si="140"/>
        <v>1131186.9682000002</v>
      </c>
      <c r="CV161" s="730">
        <f t="shared" si="141"/>
        <v>1131086.0505000001</v>
      </c>
      <c r="CW161" s="730">
        <f t="shared" si="142"/>
        <v>1131086.0505000001</v>
      </c>
      <c r="CX161" s="730">
        <f t="shared" si="143"/>
        <v>100.9177</v>
      </c>
      <c r="DE161" s="729" t="s">
        <v>580</v>
      </c>
      <c r="DF161" s="687">
        <v>2561303000</v>
      </c>
      <c r="DG161" s="687">
        <v>2561303000</v>
      </c>
      <c r="DH161" s="687">
        <v>2561303000</v>
      </c>
      <c r="DI161" s="687">
        <v>0</v>
      </c>
      <c r="DJ161" s="730">
        <f t="shared" si="168"/>
        <v>2668877.7260000003</v>
      </c>
      <c r="DK161" s="730">
        <f t="shared" si="169"/>
        <v>2668877.7260000003</v>
      </c>
      <c r="DL161" s="730">
        <f t="shared" si="170"/>
        <v>2668877.7260000003</v>
      </c>
      <c r="DM161" s="730">
        <f t="shared" si="171"/>
        <v>0</v>
      </c>
      <c r="DT161" s="729" t="s">
        <v>403</v>
      </c>
      <c r="DU161" s="687">
        <v>2561303000</v>
      </c>
      <c r="DV161" s="687">
        <v>2561303000</v>
      </c>
      <c r="DW161" s="687">
        <v>2561303000</v>
      </c>
      <c r="DX161" s="687">
        <v>0</v>
      </c>
      <c r="DY161" s="730">
        <f t="shared" si="209"/>
        <v>2561303</v>
      </c>
      <c r="DZ161" s="730">
        <f t="shared" si="210"/>
        <v>2561303</v>
      </c>
      <c r="EA161" s="730">
        <f t="shared" si="211"/>
        <v>2561303</v>
      </c>
      <c r="EB161" s="730">
        <f t="shared" si="212"/>
        <v>0</v>
      </c>
      <c r="EI161" s="731" t="s">
        <v>875</v>
      </c>
      <c r="EJ161" s="730">
        <v>192052970000</v>
      </c>
      <c r="EK161" s="730">
        <v>2798660457</v>
      </c>
      <c r="EL161" s="730">
        <v>2721273457</v>
      </c>
      <c r="EM161" s="734">
        <f t="shared" si="176"/>
        <v>192052970</v>
      </c>
      <c r="EN161" s="734">
        <f t="shared" si="177"/>
        <v>2798660.4569999999</v>
      </c>
      <c r="EO161" s="734">
        <f t="shared" si="178"/>
        <v>2721273.4569999999</v>
      </c>
      <c r="EW161" s="729" t="s">
        <v>402</v>
      </c>
      <c r="EX161" s="687">
        <v>2561303000</v>
      </c>
      <c r="EY161" s="687">
        <v>2561303000</v>
      </c>
      <c r="EZ161" s="687">
        <v>2561303000</v>
      </c>
      <c r="FA161" s="687">
        <v>2561303000</v>
      </c>
      <c r="FB161" s="687">
        <v>0</v>
      </c>
      <c r="FC161" s="730">
        <f t="shared" si="179"/>
        <v>2561303</v>
      </c>
      <c r="FD161" s="730">
        <f t="shared" si="180"/>
        <v>2561303</v>
      </c>
      <c r="FE161" s="730">
        <f t="shared" si="181"/>
        <v>2561303</v>
      </c>
      <c r="FF161" s="730">
        <f t="shared" si="182"/>
        <v>2561303</v>
      </c>
      <c r="FG161" s="730">
        <f t="shared" si="183"/>
        <v>0</v>
      </c>
      <c r="FN161" s="735" t="s">
        <v>399</v>
      </c>
      <c r="FO161" s="736">
        <v>16334626100</v>
      </c>
      <c r="FP161" s="736">
        <v>16334529250</v>
      </c>
      <c r="FQ161" s="736">
        <v>16334529250</v>
      </c>
      <c r="FR161" s="736">
        <f t="shared" si="184"/>
        <v>16334626.1</v>
      </c>
      <c r="FS161" s="736">
        <f t="shared" si="185"/>
        <v>16334529.25</v>
      </c>
      <c r="FT161" s="736">
        <f t="shared" si="186"/>
        <v>16334529.25</v>
      </c>
    </row>
    <row r="162" spans="63:176" ht="15" customHeight="1" x14ac:dyDescent="0.25">
      <c r="BK162" s="756" t="s">
        <v>404</v>
      </c>
      <c r="BL162" s="757">
        <v>1085592100</v>
      </c>
      <c r="BM162" s="757">
        <v>1085495250</v>
      </c>
      <c r="BN162" s="757">
        <v>1085495250</v>
      </c>
      <c r="BO162" s="757">
        <v>96850</v>
      </c>
      <c r="BP162" s="757">
        <f t="shared" si="201"/>
        <v>1131186.9682000002</v>
      </c>
      <c r="BQ162" s="757">
        <f t="shared" si="202"/>
        <v>1131086.0505000001</v>
      </c>
      <c r="BR162" s="757">
        <f t="shared" si="203"/>
        <v>1131086.0505000001</v>
      </c>
      <c r="BS162" s="758">
        <f t="shared" si="204"/>
        <v>100.9177</v>
      </c>
      <c r="CU162" s="734">
        <f>SUM(CU3:CU161)</f>
        <v>754031157.3103739</v>
      </c>
      <c r="CV162" s="734">
        <f t="shared" ref="CV162:CX162" si="216">SUM(CV3:CV161)</f>
        <v>94051037.824149981</v>
      </c>
      <c r="CW162" s="734">
        <f t="shared" si="216"/>
        <v>98631134.047547951</v>
      </c>
      <c r="CX162" s="734">
        <f t="shared" si="216"/>
        <v>655400023.26282609</v>
      </c>
      <c r="DE162" s="729" t="s">
        <v>404</v>
      </c>
      <c r="DF162" s="687">
        <v>1085592100</v>
      </c>
      <c r="DG162" s="687">
        <v>1085495250</v>
      </c>
      <c r="DH162" s="687">
        <v>1085495250</v>
      </c>
      <c r="DI162" s="687">
        <v>96850</v>
      </c>
      <c r="DJ162" s="730">
        <f>+DF162/$DL$1*$DM$1</f>
        <v>1131186.9682000002</v>
      </c>
      <c r="DK162" s="730">
        <f>+DG162/$DL$1*$DM$1</f>
        <v>1131086.0505000001</v>
      </c>
      <c r="DL162" s="730">
        <f>+DH162/$DL$1*$DM$1</f>
        <v>1131086.0505000001</v>
      </c>
      <c r="DM162" s="730">
        <f>+DI162/$DL$1*$DM$1</f>
        <v>100.9177</v>
      </c>
      <c r="DT162" s="729" t="s">
        <v>580</v>
      </c>
      <c r="DU162" s="687">
        <v>2561303000</v>
      </c>
      <c r="DV162" s="687">
        <v>2561303000</v>
      </c>
      <c r="DW162" s="687">
        <v>2561303000</v>
      </c>
      <c r="DX162" s="687">
        <v>0</v>
      </c>
      <c r="DY162" s="730">
        <f t="shared" si="209"/>
        <v>2561303</v>
      </c>
      <c r="DZ162" s="730">
        <f t="shared" si="210"/>
        <v>2561303</v>
      </c>
      <c r="EA162" s="730">
        <f t="shared" si="211"/>
        <v>2561303</v>
      </c>
      <c r="EB162" s="730">
        <f t="shared" si="212"/>
        <v>0</v>
      </c>
      <c r="EI162" s="731" t="s">
        <v>399</v>
      </c>
      <c r="EJ162" s="730">
        <v>16334626100</v>
      </c>
      <c r="EK162" s="730">
        <v>16334529250</v>
      </c>
      <c r="EL162" s="730">
        <v>16334529250</v>
      </c>
      <c r="EM162" s="734">
        <f t="shared" si="176"/>
        <v>16334626.1</v>
      </c>
      <c r="EN162" s="734">
        <f t="shared" si="177"/>
        <v>16334529.25</v>
      </c>
      <c r="EO162" s="734">
        <f t="shared" si="178"/>
        <v>16334529.25</v>
      </c>
      <c r="EW162" s="729" t="s">
        <v>404</v>
      </c>
      <c r="EX162" s="687">
        <v>1085592100</v>
      </c>
      <c r="EY162" s="687">
        <v>1085592100</v>
      </c>
      <c r="EZ162" s="687">
        <v>1085495250</v>
      </c>
      <c r="FA162" s="687">
        <v>1085495250</v>
      </c>
      <c r="FB162" s="687">
        <v>96850</v>
      </c>
      <c r="FC162" s="730">
        <f t="shared" si="179"/>
        <v>1085592.1000000001</v>
      </c>
      <c r="FD162" s="730">
        <f t="shared" si="180"/>
        <v>1085592.1000000001</v>
      </c>
      <c r="FE162" s="730">
        <f t="shared" si="181"/>
        <v>1085495.25</v>
      </c>
      <c r="FF162" s="730">
        <f t="shared" si="182"/>
        <v>1085495.25</v>
      </c>
      <c r="FG162" s="730">
        <f t="shared" si="183"/>
        <v>96.85</v>
      </c>
      <c r="FN162" s="735" t="s">
        <v>400</v>
      </c>
      <c r="FO162" s="736">
        <v>12687731000</v>
      </c>
      <c r="FP162" s="736">
        <v>12687731000</v>
      </c>
      <c r="FQ162" s="736">
        <v>12687731000</v>
      </c>
      <c r="FR162" s="736">
        <f t="shared" si="184"/>
        <v>12687731</v>
      </c>
      <c r="FS162" s="736">
        <f t="shared" si="185"/>
        <v>12687731</v>
      </c>
      <c r="FT162" s="736">
        <f t="shared" si="186"/>
        <v>12687731</v>
      </c>
    </row>
    <row r="163" spans="63:176" ht="15" customHeight="1" x14ac:dyDescent="0.25">
      <c r="BK163" s="759"/>
      <c r="BL163" s="760"/>
      <c r="BM163" s="760"/>
      <c r="BN163" s="760"/>
      <c r="BO163" s="760"/>
      <c r="BP163" s="760"/>
      <c r="BQ163" s="761">
        <f>SUM(BQ3:BQ162)</f>
        <v>70298248.967390001</v>
      </c>
      <c r="BR163" s="761">
        <f t="shared" ref="BR163:BS163" si="217">SUM(BR3:BR162)</f>
        <v>75538159.546129972</v>
      </c>
      <c r="BS163" s="762">
        <f t="shared" si="217"/>
        <v>677635209.24827015</v>
      </c>
      <c r="DE163" s="729"/>
      <c r="DF163" s="687"/>
      <c r="DG163" s="687"/>
      <c r="DH163" s="687"/>
      <c r="DI163" s="687"/>
      <c r="DT163" s="729" t="s">
        <v>404</v>
      </c>
      <c r="DU163" s="687">
        <v>1085592100</v>
      </c>
      <c r="DV163" s="687">
        <v>1085495250</v>
      </c>
      <c r="DW163" s="687">
        <v>1085495250</v>
      </c>
      <c r="DX163" s="687">
        <v>96850</v>
      </c>
      <c r="DY163" s="730">
        <f t="shared" si="209"/>
        <v>1085592.1000000001</v>
      </c>
      <c r="DZ163" s="730">
        <f t="shared" si="210"/>
        <v>1085495.25</v>
      </c>
      <c r="EA163" s="730">
        <f t="shared" si="211"/>
        <v>1085495.25</v>
      </c>
      <c r="EB163" s="730">
        <f t="shared" si="212"/>
        <v>96.85</v>
      </c>
      <c r="EI163" s="731" t="s">
        <v>400</v>
      </c>
      <c r="EJ163" s="730">
        <v>12687731000</v>
      </c>
      <c r="EK163" s="730">
        <v>12687731000</v>
      </c>
      <c r="EL163" s="730">
        <v>12687731000</v>
      </c>
      <c r="EM163" s="734">
        <f t="shared" si="176"/>
        <v>12687731</v>
      </c>
      <c r="EN163" s="734">
        <f t="shared" si="177"/>
        <v>12687731</v>
      </c>
      <c r="EO163" s="734">
        <f t="shared" si="178"/>
        <v>12687731</v>
      </c>
      <c r="EW163" s="729"/>
      <c r="EX163" s="687"/>
      <c r="EY163" s="687"/>
      <c r="EZ163" s="687"/>
      <c r="FA163" s="687"/>
      <c r="FB163" s="687">
        <v>0</v>
      </c>
      <c r="FC163" s="730">
        <f t="shared" si="179"/>
        <v>0</v>
      </c>
      <c r="FD163" s="730">
        <f t="shared" si="180"/>
        <v>0</v>
      </c>
      <c r="FE163" s="730">
        <f t="shared" si="181"/>
        <v>0</v>
      </c>
      <c r="FF163" s="730">
        <f t="shared" si="182"/>
        <v>0</v>
      </c>
      <c r="FG163" s="730">
        <f t="shared" si="183"/>
        <v>0</v>
      </c>
      <c r="FN163" s="735" t="s">
        <v>401</v>
      </c>
      <c r="FO163" s="736">
        <v>12687731000</v>
      </c>
      <c r="FP163" s="736">
        <v>12687731000</v>
      </c>
      <c r="FQ163" s="736">
        <v>12687731000</v>
      </c>
      <c r="FR163" s="736">
        <f t="shared" si="184"/>
        <v>12687731</v>
      </c>
      <c r="FS163" s="736">
        <f t="shared" si="185"/>
        <v>12687731</v>
      </c>
      <c r="FT163" s="736">
        <f t="shared" si="186"/>
        <v>12687731</v>
      </c>
    </row>
    <row r="164" spans="63:176" ht="15" customHeight="1" x14ac:dyDescent="0.25">
      <c r="DE164" s="729"/>
      <c r="DF164" s="687"/>
      <c r="DG164" s="687"/>
      <c r="DH164" s="687"/>
      <c r="DI164" s="687"/>
      <c r="DY164" s="730">
        <f t="shared" si="209"/>
        <v>0</v>
      </c>
      <c r="DZ164" s="730">
        <f t="shared" si="210"/>
        <v>0</v>
      </c>
      <c r="EA164" s="730">
        <f t="shared" si="211"/>
        <v>0</v>
      </c>
      <c r="EB164" s="730">
        <f t="shared" si="212"/>
        <v>0</v>
      </c>
      <c r="EI164" s="731" t="s">
        <v>401</v>
      </c>
      <c r="EJ164" s="730">
        <v>12687731000</v>
      </c>
      <c r="EK164" s="730">
        <v>12687731000</v>
      </c>
      <c r="EL164" s="730">
        <v>12687731000</v>
      </c>
      <c r="EM164" s="734">
        <f t="shared" si="176"/>
        <v>12687731</v>
      </c>
      <c r="EN164" s="734">
        <f t="shared" si="177"/>
        <v>12687731</v>
      </c>
      <c r="EO164" s="734">
        <f t="shared" si="178"/>
        <v>12687731</v>
      </c>
      <c r="EW164" s="729"/>
      <c r="EX164" s="687"/>
      <c r="EY164" s="687"/>
      <c r="EZ164" s="687"/>
      <c r="FA164" s="687"/>
      <c r="FB164" s="687">
        <v>0</v>
      </c>
      <c r="FC164" s="730">
        <f t="shared" si="179"/>
        <v>0</v>
      </c>
      <c r="FD164" s="730">
        <f t="shared" si="180"/>
        <v>0</v>
      </c>
      <c r="FE164" s="730">
        <f t="shared" si="181"/>
        <v>0</v>
      </c>
      <c r="FF164" s="730">
        <f t="shared" si="182"/>
        <v>0</v>
      </c>
      <c r="FG164" s="730">
        <f t="shared" si="183"/>
        <v>0</v>
      </c>
      <c r="FN164" s="735" t="s">
        <v>402</v>
      </c>
      <c r="FO164" s="736">
        <v>2561303000</v>
      </c>
      <c r="FP164" s="736">
        <v>2561303000</v>
      </c>
      <c r="FQ164" s="736">
        <v>2561303000</v>
      </c>
      <c r="FR164" s="736">
        <f t="shared" si="184"/>
        <v>2561303</v>
      </c>
      <c r="FS164" s="736">
        <f t="shared" si="185"/>
        <v>2561303</v>
      </c>
      <c r="FT164" s="736">
        <f t="shared" si="186"/>
        <v>2561303</v>
      </c>
    </row>
    <row r="165" spans="63:176" ht="15" customHeight="1" x14ac:dyDescent="0.25">
      <c r="DU165" s="731"/>
      <c r="DV165" s="731"/>
      <c r="DW165" s="731"/>
      <c r="DX165" s="731"/>
      <c r="EI165" s="731" t="s">
        <v>402</v>
      </c>
      <c r="EJ165" s="730">
        <v>2561303000</v>
      </c>
      <c r="EK165" s="730">
        <v>2561303000</v>
      </c>
      <c r="EL165" s="730">
        <v>2561303000</v>
      </c>
      <c r="EM165" s="734">
        <f t="shared" si="176"/>
        <v>2561303</v>
      </c>
      <c r="EN165" s="734">
        <f t="shared" si="177"/>
        <v>2561303</v>
      </c>
      <c r="EO165" s="734">
        <f t="shared" si="178"/>
        <v>2561303</v>
      </c>
      <c r="EW165" s="729"/>
      <c r="EX165" s="687"/>
      <c r="EY165" s="687"/>
      <c r="EZ165" s="687"/>
      <c r="FA165" s="687"/>
      <c r="FB165" s="687">
        <v>96850</v>
      </c>
      <c r="FC165" s="730">
        <f t="shared" si="179"/>
        <v>0</v>
      </c>
      <c r="FD165" s="730">
        <f t="shared" si="180"/>
        <v>0</v>
      </c>
      <c r="FE165" s="730">
        <f t="shared" si="181"/>
        <v>0</v>
      </c>
      <c r="FF165" s="730">
        <f t="shared" si="182"/>
        <v>0</v>
      </c>
      <c r="FG165" s="730">
        <f t="shared" si="183"/>
        <v>96.85</v>
      </c>
      <c r="FN165" s="735" t="s">
        <v>403</v>
      </c>
      <c r="FO165" s="736">
        <v>2561303000</v>
      </c>
      <c r="FP165" s="736">
        <v>2561303000</v>
      </c>
      <c r="FQ165" s="736">
        <v>2561303000</v>
      </c>
      <c r="FR165" s="736">
        <f t="shared" si="184"/>
        <v>2561303</v>
      </c>
      <c r="FS165" s="736">
        <f t="shared" si="185"/>
        <v>2561303</v>
      </c>
      <c r="FT165" s="736">
        <f t="shared" si="186"/>
        <v>2561303</v>
      </c>
    </row>
    <row r="166" spans="63:176" ht="15" customHeight="1" x14ac:dyDescent="0.25">
      <c r="DU166" s="731"/>
      <c r="DV166" s="731"/>
      <c r="DW166" s="731"/>
      <c r="DX166" s="731"/>
      <c r="EI166" s="731" t="s">
        <v>403</v>
      </c>
      <c r="EJ166" s="730">
        <v>2561303000</v>
      </c>
      <c r="EK166" s="730">
        <v>2561303000</v>
      </c>
      <c r="EL166" s="730">
        <v>2561303000</v>
      </c>
      <c r="EM166" s="734">
        <f t="shared" si="176"/>
        <v>2561303</v>
      </c>
      <c r="EN166" s="734">
        <f t="shared" si="177"/>
        <v>2561303</v>
      </c>
      <c r="EO166" s="734">
        <f t="shared" si="178"/>
        <v>2561303</v>
      </c>
      <c r="EW166" s="729"/>
      <c r="EX166" s="687"/>
      <c r="EY166" s="687"/>
      <c r="EZ166" s="687"/>
      <c r="FA166" s="687"/>
      <c r="FB166" s="687">
        <v>603962600</v>
      </c>
      <c r="FC166" s="730">
        <f t="shared" si="179"/>
        <v>0</v>
      </c>
      <c r="FD166" s="730">
        <f t="shared" si="180"/>
        <v>0</v>
      </c>
      <c r="FE166" s="730">
        <f t="shared" si="181"/>
        <v>0</v>
      </c>
      <c r="FF166" s="730">
        <f t="shared" si="182"/>
        <v>0</v>
      </c>
      <c r="FG166" s="730">
        <f t="shared" si="183"/>
        <v>603962.6</v>
      </c>
      <c r="FN166" s="735" t="s">
        <v>580</v>
      </c>
      <c r="FO166" s="736">
        <v>2561303000</v>
      </c>
      <c r="FP166" s="736">
        <v>2561303000</v>
      </c>
      <c r="FQ166" s="736">
        <v>2561303000</v>
      </c>
      <c r="FR166" s="736">
        <f t="shared" si="184"/>
        <v>2561303</v>
      </c>
      <c r="FS166" s="736">
        <f t="shared" si="185"/>
        <v>2561303</v>
      </c>
      <c r="FT166" s="736">
        <f t="shared" si="186"/>
        <v>2561303</v>
      </c>
    </row>
    <row r="167" spans="63:176" ht="15" customHeight="1" x14ac:dyDescent="0.25">
      <c r="EI167" s="731" t="s">
        <v>580</v>
      </c>
      <c r="EJ167" s="730">
        <v>2561303000</v>
      </c>
      <c r="EK167" s="730">
        <v>2561303000</v>
      </c>
      <c r="EL167" s="730">
        <v>2561303000</v>
      </c>
      <c r="EM167" s="734">
        <f t="shared" si="176"/>
        <v>2561303</v>
      </c>
      <c r="EN167" s="734">
        <f t="shared" si="177"/>
        <v>2561303</v>
      </c>
      <c r="EO167" s="734">
        <f t="shared" si="178"/>
        <v>2561303</v>
      </c>
      <c r="EW167" s="729"/>
      <c r="EX167" s="687"/>
      <c r="EY167" s="687"/>
      <c r="EZ167" s="687"/>
      <c r="FA167" s="687"/>
      <c r="FB167" s="687">
        <v>603962600</v>
      </c>
      <c r="FC167" s="730">
        <f t="shared" si="179"/>
        <v>0</v>
      </c>
      <c r="FD167" s="730">
        <f t="shared" si="180"/>
        <v>0</v>
      </c>
      <c r="FE167" s="730">
        <f t="shared" si="181"/>
        <v>0</v>
      </c>
      <c r="FF167" s="730">
        <f t="shared" si="182"/>
        <v>0</v>
      </c>
      <c r="FG167" s="730">
        <f t="shared" si="183"/>
        <v>603962.6</v>
      </c>
      <c r="FN167" s="735" t="s">
        <v>404</v>
      </c>
      <c r="FO167" s="736">
        <v>1085592100</v>
      </c>
      <c r="FP167" s="736">
        <v>1085495250</v>
      </c>
      <c r="FQ167" s="736">
        <v>1085495250</v>
      </c>
      <c r="FR167" s="736">
        <f t="shared" si="184"/>
        <v>1085592.1000000001</v>
      </c>
      <c r="FS167" s="736">
        <f t="shared" si="185"/>
        <v>1085495.25</v>
      </c>
      <c r="FT167" s="736">
        <f t="shared" si="186"/>
        <v>1085495.25</v>
      </c>
    </row>
    <row r="168" spans="63:176" ht="15" customHeight="1" x14ac:dyDescent="0.25">
      <c r="EI168" s="731" t="s">
        <v>404</v>
      </c>
      <c r="EJ168" s="730">
        <v>1085592100</v>
      </c>
      <c r="EK168" s="730">
        <v>1085495250</v>
      </c>
      <c r="EL168" s="730">
        <v>1085495250</v>
      </c>
      <c r="EM168" s="734">
        <f t="shared" si="176"/>
        <v>1085592.1000000001</v>
      </c>
      <c r="EN168" s="734">
        <f t="shared" si="177"/>
        <v>1085495.25</v>
      </c>
      <c r="EO168" s="734">
        <f t="shared" si="178"/>
        <v>1085495.25</v>
      </c>
      <c r="EW168" s="729"/>
      <c r="EX168" s="687"/>
      <c r="EY168" s="687"/>
      <c r="EZ168" s="687"/>
      <c r="FA168" s="687"/>
      <c r="FB168" s="687">
        <v>19134849</v>
      </c>
      <c r="FC168" s="730">
        <f t="shared" si="179"/>
        <v>0</v>
      </c>
      <c r="FD168" s="730">
        <f t="shared" si="180"/>
        <v>0</v>
      </c>
      <c r="FE168" s="730">
        <f t="shared" si="181"/>
        <v>0</v>
      </c>
      <c r="FF168" s="730">
        <f t="shared" si="182"/>
        <v>0</v>
      </c>
      <c r="FG168" s="730">
        <f t="shared" si="183"/>
        <v>19134.848999999998</v>
      </c>
      <c r="FR168" s="736">
        <f>SUM(FR3:FR167)</f>
        <v>174893508.035</v>
      </c>
      <c r="FS168" s="736">
        <f t="shared" ref="FS168:FT168" si="218">SUM(FS3:FS167)</f>
        <v>172790127.87699997</v>
      </c>
      <c r="FT168" s="736">
        <f t="shared" si="218"/>
        <v>172896672.69999999</v>
      </c>
    </row>
    <row r="169" spans="63:176" ht="15" customHeight="1" x14ac:dyDescent="0.2">
      <c r="EW169" s="729"/>
      <c r="EX169" s="687"/>
      <c r="EY169" s="687"/>
      <c r="EZ169" s="687"/>
      <c r="FA169" s="687"/>
      <c r="FB169" s="687">
        <v>234250038</v>
      </c>
      <c r="FC169" s="730">
        <f t="shared" si="179"/>
        <v>0</v>
      </c>
      <c r="FD169" s="730">
        <f t="shared" si="180"/>
        <v>0</v>
      </c>
      <c r="FE169" s="730">
        <f t="shared" si="181"/>
        <v>0</v>
      </c>
      <c r="FF169" s="730">
        <f t="shared" si="182"/>
        <v>0</v>
      </c>
      <c r="FG169" s="730">
        <f t="shared" si="183"/>
        <v>234250.038</v>
      </c>
    </row>
    <row r="170" spans="63:176" ht="15" customHeight="1" x14ac:dyDescent="0.2">
      <c r="EW170" s="729"/>
      <c r="EX170" s="687"/>
      <c r="EY170" s="687"/>
      <c r="EZ170" s="687"/>
      <c r="FA170" s="687"/>
      <c r="FB170" s="687">
        <v>25000310</v>
      </c>
      <c r="FC170" s="730">
        <f t="shared" si="179"/>
        <v>0</v>
      </c>
      <c r="FD170" s="730">
        <f t="shared" si="180"/>
        <v>0</v>
      </c>
      <c r="FE170" s="730">
        <f t="shared" si="181"/>
        <v>0</v>
      </c>
      <c r="FF170" s="730">
        <f t="shared" si="182"/>
        <v>0</v>
      </c>
      <c r="FG170" s="730">
        <f t="shared" si="183"/>
        <v>25000.31</v>
      </c>
    </row>
    <row r="171" spans="63:176" ht="15" customHeight="1" x14ac:dyDescent="0.2">
      <c r="EW171" s="729"/>
      <c r="EX171" s="687"/>
      <c r="EY171" s="687"/>
      <c r="EZ171" s="687"/>
      <c r="FA171" s="687"/>
      <c r="FB171" s="687">
        <v>325577403</v>
      </c>
      <c r="FC171" s="730">
        <f t="shared" si="179"/>
        <v>0</v>
      </c>
      <c r="FD171" s="730">
        <f t="shared" si="180"/>
        <v>0</v>
      </c>
      <c r="FE171" s="730">
        <f t="shared" si="181"/>
        <v>0</v>
      </c>
      <c r="FF171" s="730">
        <f t="shared" si="182"/>
        <v>0</v>
      </c>
      <c r="FG171" s="730">
        <f t="shared" si="183"/>
        <v>325577.40299999999</v>
      </c>
    </row>
    <row r="172" spans="63:176" ht="15" customHeight="1" x14ac:dyDescent="0.2">
      <c r="EW172" s="729"/>
      <c r="EX172" s="687"/>
      <c r="EY172" s="687"/>
      <c r="EZ172" s="687"/>
      <c r="FA172" s="687"/>
      <c r="FB172" s="687">
        <v>9607</v>
      </c>
      <c r="FC172" s="730">
        <f t="shared" si="179"/>
        <v>0</v>
      </c>
      <c r="FD172" s="730">
        <f t="shared" si="180"/>
        <v>0</v>
      </c>
      <c r="FE172" s="730">
        <f t="shared" si="181"/>
        <v>0</v>
      </c>
      <c r="FF172" s="730">
        <f t="shared" si="182"/>
        <v>0</v>
      </c>
      <c r="FG172" s="730">
        <f t="shared" si="183"/>
        <v>9.6069999999999993</v>
      </c>
    </row>
    <row r="173" spans="63:176" ht="15" customHeight="1" x14ac:dyDescent="0.2">
      <c r="EW173" s="729"/>
      <c r="EX173" s="687"/>
      <c r="EY173" s="687"/>
      <c r="EZ173" s="687"/>
      <c r="FA173" s="687"/>
      <c r="FB173" s="687">
        <v>9607</v>
      </c>
      <c r="FC173" s="730">
        <f t="shared" si="179"/>
        <v>0</v>
      </c>
      <c r="FD173" s="730">
        <f t="shared" si="180"/>
        <v>0</v>
      </c>
      <c r="FE173" s="730">
        <f t="shared" si="181"/>
        <v>0</v>
      </c>
      <c r="FF173" s="730">
        <f t="shared" si="182"/>
        <v>0</v>
      </c>
      <c r="FG173" s="730">
        <f t="shared" si="183"/>
        <v>9.6069999999999993</v>
      </c>
    </row>
    <row r="174" spans="63:176" ht="15" customHeight="1" x14ac:dyDescent="0.2">
      <c r="EW174" s="729"/>
      <c r="EX174" s="687"/>
      <c r="EY174" s="687"/>
      <c r="EZ174" s="687"/>
      <c r="FA174" s="687"/>
      <c r="FB174" s="687">
        <v>9607</v>
      </c>
      <c r="FC174" s="730">
        <f t="shared" si="179"/>
        <v>0</v>
      </c>
      <c r="FD174" s="730">
        <f t="shared" si="180"/>
        <v>0</v>
      </c>
      <c r="FE174" s="730">
        <f t="shared" si="181"/>
        <v>0</v>
      </c>
      <c r="FF174" s="730">
        <f t="shared" si="182"/>
        <v>0</v>
      </c>
      <c r="FG174" s="730">
        <f t="shared" si="183"/>
        <v>9.6069999999999993</v>
      </c>
    </row>
    <row r="175" spans="63:176" ht="15" customHeight="1" x14ac:dyDescent="0.2">
      <c r="EW175" s="729"/>
      <c r="EX175" s="687"/>
      <c r="EY175" s="687"/>
      <c r="EZ175" s="687"/>
      <c r="FA175" s="687"/>
      <c r="FB175" s="687">
        <v>399819004</v>
      </c>
      <c r="FC175" s="730">
        <f t="shared" si="179"/>
        <v>0</v>
      </c>
      <c r="FD175" s="730">
        <f t="shared" si="180"/>
        <v>0</v>
      </c>
      <c r="FE175" s="730">
        <f t="shared" si="181"/>
        <v>0</v>
      </c>
      <c r="FF175" s="730">
        <f t="shared" si="182"/>
        <v>0</v>
      </c>
      <c r="FG175" s="730">
        <f t="shared" si="183"/>
        <v>399819.00400000002</v>
      </c>
    </row>
    <row r="176" spans="63:176" ht="15" customHeight="1" x14ac:dyDescent="0.2">
      <c r="EW176" s="729"/>
      <c r="EX176" s="687"/>
      <c r="EY176" s="687"/>
      <c r="EZ176" s="687"/>
      <c r="FA176" s="687"/>
      <c r="FB176" s="687">
        <v>399819004</v>
      </c>
      <c r="FC176" s="730">
        <f t="shared" si="179"/>
        <v>0</v>
      </c>
      <c r="FD176" s="730">
        <f t="shared" si="180"/>
        <v>0</v>
      </c>
      <c r="FE176" s="730">
        <f t="shared" si="181"/>
        <v>0</v>
      </c>
      <c r="FF176" s="730">
        <f t="shared" si="182"/>
        <v>0</v>
      </c>
      <c r="FG176" s="730">
        <f t="shared" si="183"/>
        <v>399819.00400000002</v>
      </c>
    </row>
    <row r="177" spans="153:163" ht="15" customHeight="1" x14ac:dyDescent="0.2">
      <c r="EW177" s="729"/>
      <c r="EX177" s="687"/>
      <c r="EY177" s="687"/>
      <c r="EZ177" s="687"/>
      <c r="FA177" s="687"/>
      <c r="FB177" s="687">
        <v>399819004</v>
      </c>
      <c r="FC177" s="730">
        <f t="shared" si="179"/>
        <v>0</v>
      </c>
      <c r="FD177" s="730">
        <f t="shared" si="180"/>
        <v>0</v>
      </c>
      <c r="FE177" s="730">
        <f t="shared" si="181"/>
        <v>0</v>
      </c>
      <c r="FF177" s="730">
        <f t="shared" si="182"/>
        <v>0</v>
      </c>
      <c r="FG177" s="730">
        <f t="shared" si="183"/>
        <v>399819.00400000002</v>
      </c>
    </row>
    <row r="178" spans="153:163" ht="15" customHeight="1" x14ac:dyDescent="0.2">
      <c r="EW178" s="729"/>
      <c r="EX178" s="687"/>
      <c r="EY178" s="687"/>
      <c r="EZ178" s="687"/>
      <c r="FA178" s="687"/>
      <c r="FB178" s="687">
        <v>154982178</v>
      </c>
      <c r="FC178" s="730">
        <f t="shared" si="179"/>
        <v>0</v>
      </c>
      <c r="FD178" s="730">
        <f t="shared" si="180"/>
        <v>0</v>
      </c>
      <c r="FE178" s="730">
        <f t="shared" si="181"/>
        <v>0</v>
      </c>
      <c r="FF178" s="730">
        <f t="shared" si="182"/>
        <v>0</v>
      </c>
      <c r="FG178" s="730">
        <f t="shared" si="183"/>
        <v>154982.17800000001</v>
      </c>
    </row>
    <row r="179" spans="153:163" ht="15" customHeight="1" x14ac:dyDescent="0.2">
      <c r="EW179" s="729"/>
      <c r="EX179" s="687"/>
      <c r="EY179" s="687"/>
      <c r="EZ179" s="687"/>
      <c r="FA179" s="687"/>
      <c r="FB179" s="687">
        <v>176349326</v>
      </c>
      <c r="FC179" s="730">
        <f t="shared" si="179"/>
        <v>0</v>
      </c>
      <c r="FD179" s="730">
        <f t="shared" si="180"/>
        <v>0</v>
      </c>
      <c r="FE179" s="730">
        <f t="shared" si="181"/>
        <v>0</v>
      </c>
      <c r="FF179" s="730">
        <f t="shared" si="182"/>
        <v>0</v>
      </c>
      <c r="FG179" s="730">
        <f t="shared" si="183"/>
        <v>176349.326</v>
      </c>
    </row>
    <row r="180" spans="153:163" ht="15" customHeight="1" x14ac:dyDescent="0.2">
      <c r="EW180" s="729"/>
      <c r="EX180" s="687"/>
      <c r="EY180" s="687"/>
      <c r="EZ180" s="687"/>
      <c r="FA180" s="687"/>
      <c r="FB180" s="687">
        <v>199000</v>
      </c>
      <c r="FC180" s="730">
        <f t="shared" si="179"/>
        <v>0</v>
      </c>
      <c r="FD180" s="730">
        <f t="shared" si="180"/>
        <v>0</v>
      </c>
      <c r="FE180" s="730">
        <f t="shared" si="181"/>
        <v>0</v>
      </c>
      <c r="FF180" s="730">
        <f t="shared" si="182"/>
        <v>0</v>
      </c>
      <c r="FG180" s="730">
        <f t="shared" si="183"/>
        <v>199</v>
      </c>
    </row>
    <row r="181" spans="153:163" ht="15" customHeight="1" x14ac:dyDescent="0.2">
      <c r="EW181" s="729"/>
      <c r="EX181" s="687"/>
      <c r="EY181" s="687"/>
      <c r="EZ181" s="687"/>
      <c r="FA181" s="687"/>
      <c r="FB181" s="687">
        <v>288500</v>
      </c>
      <c r="FC181" s="730">
        <f t="shared" si="179"/>
        <v>0</v>
      </c>
      <c r="FD181" s="730">
        <f t="shared" si="180"/>
        <v>0</v>
      </c>
      <c r="FE181" s="730">
        <f t="shared" si="181"/>
        <v>0</v>
      </c>
      <c r="FF181" s="730">
        <f t="shared" si="182"/>
        <v>0</v>
      </c>
      <c r="FG181" s="730">
        <f t="shared" si="183"/>
        <v>288.5</v>
      </c>
    </row>
    <row r="182" spans="153:163" ht="15" customHeight="1" x14ac:dyDescent="0.2">
      <c r="EW182" s="729"/>
      <c r="EX182" s="687"/>
      <c r="EY182" s="687"/>
      <c r="EZ182" s="687"/>
      <c r="FA182" s="687"/>
      <c r="FB182" s="687">
        <v>68000000</v>
      </c>
      <c r="FC182" s="730">
        <f t="shared" si="179"/>
        <v>0</v>
      </c>
      <c r="FD182" s="730">
        <f t="shared" si="180"/>
        <v>0</v>
      </c>
      <c r="FE182" s="730">
        <f t="shared" si="181"/>
        <v>0</v>
      </c>
      <c r="FF182" s="730">
        <f t="shared" si="182"/>
        <v>0</v>
      </c>
      <c r="FG182" s="730">
        <f t="shared" si="183"/>
        <v>68000</v>
      </c>
    </row>
    <row r="183" spans="153:163" ht="15" customHeight="1" x14ac:dyDescent="0.2">
      <c r="EW183" s="729"/>
      <c r="EX183" s="687"/>
      <c r="EY183" s="687"/>
      <c r="EZ183" s="687"/>
      <c r="FA183" s="687"/>
      <c r="FB183" s="687">
        <v>157</v>
      </c>
      <c r="FC183" s="730">
        <f t="shared" si="179"/>
        <v>0</v>
      </c>
      <c r="FD183" s="730">
        <f t="shared" si="180"/>
        <v>0</v>
      </c>
      <c r="FE183" s="730">
        <f t="shared" si="181"/>
        <v>0</v>
      </c>
      <c r="FF183" s="730">
        <f t="shared" si="182"/>
        <v>0</v>
      </c>
      <c r="FG183" s="730">
        <f t="shared" si="183"/>
        <v>0.157</v>
      </c>
    </row>
    <row r="184" spans="153:163" ht="15" customHeight="1" x14ac:dyDescent="0.2">
      <c r="EW184" s="729"/>
      <c r="EX184" s="687"/>
      <c r="EY184" s="687"/>
      <c r="EZ184" s="687"/>
      <c r="FA184" s="687"/>
      <c r="FB184" s="687">
        <v>157</v>
      </c>
      <c r="FC184" s="730">
        <f t="shared" si="179"/>
        <v>0</v>
      </c>
      <c r="FD184" s="730">
        <f t="shared" si="180"/>
        <v>0</v>
      </c>
      <c r="FE184" s="730">
        <f t="shared" si="181"/>
        <v>0</v>
      </c>
      <c r="FF184" s="730">
        <f t="shared" si="182"/>
        <v>0</v>
      </c>
      <c r="FG184" s="730">
        <f t="shared" si="183"/>
        <v>0.157</v>
      </c>
    </row>
    <row r="185" spans="153:163" ht="15" customHeight="1" x14ac:dyDescent="0.2">
      <c r="EW185" s="729"/>
      <c r="EX185" s="687"/>
      <c r="EY185" s="687"/>
      <c r="EZ185" s="687"/>
      <c r="FA185" s="687"/>
      <c r="FB185" s="687">
        <v>1314651250</v>
      </c>
      <c r="FC185" s="730">
        <f t="shared" si="179"/>
        <v>0</v>
      </c>
      <c r="FD185" s="730">
        <f t="shared" si="180"/>
        <v>0</v>
      </c>
      <c r="FE185" s="730">
        <f t="shared" si="181"/>
        <v>0</v>
      </c>
      <c r="FF185" s="730">
        <f t="shared" si="182"/>
        <v>0</v>
      </c>
      <c r="FG185" s="730">
        <f t="shared" si="183"/>
        <v>1314651.25</v>
      </c>
    </row>
    <row r="186" spans="153:163" ht="15" customHeight="1" x14ac:dyDescent="0.2">
      <c r="EW186" s="729"/>
      <c r="EX186" s="687"/>
      <c r="EY186" s="687"/>
      <c r="EZ186" s="687"/>
      <c r="FA186" s="687"/>
      <c r="FB186" s="687">
        <v>1314651250</v>
      </c>
      <c r="FC186" s="730">
        <f t="shared" si="179"/>
        <v>0</v>
      </c>
      <c r="FD186" s="730">
        <f t="shared" si="180"/>
        <v>0</v>
      </c>
      <c r="FE186" s="730">
        <f t="shared" si="181"/>
        <v>0</v>
      </c>
      <c r="FF186" s="730">
        <f t="shared" si="182"/>
        <v>0</v>
      </c>
      <c r="FG186" s="730">
        <f t="shared" si="183"/>
        <v>1314651.25</v>
      </c>
    </row>
    <row r="187" spans="153:163" ht="15" customHeight="1" x14ac:dyDescent="0.2">
      <c r="EW187" s="729"/>
      <c r="EX187" s="687"/>
      <c r="EY187" s="687"/>
      <c r="EZ187" s="687"/>
      <c r="FA187" s="687"/>
      <c r="FB187" s="687">
        <v>15806</v>
      </c>
      <c r="FC187" s="730">
        <f t="shared" si="179"/>
        <v>0</v>
      </c>
      <c r="FD187" s="730">
        <f t="shared" si="180"/>
        <v>0</v>
      </c>
      <c r="FE187" s="730">
        <f t="shared" si="181"/>
        <v>0</v>
      </c>
      <c r="FF187" s="730">
        <f t="shared" si="182"/>
        <v>0</v>
      </c>
      <c r="FG187" s="730">
        <f t="shared" si="183"/>
        <v>15.805999999999999</v>
      </c>
    </row>
    <row r="188" spans="153:163" ht="15" customHeight="1" x14ac:dyDescent="0.2">
      <c r="EW188" s="729"/>
      <c r="EX188" s="687"/>
      <c r="EY188" s="687"/>
      <c r="EZ188" s="687"/>
      <c r="FA188" s="687"/>
      <c r="FB188" s="687">
        <v>1311578026</v>
      </c>
      <c r="FC188" s="730">
        <f t="shared" si="179"/>
        <v>0</v>
      </c>
      <c r="FD188" s="730">
        <f t="shared" si="180"/>
        <v>0</v>
      </c>
      <c r="FE188" s="730">
        <f t="shared" si="181"/>
        <v>0</v>
      </c>
      <c r="FF188" s="730">
        <f t="shared" si="182"/>
        <v>0</v>
      </c>
      <c r="FG188" s="730">
        <f t="shared" si="183"/>
        <v>1311578.0260000001</v>
      </c>
    </row>
    <row r="189" spans="153:163" ht="15" customHeight="1" x14ac:dyDescent="0.2">
      <c r="EW189" s="729"/>
      <c r="EX189" s="687"/>
      <c r="EY189" s="687"/>
      <c r="EZ189" s="687"/>
      <c r="FA189" s="687"/>
      <c r="FB189" s="687">
        <v>3057418</v>
      </c>
      <c r="FC189" s="730">
        <f t="shared" si="179"/>
        <v>0</v>
      </c>
      <c r="FD189" s="730">
        <f t="shared" si="180"/>
        <v>0</v>
      </c>
      <c r="FE189" s="730">
        <f t="shared" si="181"/>
        <v>0</v>
      </c>
      <c r="FF189" s="730">
        <f t="shared" si="182"/>
        <v>0</v>
      </c>
      <c r="FG189" s="730">
        <f t="shared" si="183"/>
        <v>3057.4180000000001</v>
      </c>
    </row>
    <row r="190" spans="153:163" ht="15" customHeight="1" x14ac:dyDescent="0.2">
      <c r="EW190" s="729"/>
      <c r="EX190" s="687"/>
      <c r="EY190" s="687"/>
      <c r="EZ190" s="687"/>
      <c r="FA190" s="687"/>
      <c r="FB190" s="687">
        <v>3223669111</v>
      </c>
      <c r="FC190" s="730">
        <f t="shared" si="179"/>
        <v>0</v>
      </c>
      <c r="FD190" s="730">
        <f t="shared" si="180"/>
        <v>0</v>
      </c>
      <c r="FE190" s="730">
        <f t="shared" si="181"/>
        <v>0</v>
      </c>
      <c r="FF190" s="730">
        <f t="shared" si="182"/>
        <v>0</v>
      </c>
      <c r="FG190" s="730">
        <f t="shared" si="183"/>
        <v>3223669.111</v>
      </c>
    </row>
    <row r="191" spans="153:163" ht="15" customHeight="1" x14ac:dyDescent="0.2">
      <c r="EW191" s="729"/>
      <c r="EX191" s="687"/>
      <c r="EY191" s="687"/>
      <c r="EZ191" s="687"/>
      <c r="FA191" s="687"/>
      <c r="FB191" s="687">
        <v>3223669111</v>
      </c>
      <c r="FC191" s="730">
        <f t="shared" si="179"/>
        <v>0</v>
      </c>
      <c r="FD191" s="730">
        <f t="shared" si="180"/>
        <v>0</v>
      </c>
      <c r="FE191" s="730">
        <f t="shared" si="181"/>
        <v>0</v>
      </c>
      <c r="FF191" s="730">
        <f t="shared" si="182"/>
        <v>0</v>
      </c>
      <c r="FG191" s="730">
        <f t="shared" si="183"/>
        <v>3223669.111</v>
      </c>
    </row>
    <row r="192" spans="153:163" ht="15" customHeight="1" x14ac:dyDescent="0.2">
      <c r="EW192" s="729"/>
      <c r="EX192" s="687"/>
      <c r="EY192" s="687"/>
      <c r="EZ192" s="687"/>
      <c r="FA192" s="687"/>
      <c r="FB192" s="687">
        <v>3223669111</v>
      </c>
      <c r="FC192" s="730">
        <f t="shared" si="179"/>
        <v>0</v>
      </c>
      <c r="FD192" s="730">
        <f t="shared" si="180"/>
        <v>0</v>
      </c>
      <c r="FE192" s="730">
        <f t="shared" si="181"/>
        <v>0</v>
      </c>
      <c r="FF192" s="730">
        <f t="shared" si="182"/>
        <v>0</v>
      </c>
      <c r="FG192" s="730">
        <f t="shared" si="183"/>
        <v>3223669.111</v>
      </c>
    </row>
    <row r="193" spans="153:163" ht="15" customHeight="1" x14ac:dyDescent="0.2">
      <c r="EW193" s="729"/>
      <c r="EX193" s="687"/>
      <c r="EY193" s="687"/>
      <c r="EZ193" s="687"/>
      <c r="FA193" s="687"/>
      <c r="FB193" s="687">
        <v>243</v>
      </c>
      <c r="FC193" s="730">
        <f t="shared" si="179"/>
        <v>0</v>
      </c>
      <c r="FD193" s="730">
        <f t="shared" si="180"/>
        <v>0</v>
      </c>
      <c r="FE193" s="730">
        <f t="shared" si="181"/>
        <v>0</v>
      </c>
      <c r="FF193" s="730">
        <f t="shared" si="182"/>
        <v>0</v>
      </c>
      <c r="FG193" s="730">
        <f t="shared" si="183"/>
        <v>0.24299999999999999</v>
      </c>
    </row>
    <row r="194" spans="153:163" ht="15" customHeight="1" x14ac:dyDescent="0.2">
      <c r="EW194" s="729"/>
      <c r="EX194" s="687"/>
      <c r="EY194" s="687"/>
      <c r="EZ194" s="687"/>
      <c r="FA194" s="687"/>
      <c r="FB194" s="687">
        <v>243</v>
      </c>
      <c r="FC194" s="730">
        <f t="shared" si="179"/>
        <v>0</v>
      </c>
      <c r="FD194" s="730">
        <f t="shared" si="180"/>
        <v>0</v>
      </c>
      <c r="FE194" s="730">
        <f t="shared" si="181"/>
        <v>0</v>
      </c>
      <c r="FF194" s="730">
        <f t="shared" si="182"/>
        <v>0</v>
      </c>
      <c r="FG194" s="730">
        <f t="shared" si="183"/>
        <v>0.24299999999999999</v>
      </c>
    </row>
    <row r="195" spans="153:163" ht="15" customHeight="1" x14ac:dyDescent="0.2">
      <c r="EW195" s="729"/>
      <c r="EX195" s="687"/>
      <c r="EY195" s="687"/>
      <c r="EZ195" s="687"/>
      <c r="FA195" s="687"/>
      <c r="FB195" s="687">
        <v>243</v>
      </c>
      <c r="FC195" s="730">
        <f t="shared" si="179"/>
        <v>0</v>
      </c>
      <c r="FD195" s="730">
        <f t="shared" si="180"/>
        <v>0</v>
      </c>
      <c r="FE195" s="730">
        <f t="shared" si="181"/>
        <v>0</v>
      </c>
      <c r="FF195" s="730">
        <f t="shared" si="182"/>
        <v>0</v>
      </c>
      <c r="FG195" s="730">
        <f t="shared" si="183"/>
        <v>0.24299999999999999</v>
      </c>
    </row>
    <row r="196" spans="153:163" ht="15" customHeight="1" x14ac:dyDescent="0.2">
      <c r="EW196" s="729"/>
      <c r="EX196" s="687"/>
      <c r="EY196" s="687"/>
      <c r="EZ196" s="687"/>
      <c r="FA196" s="687"/>
      <c r="FB196" s="687">
        <v>36034308636</v>
      </c>
      <c r="FC196" s="730">
        <f t="shared" ref="FC196:FC223" si="219">+EX196/$FF$1*$FG$1</f>
        <v>0</v>
      </c>
      <c r="FD196" s="730">
        <f t="shared" ref="FD196:FD223" si="220">+EY196/$FF$1*$FG$1</f>
        <v>0</v>
      </c>
      <c r="FE196" s="730">
        <f t="shared" ref="FE196:FE223" si="221">+EZ196/$FF$1*$FG$1</f>
        <v>0</v>
      </c>
      <c r="FF196" s="730">
        <f t="shared" ref="FF196:FF223" si="222">+FA196/$FF$1*$FG$1</f>
        <v>0</v>
      </c>
      <c r="FG196" s="730">
        <f t="shared" ref="FG196:FG223" si="223">+FB196/$FF$1*$FG$1</f>
        <v>36034308.636</v>
      </c>
    </row>
    <row r="197" spans="153:163" ht="15" customHeight="1" x14ac:dyDescent="0.2">
      <c r="EW197" s="729"/>
      <c r="EX197" s="687"/>
      <c r="EY197" s="687"/>
      <c r="EZ197" s="687"/>
      <c r="FA197" s="687"/>
      <c r="FB197" s="687">
        <v>36034308636</v>
      </c>
      <c r="FC197" s="730">
        <f t="shared" si="219"/>
        <v>0</v>
      </c>
      <c r="FD197" s="730">
        <f t="shared" si="220"/>
        <v>0</v>
      </c>
      <c r="FE197" s="730">
        <f t="shared" si="221"/>
        <v>0</v>
      </c>
      <c r="FF197" s="730">
        <f t="shared" si="222"/>
        <v>0</v>
      </c>
      <c r="FG197" s="730">
        <f t="shared" si="223"/>
        <v>36034308.636</v>
      </c>
    </row>
    <row r="198" spans="153:163" ht="15" customHeight="1" x14ac:dyDescent="0.2">
      <c r="EW198" s="729"/>
      <c r="EX198" s="687"/>
      <c r="EY198" s="687"/>
      <c r="EZ198" s="687"/>
      <c r="FA198" s="687"/>
      <c r="FB198" s="687">
        <v>2244661956</v>
      </c>
      <c r="FC198" s="730">
        <f t="shared" si="219"/>
        <v>0</v>
      </c>
      <c r="FD198" s="730">
        <f t="shared" si="220"/>
        <v>0</v>
      </c>
      <c r="FE198" s="730">
        <f t="shared" si="221"/>
        <v>0</v>
      </c>
      <c r="FF198" s="730">
        <f t="shared" si="222"/>
        <v>0</v>
      </c>
      <c r="FG198" s="730">
        <f t="shared" si="223"/>
        <v>2244661.9559999998</v>
      </c>
    </row>
    <row r="199" spans="153:163" ht="15" customHeight="1" x14ac:dyDescent="0.2">
      <c r="EW199" s="729"/>
      <c r="EX199" s="687"/>
      <c r="EY199" s="687"/>
      <c r="EZ199" s="687"/>
      <c r="FA199" s="687"/>
      <c r="FB199" s="687">
        <v>1535245917</v>
      </c>
      <c r="FC199" s="730">
        <f t="shared" si="219"/>
        <v>0</v>
      </c>
      <c r="FD199" s="730">
        <f t="shared" si="220"/>
        <v>0</v>
      </c>
      <c r="FE199" s="730">
        <f t="shared" si="221"/>
        <v>0</v>
      </c>
      <c r="FF199" s="730">
        <f t="shared" si="222"/>
        <v>0</v>
      </c>
      <c r="FG199" s="730">
        <f t="shared" si="223"/>
        <v>1535245.9169999999</v>
      </c>
    </row>
    <row r="200" spans="153:163" ht="15" customHeight="1" x14ac:dyDescent="0.2">
      <c r="EW200" s="729"/>
      <c r="EX200" s="687"/>
      <c r="EY200" s="687"/>
      <c r="EZ200" s="687"/>
      <c r="FA200" s="687"/>
      <c r="FB200" s="687">
        <v>691179618</v>
      </c>
      <c r="FC200" s="730">
        <f t="shared" si="219"/>
        <v>0</v>
      </c>
      <c r="FD200" s="730">
        <f t="shared" si="220"/>
        <v>0</v>
      </c>
      <c r="FE200" s="730">
        <f t="shared" si="221"/>
        <v>0</v>
      </c>
      <c r="FF200" s="730">
        <f t="shared" si="222"/>
        <v>0</v>
      </c>
      <c r="FG200" s="730">
        <f t="shared" si="223"/>
        <v>691179.61800000002</v>
      </c>
    </row>
    <row r="201" spans="153:163" ht="15" customHeight="1" x14ac:dyDescent="0.2">
      <c r="EW201" s="729"/>
      <c r="EX201" s="687"/>
      <c r="EY201" s="687"/>
      <c r="EZ201" s="687"/>
      <c r="FA201" s="687"/>
      <c r="FB201" s="687">
        <v>735584</v>
      </c>
      <c r="FC201" s="730">
        <f t="shared" si="219"/>
        <v>0</v>
      </c>
      <c r="FD201" s="730">
        <f t="shared" si="220"/>
        <v>0</v>
      </c>
      <c r="FE201" s="730">
        <f t="shared" si="221"/>
        <v>0</v>
      </c>
      <c r="FF201" s="730">
        <f t="shared" si="222"/>
        <v>0</v>
      </c>
      <c r="FG201" s="730">
        <f t="shared" si="223"/>
        <v>735.58399999999995</v>
      </c>
    </row>
    <row r="202" spans="153:163" ht="15" customHeight="1" x14ac:dyDescent="0.2">
      <c r="EW202" s="729"/>
      <c r="EX202" s="687"/>
      <c r="EY202" s="687"/>
      <c r="EZ202" s="687"/>
      <c r="FA202" s="687"/>
      <c r="FB202" s="687">
        <v>17500837</v>
      </c>
      <c r="FC202" s="730">
        <f t="shared" si="219"/>
        <v>0</v>
      </c>
      <c r="FD202" s="730">
        <f t="shared" si="220"/>
        <v>0</v>
      </c>
      <c r="FE202" s="730">
        <f t="shared" si="221"/>
        <v>0</v>
      </c>
      <c r="FF202" s="730">
        <f t="shared" si="222"/>
        <v>0</v>
      </c>
      <c r="FG202" s="730">
        <f t="shared" si="223"/>
        <v>17500.837</v>
      </c>
    </row>
    <row r="203" spans="153:163" ht="15" customHeight="1" x14ac:dyDescent="0.2">
      <c r="EW203" s="729"/>
      <c r="EX203" s="687"/>
      <c r="EY203" s="687"/>
      <c r="EZ203" s="687"/>
      <c r="FA203" s="687"/>
      <c r="FB203" s="687">
        <v>25363322102</v>
      </c>
      <c r="FC203" s="730">
        <f t="shared" si="219"/>
        <v>0</v>
      </c>
      <c r="FD203" s="730">
        <f t="shared" si="220"/>
        <v>0</v>
      </c>
      <c r="FE203" s="730">
        <f t="shared" si="221"/>
        <v>0</v>
      </c>
      <c r="FF203" s="730">
        <f t="shared" si="222"/>
        <v>0</v>
      </c>
      <c r="FG203" s="730">
        <f t="shared" si="223"/>
        <v>25363322.102000002</v>
      </c>
    </row>
    <row r="204" spans="153:163" ht="15" customHeight="1" x14ac:dyDescent="0.2">
      <c r="EW204" s="729"/>
      <c r="EX204" s="687"/>
      <c r="EY204" s="687"/>
      <c r="EZ204" s="687"/>
      <c r="FA204" s="687"/>
      <c r="FB204" s="687">
        <v>2098293108</v>
      </c>
      <c r="FC204" s="730">
        <f t="shared" si="219"/>
        <v>0</v>
      </c>
      <c r="FD204" s="730">
        <f t="shared" si="220"/>
        <v>0</v>
      </c>
      <c r="FE204" s="730">
        <f t="shared" si="221"/>
        <v>0</v>
      </c>
      <c r="FF204" s="730">
        <f t="shared" si="222"/>
        <v>0</v>
      </c>
      <c r="FG204" s="730">
        <f t="shared" si="223"/>
        <v>2098293.108</v>
      </c>
    </row>
    <row r="205" spans="153:163" ht="15" customHeight="1" x14ac:dyDescent="0.2">
      <c r="EW205" s="729"/>
      <c r="EX205" s="687"/>
      <c r="EY205" s="687"/>
      <c r="EZ205" s="687"/>
      <c r="FA205" s="687"/>
      <c r="FB205" s="687">
        <v>180216862</v>
      </c>
      <c r="FC205" s="730">
        <f t="shared" si="219"/>
        <v>0</v>
      </c>
      <c r="FD205" s="730">
        <f t="shared" si="220"/>
        <v>0</v>
      </c>
      <c r="FE205" s="730">
        <f t="shared" si="221"/>
        <v>0</v>
      </c>
      <c r="FF205" s="730">
        <f t="shared" si="222"/>
        <v>0</v>
      </c>
      <c r="FG205" s="730">
        <f t="shared" si="223"/>
        <v>180216.86199999999</v>
      </c>
    </row>
    <row r="206" spans="153:163" ht="15" customHeight="1" x14ac:dyDescent="0.2">
      <c r="EW206" s="729"/>
      <c r="EX206" s="687"/>
      <c r="EY206" s="687"/>
      <c r="EZ206" s="687"/>
      <c r="FA206" s="687"/>
      <c r="FB206" s="687">
        <v>692885577</v>
      </c>
      <c r="FC206" s="730">
        <f t="shared" si="219"/>
        <v>0</v>
      </c>
      <c r="FD206" s="730">
        <f t="shared" si="220"/>
        <v>0</v>
      </c>
      <c r="FE206" s="730">
        <f t="shared" si="221"/>
        <v>0</v>
      </c>
      <c r="FF206" s="730">
        <f t="shared" si="222"/>
        <v>0</v>
      </c>
      <c r="FG206" s="730">
        <f t="shared" si="223"/>
        <v>692885.57700000005</v>
      </c>
    </row>
    <row r="207" spans="153:163" ht="15" customHeight="1" x14ac:dyDescent="0.2">
      <c r="EW207" s="729"/>
      <c r="EX207" s="687"/>
      <c r="EY207" s="687"/>
      <c r="EZ207" s="687"/>
      <c r="FA207" s="687"/>
      <c r="FB207" s="687">
        <v>2163814583</v>
      </c>
      <c r="FC207" s="730">
        <f t="shared" si="219"/>
        <v>0</v>
      </c>
      <c r="FD207" s="730">
        <f t="shared" si="220"/>
        <v>0</v>
      </c>
      <c r="FE207" s="730">
        <f t="shared" si="221"/>
        <v>0</v>
      </c>
      <c r="FF207" s="730">
        <f t="shared" si="222"/>
        <v>0</v>
      </c>
      <c r="FG207" s="730">
        <f t="shared" si="223"/>
        <v>2163814.5830000001</v>
      </c>
    </row>
    <row r="208" spans="153:163" ht="15" customHeight="1" x14ac:dyDescent="0.2">
      <c r="EW208" s="729"/>
      <c r="EX208" s="687"/>
      <c r="EY208" s="687"/>
      <c r="EZ208" s="687"/>
      <c r="FA208" s="687"/>
      <c r="FB208" s="687">
        <v>2398297068</v>
      </c>
      <c r="FC208" s="730">
        <f t="shared" si="219"/>
        <v>0</v>
      </c>
      <c r="FD208" s="730">
        <f t="shared" si="220"/>
        <v>0</v>
      </c>
      <c r="FE208" s="730">
        <f t="shared" si="221"/>
        <v>0</v>
      </c>
      <c r="FF208" s="730">
        <f t="shared" si="222"/>
        <v>0</v>
      </c>
      <c r="FG208" s="730">
        <f t="shared" si="223"/>
        <v>2398297.068</v>
      </c>
    </row>
    <row r="209" spans="153:163" ht="15" customHeight="1" x14ac:dyDescent="0.2">
      <c r="EW209" s="729"/>
      <c r="EX209" s="687"/>
      <c r="EY209" s="687"/>
      <c r="EZ209" s="687"/>
      <c r="FA209" s="687"/>
      <c r="FB209" s="687">
        <v>17829814904</v>
      </c>
      <c r="FC209" s="730">
        <f t="shared" si="219"/>
        <v>0</v>
      </c>
      <c r="FD209" s="730">
        <f t="shared" si="220"/>
        <v>0</v>
      </c>
      <c r="FE209" s="730">
        <f t="shared" si="221"/>
        <v>0</v>
      </c>
      <c r="FF209" s="730">
        <f t="shared" si="222"/>
        <v>0</v>
      </c>
      <c r="FG209" s="730">
        <f t="shared" si="223"/>
        <v>17829814.903999999</v>
      </c>
    </row>
    <row r="210" spans="153:163" ht="15" customHeight="1" x14ac:dyDescent="0.2">
      <c r="EW210" s="729"/>
      <c r="EX210" s="687"/>
      <c r="EY210" s="687"/>
      <c r="EZ210" s="687"/>
      <c r="FA210" s="687"/>
      <c r="FB210" s="687">
        <v>3760735843</v>
      </c>
      <c r="FC210" s="730">
        <f t="shared" si="219"/>
        <v>0</v>
      </c>
      <c r="FD210" s="730">
        <f t="shared" si="220"/>
        <v>0</v>
      </c>
      <c r="FE210" s="730">
        <f t="shared" si="221"/>
        <v>0</v>
      </c>
      <c r="FF210" s="730">
        <f t="shared" si="222"/>
        <v>0</v>
      </c>
      <c r="FG210" s="730">
        <f t="shared" si="223"/>
        <v>3760735.8429999999</v>
      </c>
    </row>
    <row r="211" spans="153:163" ht="15" customHeight="1" x14ac:dyDescent="0.2">
      <c r="EW211" s="729"/>
      <c r="EX211" s="687"/>
      <c r="EY211" s="687"/>
      <c r="EZ211" s="687"/>
      <c r="FA211" s="687"/>
      <c r="FB211" s="687">
        <v>0</v>
      </c>
      <c r="FC211" s="730">
        <f t="shared" si="219"/>
        <v>0</v>
      </c>
      <c r="FD211" s="730">
        <f t="shared" si="220"/>
        <v>0</v>
      </c>
      <c r="FE211" s="730">
        <f t="shared" si="221"/>
        <v>0</v>
      </c>
      <c r="FF211" s="730">
        <f t="shared" si="222"/>
        <v>0</v>
      </c>
      <c r="FG211" s="730">
        <f t="shared" si="223"/>
        <v>0</v>
      </c>
    </row>
    <row r="212" spans="153:163" ht="15" customHeight="1" x14ac:dyDescent="0.2">
      <c r="EW212" s="729"/>
      <c r="EX212" s="687"/>
      <c r="EY212" s="687"/>
      <c r="EZ212" s="687"/>
      <c r="FA212" s="687"/>
      <c r="FB212" s="687">
        <v>2320400378</v>
      </c>
      <c r="FC212" s="730">
        <f t="shared" si="219"/>
        <v>0</v>
      </c>
      <c r="FD212" s="730">
        <f t="shared" si="220"/>
        <v>0</v>
      </c>
      <c r="FE212" s="730">
        <f t="shared" si="221"/>
        <v>0</v>
      </c>
      <c r="FF212" s="730">
        <f t="shared" si="222"/>
        <v>0</v>
      </c>
      <c r="FG212" s="730">
        <f t="shared" si="223"/>
        <v>2320400.378</v>
      </c>
    </row>
    <row r="213" spans="153:163" ht="15" customHeight="1" x14ac:dyDescent="0.2">
      <c r="EW213" s="729"/>
      <c r="EX213" s="687"/>
      <c r="EY213" s="687"/>
      <c r="EZ213" s="687"/>
      <c r="FA213" s="687"/>
      <c r="FB213" s="687">
        <v>2345188357</v>
      </c>
      <c r="FC213" s="730">
        <f t="shared" si="219"/>
        <v>0</v>
      </c>
      <c r="FD213" s="730">
        <f t="shared" si="220"/>
        <v>0</v>
      </c>
      <c r="FE213" s="730">
        <f t="shared" si="221"/>
        <v>0</v>
      </c>
      <c r="FF213" s="730">
        <f t="shared" si="222"/>
        <v>0</v>
      </c>
      <c r="FG213" s="730">
        <f t="shared" si="223"/>
        <v>2345188.3569999998</v>
      </c>
    </row>
    <row r="214" spans="153:163" ht="15" customHeight="1" x14ac:dyDescent="0.2">
      <c r="EW214" s="729"/>
      <c r="EX214" s="687"/>
      <c r="EY214" s="687"/>
      <c r="EZ214" s="687"/>
      <c r="FA214" s="687"/>
      <c r="FB214" s="687">
        <v>497</v>
      </c>
      <c r="FC214" s="730">
        <f t="shared" si="219"/>
        <v>0</v>
      </c>
      <c r="FD214" s="730">
        <f t="shared" si="220"/>
        <v>0</v>
      </c>
      <c r="FE214" s="730">
        <f t="shared" si="221"/>
        <v>0</v>
      </c>
      <c r="FF214" s="730">
        <f t="shared" si="222"/>
        <v>0</v>
      </c>
      <c r="FG214" s="730">
        <f t="shared" si="223"/>
        <v>0.497</v>
      </c>
    </row>
    <row r="215" spans="153:163" ht="15" customHeight="1" x14ac:dyDescent="0.2">
      <c r="EW215" s="729"/>
      <c r="EX215" s="687"/>
      <c r="EY215" s="687"/>
      <c r="EZ215" s="687"/>
      <c r="FA215" s="687"/>
      <c r="FB215" s="687">
        <v>497</v>
      </c>
      <c r="FC215" s="730">
        <f t="shared" si="219"/>
        <v>0</v>
      </c>
      <c r="FD215" s="730">
        <f t="shared" si="220"/>
        <v>0</v>
      </c>
      <c r="FE215" s="730">
        <f t="shared" si="221"/>
        <v>0</v>
      </c>
      <c r="FF215" s="730">
        <f t="shared" si="222"/>
        <v>0</v>
      </c>
      <c r="FG215" s="730">
        <f t="shared" si="223"/>
        <v>0.497</v>
      </c>
    </row>
    <row r="216" spans="153:163" ht="15" customHeight="1" x14ac:dyDescent="0.2">
      <c r="EW216" s="729"/>
      <c r="EX216" s="687"/>
      <c r="EY216" s="687"/>
      <c r="EZ216" s="687"/>
      <c r="FA216" s="687"/>
      <c r="FB216" s="687">
        <v>-2334420900</v>
      </c>
      <c r="FC216" s="730">
        <f t="shared" si="219"/>
        <v>0</v>
      </c>
      <c r="FD216" s="730">
        <f t="shared" si="220"/>
        <v>0</v>
      </c>
      <c r="FE216" s="730">
        <f t="shared" si="221"/>
        <v>0</v>
      </c>
      <c r="FF216" s="730">
        <f t="shared" si="222"/>
        <v>0</v>
      </c>
      <c r="FG216" s="730">
        <f t="shared" si="223"/>
        <v>-2334420.9</v>
      </c>
    </row>
    <row r="217" spans="153:163" ht="15" customHeight="1" x14ac:dyDescent="0.2">
      <c r="EW217" s="729"/>
      <c r="EX217" s="687"/>
      <c r="EY217" s="687"/>
      <c r="EZ217" s="687"/>
      <c r="FA217" s="687"/>
      <c r="FB217" s="687">
        <v>-2334420900</v>
      </c>
      <c r="FC217" s="730">
        <f t="shared" si="219"/>
        <v>0</v>
      </c>
      <c r="FD217" s="730">
        <f t="shared" si="220"/>
        <v>0</v>
      </c>
      <c r="FE217" s="730">
        <f t="shared" si="221"/>
        <v>0</v>
      </c>
      <c r="FF217" s="730">
        <f t="shared" si="222"/>
        <v>0</v>
      </c>
      <c r="FG217" s="730">
        <f t="shared" si="223"/>
        <v>-2334420.9</v>
      </c>
    </row>
    <row r="218" spans="153:163" ht="15" customHeight="1" x14ac:dyDescent="0.2">
      <c r="EW218" s="729"/>
      <c r="EX218" s="687"/>
      <c r="EY218" s="687"/>
      <c r="EZ218" s="687"/>
      <c r="FA218" s="687"/>
      <c r="FB218" s="687">
        <v>-2334420900</v>
      </c>
      <c r="FC218" s="730">
        <f t="shared" si="219"/>
        <v>0</v>
      </c>
      <c r="FD218" s="730">
        <f t="shared" si="220"/>
        <v>0</v>
      </c>
      <c r="FE218" s="730">
        <f t="shared" si="221"/>
        <v>0</v>
      </c>
      <c r="FF218" s="730">
        <f t="shared" si="222"/>
        <v>0</v>
      </c>
      <c r="FG218" s="730">
        <f t="shared" si="223"/>
        <v>-2334420.9</v>
      </c>
    </row>
    <row r="219" spans="153:163" ht="15" customHeight="1" x14ac:dyDescent="0.2">
      <c r="EW219" s="729"/>
      <c r="EX219" s="687"/>
      <c r="EY219" s="687"/>
      <c r="EZ219" s="687"/>
      <c r="FA219" s="687"/>
      <c r="FB219" s="687">
        <v>10267152000</v>
      </c>
      <c r="FC219" s="730">
        <f t="shared" si="219"/>
        <v>0</v>
      </c>
      <c r="FD219" s="730">
        <f t="shared" si="220"/>
        <v>0</v>
      </c>
      <c r="FE219" s="730">
        <f t="shared" si="221"/>
        <v>0</v>
      </c>
      <c r="FF219" s="730">
        <f t="shared" si="222"/>
        <v>0</v>
      </c>
      <c r="FG219" s="730">
        <f t="shared" si="223"/>
        <v>10267152</v>
      </c>
    </row>
    <row r="220" spans="153:163" ht="15" customHeight="1" x14ac:dyDescent="0.2">
      <c r="EW220" s="729"/>
      <c r="EX220" s="687"/>
      <c r="EY220" s="687"/>
      <c r="EZ220" s="687"/>
      <c r="FA220" s="687"/>
      <c r="FB220" s="687">
        <v>10267152000</v>
      </c>
      <c r="FC220" s="730">
        <f t="shared" si="219"/>
        <v>0</v>
      </c>
      <c r="FD220" s="730">
        <f t="shared" si="220"/>
        <v>0</v>
      </c>
      <c r="FE220" s="730">
        <f t="shared" si="221"/>
        <v>0</v>
      </c>
      <c r="FF220" s="730">
        <f t="shared" si="222"/>
        <v>0</v>
      </c>
      <c r="FG220" s="730">
        <f t="shared" si="223"/>
        <v>10267152</v>
      </c>
    </row>
    <row r="221" spans="153:163" ht="15" customHeight="1" x14ac:dyDescent="0.2">
      <c r="EW221" s="729"/>
      <c r="EX221" s="687"/>
      <c r="EY221" s="687"/>
      <c r="EZ221" s="687"/>
      <c r="FA221" s="687"/>
      <c r="FB221" s="687">
        <v>10267152000</v>
      </c>
      <c r="FC221" s="730">
        <f t="shared" si="219"/>
        <v>0</v>
      </c>
      <c r="FD221" s="730">
        <f t="shared" si="220"/>
        <v>0</v>
      </c>
      <c r="FE221" s="730">
        <f t="shared" si="221"/>
        <v>0</v>
      </c>
      <c r="FF221" s="730">
        <f t="shared" si="222"/>
        <v>0</v>
      </c>
      <c r="FG221" s="730">
        <f t="shared" si="223"/>
        <v>10267152</v>
      </c>
    </row>
    <row r="222" spans="153:163" ht="15" customHeight="1" x14ac:dyDescent="0.2">
      <c r="EW222" s="729"/>
      <c r="EX222" s="687"/>
      <c r="EY222" s="687"/>
      <c r="EZ222" s="687"/>
      <c r="FA222" s="687"/>
      <c r="FB222" s="687">
        <v>100</v>
      </c>
      <c r="FC222" s="730">
        <f t="shared" si="219"/>
        <v>0</v>
      </c>
      <c r="FD222" s="730">
        <f t="shared" si="220"/>
        <v>0</v>
      </c>
      <c r="FE222" s="730">
        <f t="shared" si="221"/>
        <v>0</v>
      </c>
      <c r="FF222" s="730">
        <f t="shared" si="222"/>
        <v>0</v>
      </c>
      <c r="FG222" s="730">
        <f t="shared" si="223"/>
        <v>0.1</v>
      </c>
    </row>
    <row r="223" spans="153:163" ht="15" customHeight="1" x14ac:dyDescent="0.2">
      <c r="EW223" s="729"/>
      <c r="EX223" s="687"/>
      <c r="EY223" s="687"/>
      <c r="EZ223" s="687"/>
      <c r="FA223" s="687"/>
      <c r="FB223" s="687">
        <v>100</v>
      </c>
      <c r="FC223" s="730">
        <f t="shared" si="219"/>
        <v>0</v>
      </c>
      <c r="FD223" s="730">
        <f t="shared" si="220"/>
        <v>0</v>
      </c>
      <c r="FE223" s="730">
        <f t="shared" si="221"/>
        <v>0</v>
      </c>
      <c r="FF223" s="730">
        <f t="shared" si="222"/>
        <v>0</v>
      </c>
      <c r="FG223" s="730">
        <f t="shared" si="223"/>
        <v>0.1</v>
      </c>
    </row>
    <row r="226" spans="159:159" ht="15" customHeight="1" x14ac:dyDescent="0.2">
      <c r="FC226" s="731"/>
    </row>
  </sheetData>
  <autoFilter ref="A2:FT149" xr:uid="{00000000-0001-0000-0300-000000000000}"/>
  <mergeCells count="14">
    <mergeCell ref="A1:G1"/>
    <mergeCell ref="S1:Y1"/>
    <mergeCell ref="AG1:AM1"/>
    <mergeCell ref="AV1:BB1"/>
    <mergeCell ref="FN1:FQ1"/>
    <mergeCell ref="ER1:ES1"/>
    <mergeCell ref="EW1:FE1"/>
    <mergeCell ref="DT1:DZ1"/>
    <mergeCell ref="BK1:BQ1"/>
    <mergeCell ref="CZ1:DA1"/>
    <mergeCell ref="DE1:DI1"/>
    <mergeCell ref="CK1:CL1"/>
    <mergeCell ref="CP1:CS1"/>
    <mergeCell ref="BZ1:CF1"/>
  </mergeCells>
  <pageMargins left="0.7" right="0.7" top="0.75" bottom="0.75" header="0.3" footer="0.3"/>
  <pageSetup paperSize="9" orientation="portrait" horizontalDpi="0" verticalDpi="0" r:id="rId1"/>
  <ignoredErrors>
    <ignoredError sqref="A3:A149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50"/>
    <pageSetUpPr fitToPage="1"/>
  </sheetPr>
  <dimension ref="A1:CF1273"/>
  <sheetViews>
    <sheetView showGridLines="0" zoomScale="70" zoomScaleNormal="70" workbookViewId="0">
      <pane xSplit="1" ySplit="9" topLeftCell="C10" activePane="bottomRight" state="frozen"/>
      <selection activeCell="H72" sqref="H72"/>
      <selection pane="topRight" activeCell="H72" sqref="H72"/>
      <selection pane="bottomLeft" activeCell="H72" sqref="H72"/>
      <selection pane="bottomRight" activeCell="L9" sqref="L9"/>
    </sheetView>
  </sheetViews>
  <sheetFormatPr baseColWidth="10" defaultColWidth="11.42578125" defaultRowHeight="18" x14ac:dyDescent="0.25"/>
  <cols>
    <col min="1" max="1" width="9.5703125" style="84" customWidth="1"/>
    <col min="2" max="2" width="29.28515625" style="1191" hidden="1" customWidth="1"/>
    <col min="3" max="3" width="8.28515625" style="223" customWidth="1"/>
    <col min="4" max="4" width="8.28515625" style="392" customWidth="1"/>
    <col min="5" max="5" width="7.7109375" style="239" customWidth="1"/>
    <col min="6" max="6" width="6.42578125" style="239" hidden="1" customWidth="1"/>
    <col min="7" max="7" width="0.7109375" style="239" hidden="1" customWidth="1"/>
    <col min="8" max="8" width="47.7109375" style="1157" customWidth="1"/>
    <col min="9" max="9" width="24" style="334" customWidth="1"/>
    <col min="10" max="11" width="24" style="336" customWidth="1"/>
    <col min="12" max="12" width="24" style="338" customWidth="1"/>
    <col min="13" max="13" width="24" style="336" customWidth="1"/>
    <col min="14" max="14" width="24" style="1070" customWidth="1"/>
    <col min="15" max="15" width="24" style="336" customWidth="1"/>
    <col min="16" max="16" width="24" style="338" customWidth="1"/>
    <col min="17" max="17" width="24" style="339" customWidth="1"/>
    <col min="18" max="18" width="24" style="334" customWidth="1"/>
    <col min="19" max="19" width="24" style="338" customWidth="1"/>
    <col min="20" max="20" width="24.5703125" style="337" hidden="1" customWidth="1"/>
    <col min="21" max="22" width="23.7109375" style="338" hidden="1" customWidth="1"/>
    <col min="23" max="24" width="24" style="339" hidden="1" customWidth="1"/>
    <col min="25" max="28" width="26.7109375" style="334" hidden="1" customWidth="1"/>
    <col min="29" max="39" width="26.7109375" style="340" hidden="1" customWidth="1"/>
    <col min="40" max="40" width="25.7109375" style="1144" customWidth="1"/>
    <col min="41" max="44" width="15.7109375" style="1144" customWidth="1"/>
    <col min="45" max="47" width="9.28515625" style="1144" customWidth="1"/>
    <col min="48" max="48" width="9.28515625" style="1145" customWidth="1"/>
    <col min="49" max="49" width="10.140625" style="1151" customWidth="1"/>
    <col min="50" max="50" width="31" style="1187" customWidth="1"/>
    <col min="51" max="54" width="18.28515625" style="1167" customWidth="1"/>
    <col min="55" max="56" width="22.7109375" style="1167" customWidth="1"/>
    <col min="57" max="61" width="13" style="1168" customWidth="1"/>
    <col min="62" max="62" width="13" style="594" customWidth="1"/>
    <col min="63" max="63" width="13.7109375" style="158" customWidth="1"/>
    <col min="64" max="66" width="13.7109375" style="185" customWidth="1"/>
    <col min="67" max="67" width="9.85546875" style="185" customWidth="1"/>
    <col min="68" max="68" width="13.7109375" style="185" customWidth="1"/>
    <col min="69" max="69" width="13.7109375" style="158" customWidth="1"/>
    <col min="70" max="72" width="13.7109375" style="185" customWidth="1"/>
    <col min="73" max="73" width="9.85546875" style="185" customWidth="1"/>
    <col min="74" max="74" width="33.85546875" style="594" customWidth="1"/>
    <col min="75" max="78" width="17.28515625" style="185" customWidth="1"/>
    <col min="79" max="79" width="33.85546875" style="185" customWidth="1"/>
    <col min="80" max="80" width="23.42578125" style="151" customWidth="1"/>
    <col min="81" max="81" width="17.7109375" style="85" customWidth="1"/>
    <col min="82" max="84" width="17.28515625" style="85" customWidth="1"/>
    <col min="85" max="16384" width="11.42578125" style="85"/>
  </cols>
  <sheetData>
    <row r="1" spans="1:84" s="821" customFormat="1" ht="19.899999999999999" customHeight="1" x14ac:dyDescent="0.25">
      <c r="A1" s="813"/>
      <c r="B1" s="1190"/>
      <c r="C1" s="814"/>
      <c r="D1" s="815"/>
      <c r="E1" s="815"/>
      <c r="F1" s="815"/>
      <c r="G1" s="815"/>
      <c r="H1" s="1153"/>
      <c r="I1" s="815"/>
      <c r="J1" s="816"/>
      <c r="K1" s="816"/>
      <c r="L1" s="817"/>
      <c r="M1" s="816"/>
      <c r="N1" s="1067"/>
      <c r="O1" s="816"/>
      <c r="P1" s="817"/>
      <c r="Q1" s="942"/>
      <c r="R1" s="942"/>
      <c r="S1" s="943"/>
      <c r="T1" s="818"/>
      <c r="U1" s="819"/>
      <c r="V1" s="819"/>
      <c r="W1" s="815"/>
      <c r="X1" s="815"/>
      <c r="Y1" s="815"/>
      <c r="Z1" s="815"/>
      <c r="AA1" s="815"/>
      <c r="AB1" s="815"/>
      <c r="AC1" s="815"/>
      <c r="AD1" s="815"/>
      <c r="AE1" s="815"/>
      <c r="AF1" s="815"/>
      <c r="AG1" s="815"/>
      <c r="AH1" s="815"/>
      <c r="AI1" s="815"/>
      <c r="AJ1" s="815"/>
      <c r="AK1" s="815"/>
      <c r="AL1" s="815"/>
      <c r="AM1" s="820"/>
      <c r="AO1" s="1141"/>
      <c r="AP1" s="1141"/>
      <c r="AQ1" s="1141"/>
      <c r="AR1" s="1141"/>
      <c r="AS1" s="1141"/>
      <c r="AT1" s="1141"/>
      <c r="AU1" s="1141"/>
      <c r="AV1" s="1142"/>
      <c r="AW1" s="1150"/>
      <c r="AX1" s="1160"/>
      <c r="AY1" s="1164"/>
      <c r="AZ1" s="1162"/>
      <c r="BA1" s="1162"/>
      <c r="BB1" s="1162"/>
      <c r="BC1" s="1162"/>
      <c r="BD1" s="1162"/>
      <c r="BE1" s="1163"/>
      <c r="BF1" s="1163"/>
      <c r="BG1" s="1163"/>
      <c r="BH1" s="1163"/>
      <c r="BI1" s="1163"/>
      <c r="BJ1" s="556"/>
      <c r="BK1" s="158"/>
      <c r="BL1" s="185"/>
      <c r="BM1" s="185"/>
      <c r="BN1" s="185"/>
      <c r="BO1" s="185"/>
      <c r="BP1" s="185"/>
      <c r="BQ1" s="158"/>
      <c r="BR1" s="185"/>
      <c r="BS1" s="185"/>
      <c r="BT1" s="185"/>
      <c r="BU1" s="185"/>
      <c r="BV1" s="594"/>
      <c r="BW1" s="185"/>
      <c r="BX1" s="185"/>
      <c r="BY1" s="185"/>
      <c r="BZ1" s="185"/>
      <c r="CA1" s="185"/>
    </row>
    <row r="2" spans="1:84" s="169" customFormat="1" ht="27" customHeight="1" x14ac:dyDescent="0.25">
      <c r="A2" s="84"/>
      <c r="B2" s="1191"/>
      <c r="C2" s="1235" t="s">
        <v>897</v>
      </c>
      <c r="D2" s="1235"/>
      <c r="E2" s="1235"/>
      <c r="F2" s="1235"/>
      <c r="G2" s="1235"/>
      <c r="H2" s="1235"/>
      <c r="I2" s="1235"/>
      <c r="J2" s="1235"/>
      <c r="K2" s="1235"/>
      <c r="L2" s="1235"/>
      <c r="M2" s="1235"/>
      <c r="N2" s="1235"/>
      <c r="O2" s="1235"/>
      <c r="P2" s="1235"/>
      <c r="Q2" s="1235"/>
      <c r="R2" s="1235"/>
      <c r="S2" s="1235"/>
      <c r="T2" s="1235"/>
      <c r="U2" s="1235"/>
      <c r="V2" s="1235"/>
      <c r="W2" s="1235"/>
      <c r="X2" s="1235"/>
      <c r="Y2" s="1235"/>
      <c r="Z2" s="1235"/>
      <c r="AA2" s="1235"/>
      <c r="AB2" s="1235"/>
      <c r="AC2" s="1235"/>
      <c r="AD2" s="1235"/>
      <c r="AE2" s="1235"/>
      <c r="AF2" s="1235"/>
      <c r="AG2" s="1235"/>
      <c r="AH2" s="1235"/>
      <c r="AI2" s="1235"/>
      <c r="AJ2" s="436"/>
      <c r="AK2" s="436"/>
      <c r="AL2" s="436"/>
      <c r="AM2" s="436"/>
      <c r="AN2" s="1143"/>
      <c r="AO2" s="1143"/>
      <c r="AP2" s="1143"/>
      <c r="AQ2" s="1143"/>
      <c r="AR2" s="1143"/>
      <c r="AS2" s="1143"/>
      <c r="AT2" s="1143"/>
      <c r="AU2" s="1143"/>
      <c r="AV2" s="1142"/>
      <c r="AW2" s="1150"/>
      <c r="AX2" s="1186"/>
      <c r="AY2" s="1164"/>
      <c r="AZ2" s="1164"/>
      <c r="BA2" s="1164"/>
      <c r="BB2" s="1164"/>
      <c r="BC2" s="1164"/>
      <c r="BD2" s="1164"/>
      <c r="BE2" s="1165"/>
      <c r="BF2" s="1165"/>
      <c r="BG2" s="1165"/>
      <c r="BH2" s="1165"/>
      <c r="BI2" s="1165"/>
      <c r="BJ2" s="598"/>
      <c r="BK2" s="1061"/>
      <c r="BL2" s="556"/>
      <c r="BM2" s="556"/>
      <c r="BN2" s="556"/>
      <c r="BO2" s="556"/>
      <c r="BP2" s="556"/>
      <c r="BQ2" s="1061"/>
      <c r="BR2" s="556"/>
      <c r="BS2" s="556"/>
      <c r="BT2" s="556"/>
      <c r="BU2" s="556"/>
      <c r="BV2" s="598"/>
      <c r="BW2" s="556"/>
      <c r="BX2" s="556"/>
      <c r="BY2" s="556"/>
      <c r="BZ2" s="556"/>
      <c r="CA2" s="556"/>
      <c r="CB2" s="496"/>
    </row>
    <row r="3" spans="1:84" s="596" customFormat="1" ht="27" hidden="1" customHeight="1" x14ac:dyDescent="0.25">
      <c r="A3" s="84"/>
      <c r="B3" s="1191"/>
      <c r="C3" s="1125"/>
      <c r="D3" s="1126"/>
      <c r="E3" s="1127"/>
      <c r="F3" s="1127"/>
      <c r="G3" s="1128"/>
      <c r="H3" s="1154"/>
      <c r="I3" s="1129"/>
      <c r="J3" s="1130"/>
      <c r="K3" s="1130"/>
      <c r="L3" s="1131"/>
      <c r="M3" s="1130"/>
      <c r="N3" s="1132"/>
      <c r="O3" s="1130"/>
      <c r="P3" s="1131"/>
      <c r="Q3" s="1133"/>
      <c r="R3" s="1129"/>
      <c r="S3" s="1131"/>
      <c r="T3" s="1134" t="s">
        <v>264</v>
      </c>
      <c r="U3" s="1134" t="s">
        <v>126</v>
      </c>
      <c r="V3" s="1134" t="s">
        <v>264</v>
      </c>
      <c r="W3" s="1134" t="s">
        <v>126</v>
      </c>
      <c r="X3" s="1134" t="s">
        <v>264</v>
      </c>
      <c r="Y3" s="1134" t="s">
        <v>126</v>
      </c>
      <c r="Z3" s="1134" t="s">
        <v>264</v>
      </c>
      <c r="AA3" s="1134" t="s">
        <v>126</v>
      </c>
      <c r="AB3" s="1134" t="s">
        <v>264</v>
      </c>
      <c r="AC3" s="1134" t="s">
        <v>126</v>
      </c>
      <c r="AD3" s="1134" t="s">
        <v>264</v>
      </c>
      <c r="AE3" s="1134" t="s">
        <v>126</v>
      </c>
      <c r="AF3" s="1134" t="s">
        <v>264</v>
      </c>
      <c r="AG3" s="1134" t="s">
        <v>126</v>
      </c>
      <c r="AH3" s="1134" t="s">
        <v>264</v>
      </c>
      <c r="AI3" s="1134" t="s">
        <v>126</v>
      </c>
      <c r="AJ3" s="1131"/>
      <c r="AK3" s="1131"/>
      <c r="AL3" s="1131"/>
      <c r="AM3" s="1131"/>
      <c r="AN3" s="1180"/>
      <c r="AO3" s="1180"/>
      <c r="AP3" s="1180"/>
      <c r="AQ3" s="1180"/>
      <c r="AR3" s="1180"/>
      <c r="AS3" s="1180"/>
      <c r="AT3" s="1180"/>
      <c r="AU3" s="1180"/>
      <c r="AV3" s="1179"/>
      <c r="AW3" s="1161"/>
      <c r="AX3" s="1177"/>
      <c r="AY3" s="1164"/>
      <c r="AZ3" s="1164"/>
      <c r="BA3" s="1164"/>
      <c r="BB3" s="1164"/>
      <c r="BC3" s="1164"/>
      <c r="BD3" s="1164"/>
      <c r="BE3" s="1165"/>
      <c r="BF3" s="1165"/>
      <c r="BG3" s="1165"/>
      <c r="BH3" s="1165"/>
      <c r="BI3" s="1165"/>
      <c r="BJ3" s="598"/>
      <c r="BK3" s="1061"/>
      <c r="BL3" s="556"/>
      <c r="BM3" s="556"/>
      <c r="BN3" s="556"/>
      <c r="BO3" s="556"/>
      <c r="BP3" s="556"/>
      <c r="BQ3" s="1061"/>
      <c r="BR3" s="556"/>
      <c r="BS3" s="556"/>
      <c r="BT3" s="556"/>
      <c r="BU3" s="556"/>
      <c r="BV3" s="598"/>
      <c r="BW3" s="556"/>
      <c r="BX3" s="556"/>
      <c r="BY3" s="556"/>
      <c r="BZ3" s="556"/>
      <c r="CA3" s="556"/>
      <c r="CB3" s="495"/>
    </row>
    <row r="4" spans="1:84" s="596" customFormat="1" ht="27" hidden="1" customHeight="1" x14ac:dyDescent="0.25">
      <c r="A4" s="84"/>
      <c r="B4" s="1191"/>
      <c r="C4" s="1125"/>
      <c r="D4" s="1126"/>
      <c r="E4" s="1127"/>
      <c r="F4" s="1127"/>
      <c r="G4" s="1128"/>
      <c r="H4" s="1154"/>
      <c r="I4" s="1129"/>
      <c r="J4" s="1130"/>
      <c r="K4" s="1130"/>
      <c r="L4" s="1131"/>
      <c r="M4" s="1130"/>
      <c r="N4" s="1132"/>
      <c r="O4" s="1130"/>
      <c r="P4" s="1131"/>
      <c r="Q4" s="1133"/>
      <c r="R4" s="1129"/>
      <c r="S4" s="1131"/>
      <c r="T4" s="1135"/>
      <c r="U4" s="1131"/>
      <c r="V4" s="1131"/>
      <c r="W4" s="1133"/>
      <c r="X4" s="1133"/>
      <c r="Y4" s="1136"/>
      <c r="Z4" s="1136"/>
      <c r="AA4" s="1136"/>
      <c r="AB4" s="1136"/>
      <c r="AC4" s="1137"/>
      <c r="AD4" s="1131"/>
      <c r="AE4" s="1131"/>
      <c r="AF4" s="1131"/>
      <c r="AG4" s="1137"/>
      <c r="AH4" s="1137"/>
      <c r="AI4" s="1137"/>
      <c r="AJ4" s="1137"/>
      <c r="AK4" s="1137"/>
      <c r="AL4" s="1137"/>
      <c r="AM4" s="1137"/>
      <c r="AN4" s="1180"/>
      <c r="AO4" s="1180"/>
      <c r="AP4" s="1180"/>
      <c r="AQ4" s="1180"/>
      <c r="AR4" s="1180"/>
      <c r="AS4" s="1180"/>
      <c r="AT4" s="1180"/>
      <c r="AU4" s="1180"/>
      <c r="AV4" s="1179"/>
      <c r="AW4" s="1161"/>
      <c r="AX4" s="1177"/>
      <c r="AY4" s="1164"/>
      <c r="AZ4" s="1164"/>
      <c r="BA4" s="1164"/>
      <c r="BB4" s="1164"/>
      <c r="BC4" s="1164"/>
      <c r="BD4" s="1164"/>
      <c r="BE4" s="1165"/>
      <c r="BF4" s="1165"/>
      <c r="BG4" s="1165"/>
      <c r="BH4" s="1165"/>
      <c r="BI4" s="1165"/>
      <c r="BJ4" s="598"/>
      <c r="BK4" s="1061"/>
      <c r="BL4" s="556"/>
      <c r="BM4" s="556"/>
      <c r="BN4" s="556"/>
      <c r="BO4" s="556"/>
      <c r="BP4" s="556"/>
      <c r="BQ4" s="1061"/>
      <c r="BR4" s="556"/>
      <c r="BS4" s="556"/>
      <c r="BT4" s="556"/>
      <c r="BU4" s="556"/>
      <c r="BV4" s="598"/>
      <c r="BW4" s="556"/>
      <c r="BX4" s="556"/>
      <c r="BY4" s="556"/>
      <c r="BZ4" s="556"/>
      <c r="CA4" s="556"/>
      <c r="CB4" s="495"/>
    </row>
    <row r="5" spans="1:84" s="169" customFormat="1" ht="27" customHeight="1" x14ac:dyDescent="0.25">
      <c r="A5" s="84"/>
      <c r="B5" s="1191"/>
      <c r="C5" s="1235" t="s">
        <v>896</v>
      </c>
      <c r="D5" s="1235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  <c r="P5" s="1235"/>
      <c r="Q5" s="1235"/>
      <c r="R5" s="1235"/>
      <c r="S5" s="1235"/>
      <c r="T5" s="1235"/>
      <c r="U5" s="1235"/>
      <c r="V5" s="1235"/>
      <c r="W5" s="1235"/>
      <c r="X5" s="1235"/>
      <c r="Y5" s="1235"/>
      <c r="Z5" s="1235"/>
      <c r="AA5" s="1235"/>
      <c r="AB5" s="1235"/>
      <c r="AC5" s="1235"/>
      <c r="AD5" s="1235"/>
      <c r="AE5" s="1235"/>
      <c r="AF5" s="1235"/>
      <c r="AG5" s="1235"/>
      <c r="AH5" s="1235"/>
      <c r="AI5" s="1235"/>
      <c r="AJ5" s="436"/>
      <c r="AK5" s="436"/>
      <c r="AL5" s="423"/>
      <c r="AM5" s="423"/>
      <c r="AN5" s="1144"/>
      <c r="AO5" s="1144"/>
      <c r="AP5" s="1144"/>
      <c r="AQ5" s="1144"/>
      <c r="AR5" s="1144"/>
      <c r="AS5" s="1144"/>
      <c r="AT5" s="1144"/>
      <c r="AU5" s="1144"/>
      <c r="AV5" s="1145"/>
      <c r="AW5" s="1151"/>
      <c r="AX5" s="1187"/>
      <c r="AY5" s="1167"/>
      <c r="AZ5" s="1167"/>
      <c r="BA5" s="1167"/>
      <c r="BB5" s="1167"/>
      <c r="BC5" s="1167"/>
      <c r="BD5" s="1167"/>
      <c r="BE5" s="1168"/>
      <c r="BF5" s="1168"/>
      <c r="BG5" s="1168"/>
      <c r="BH5" s="1168"/>
      <c r="BI5" s="1168"/>
      <c r="BJ5" s="594"/>
      <c r="BK5" s="158"/>
      <c r="BL5" s="185"/>
      <c r="BM5" s="185"/>
      <c r="BN5" s="185"/>
      <c r="BO5" s="185"/>
      <c r="BP5" s="185"/>
      <c r="BQ5" s="158"/>
      <c r="BR5" s="185"/>
      <c r="BS5" s="185"/>
      <c r="BT5" s="185"/>
      <c r="BU5" s="185"/>
      <c r="BV5" s="594"/>
      <c r="BW5" s="185"/>
      <c r="BX5" s="185"/>
      <c r="BY5" s="185"/>
      <c r="BZ5" s="185"/>
      <c r="CA5" s="185"/>
      <c r="CB5" s="168"/>
    </row>
    <row r="6" spans="1:84" ht="30" customHeight="1" x14ac:dyDescent="0.25">
      <c r="C6" s="1237" t="s">
        <v>274</v>
      </c>
      <c r="D6" s="1237"/>
      <c r="E6" s="1237"/>
      <c r="F6" s="1237"/>
      <c r="G6" s="1237"/>
      <c r="H6" s="1237"/>
      <c r="I6" s="1225" t="s">
        <v>1000</v>
      </c>
      <c r="J6" s="1225"/>
      <c r="K6" s="1225"/>
      <c r="L6" s="1225"/>
      <c r="M6" s="1225"/>
      <c r="N6" s="1225"/>
      <c r="O6" s="1225"/>
      <c r="P6" s="1225"/>
      <c r="Q6" s="1218" t="s">
        <v>870</v>
      </c>
      <c r="R6" s="1218"/>
      <c r="S6" s="1218"/>
      <c r="T6" s="1234" t="s">
        <v>0</v>
      </c>
      <c r="U6" s="1234"/>
      <c r="V6" s="1234" t="s">
        <v>135</v>
      </c>
      <c r="W6" s="1234"/>
      <c r="X6" s="1234" t="s">
        <v>6</v>
      </c>
      <c r="Y6" s="1234"/>
      <c r="Z6" s="1234" t="s">
        <v>7</v>
      </c>
      <c r="AA6" s="1234"/>
      <c r="AB6" s="1234" t="s">
        <v>8</v>
      </c>
      <c r="AC6" s="1234"/>
      <c r="AD6" s="1234" t="s">
        <v>9</v>
      </c>
      <c r="AE6" s="1234"/>
      <c r="AF6" s="1234" t="s">
        <v>79</v>
      </c>
      <c r="AG6" s="1234"/>
      <c r="AH6" s="1234" t="s">
        <v>10</v>
      </c>
      <c r="AI6" s="1234"/>
      <c r="AJ6" s="370" t="s">
        <v>11</v>
      </c>
      <c r="AK6" s="370" t="s">
        <v>12</v>
      </c>
      <c r="AL6" s="370" t="s">
        <v>13</v>
      </c>
      <c r="AM6" s="370" t="s">
        <v>14</v>
      </c>
    </row>
    <row r="7" spans="1:84" ht="27" hidden="1" customHeight="1" x14ac:dyDescent="0.25">
      <c r="C7" s="1237"/>
      <c r="D7" s="1237"/>
      <c r="E7" s="1237"/>
      <c r="F7" s="1237"/>
      <c r="G7" s="1237"/>
      <c r="H7" s="1237"/>
      <c r="I7" s="839" t="s">
        <v>129</v>
      </c>
      <c r="J7" s="871" t="s">
        <v>130</v>
      </c>
      <c r="K7" s="871" t="s">
        <v>131</v>
      </c>
      <c r="L7" s="872" t="s">
        <v>132</v>
      </c>
      <c r="M7" s="871" t="s">
        <v>702</v>
      </c>
      <c r="N7" s="1068" t="s">
        <v>930</v>
      </c>
      <c r="O7" s="871" t="s">
        <v>703</v>
      </c>
      <c r="P7" s="872" t="s">
        <v>931</v>
      </c>
      <c r="Q7" s="873" t="s">
        <v>129</v>
      </c>
      <c r="R7" s="840" t="s">
        <v>130</v>
      </c>
      <c r="S7" s="874" t="s">
        <v>133</v>
      </c>
      <c r="T7" s="1234" t="s">
        <v>0</v>
      </c>
      <c r="U7" s="1234"/>
      <c r="V7" s="1234" t="s">
        <v>135</v>
      </c>
      <c r="W7" s="1234"/>
      <c r="X7" s="1234" t="s">
        <v>6</v>
      </c>
      <c r="Y7" s="1234"/>
      <c r="Z7" s="1234" t="s">
        <v>7</v>
      </c>
      <c r="AA7" s="1234"/>
      <c r="AB7" s="1234" t="s">
        <v>8</v>
      </c>
      <c r="AC7" s="1234"/>
      <c r="AD7" s="1234" t="s">
        <v>9</v>
      </c>
      <c r="AE7" s="1234"/>
      <c r="AF7" s="370"/>
      <c r="AG7" s="370" t="s">
        <v>79</v>
      </c>
      <c r="AH7" s="370"/>
      <c r="AI7" s="370" t="s">
        <v>10</v>
      </c>
      <c r="AJ7" s="370" t="s">
        <v>11</v>
      </c>
      <c r="AK7" s="370" t="s">
        <v>12</v>
      </c>
      <c r="AL7" s="370" t="s">
        <v>13</v>
      </c>
      <c r="AM7" s="370" t="s">
        <v>14</v>
      </c>
      <c r="AN7" s="1181"/>
      <c r="AO7" s="1181"/>
      <c r="AP7" s="1181"/>
      <c r="AQ7" s="1181"/>
      <c r="AR7" s="1181"/>
      <c r="AS7" s="1181"/>
      <c r="AT7" s="1181"/>
      <c r="AU7" s="1181"/>
      <c r="AV7" s="1182"/>
      <c r="AW7" s="1166"/>
      <c r="AX7" s="1178"/>
    </row>
    <row r="8" spans="1:84" s="14" customFormat="1" ht="46.5" customHeight="1" x14ac:dyDescent="0.25">
      <c r="A8" s="499"/>
      <c r="B8" s="1192"/>
      <c r="C8" s="1237"/>
      <c r="D8" s="1237"/>
      <c r="E8" s="1237"/>
      <c r="F8" s="1237"/>
      <c r="G8" s="1237"/>
      <c r="H8" s="1237"/>
      <c r="I8" s="845" t="s">
        <v>993</v>
      </c>
      <c r="J8" s="845" t="s">
        <v>994</v>
      </c>
      <c r="K8" s="845" t="s">
        <v>1143</v>
      </c>
      <c r="L8" s="875" t="s">
        <v>1144</v>
      </c>
      <c r="M8" s="845" t="s">
        <v>715</v>
      </c>
      <c r="N8" s="1069" t="s">
        <v>714</v>
      </c>
      <c r="O8" s="845" t="s">
        <v>712</v>
      </c>
      <c r="P8" s="875" t="s">
        <v>713</v>
      </c>
      <c r="Q8" s="847" t="s">
        <v>1145</v>
      </c>
      <c r="R8" s="847" t="s">
        <v>1146</v>
      </c>
      <c r="S8" s="876" t="s">
        <v>1147</v>
      </c>
      <c r="T8" s="409" t="s">
        <v>1001</v>
      </c>
      <c r="U8" s="409" t="s">
        <v>871</v>
      </c>
      <c r="V8" s="409" t="s">
        <v>1001</v>
      </c>
      <c r="W8" s="409" t="s">
        <v>871</v>
      </c>
      <c r="X8" s="409" t="s">
        <v>1001</v>
      </c>
      <c r="Y8" s="409" t="s">
        <v>871</v>
      </c>
      <c r="Z8" s="409" t="s">
        <v>1001</v>
      </c>
      <c r="AA8" s="409" t="s">
        <v>871</v>
      </c>
      <c r="AB8" s="409" t="s">
        <v>1001</v>
      </c>
      <c r="AC8" s="409" t="s">
        <v>871</v>
      </c>
      <c r="AD8" s="409" t="s">
        <v>1001</v>
      </c>
      <c r="AE8" s="409" t="s">
        <v>871</v>
      </c>
      <c r="AF8" s="409" t="s">
        <v>1001</v>
      </c>
      <c r="AG8" s="409" t="s">
        <v>871</v>
      </c>
      <c r="AH8" s="409" t="s">
        <v>1001</v>
      </c>
      <c r="AI8" s="409" t="s">
        <v>871</v>
      </c>
      <c r="AJ8" s="409" t="s">
        <v>871</v>
      </c>
      <c r="AK8" s="409" t="s">
        <v>871</v>
      </c>
      <c r="AL8" s="409" t="s">
        <v>871</v>
      </c>
      <c r="AM8" s="409" t="s">
        <v>871</v>
      </c>
      <c r="AN8" s="1146"/>
      <c r="AO8" s="1146"/>
      <c r="AP8" s="1146"/>
      <c r="AQ8" s="1146"/>
      <c r="AR8" s="1146"/>
      <c r="AS8" s="1146"/>
      <c r="AT8" s="1146"/>
      <c r="AU8" s="1146"/>
      <c r="AV8" s="1147"/>
      <c r="AW8" s="1152"/>
      <c r="AX8" s="1188"/>
      <c r="AY8" s="1169"/>
      <c r="AZ8" s="1169"/>
      <c r="BA8" s="1169"/>
      <c r="BB8" s="1169"/>
      <c r="BC8" s="1169"/>
      <c r="BD8" s="1169"/>
      <c r="BE8" s="151"/>
      <c r="BF8" s="151"/>
      <c r="BG8" s="151"/>
      <c r="BH8" s="151"/>
      <c r="BI8" s="151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603"/>
      <c r="BX8" s="603"/>
      <c r="BY8" s="603"/>
      <c r="BZ8" s="603"/>
      <c r="CA8" s="185"/>
      <c r="CB8" s="151"/>
    </row>
    <row r="9" spans="1:84" ht="39.950000000000003" customHeight="1" x14ac:dyDescent="0.25">
      <c r="B9" s="1191" t="s">
        <v>336</v>
      </c>
      <c r="C9" s="421" t="s">
        <v>895</v>
      </c>
      <c r="D9" s="424" t="s">
        <v>92</v>
      </c>
      <c r="E9" s="419" t="s">
        <v>93</v>
      </c>
      <c r="F9" s="419" t="s">
        <v>94</v>
      </c>
      <c r="G9" s="419"/>
      <c r="H9" s="1155" t="s">
        <v>82</v>
      </c>
      <c r="I9" s="439">
        <f>+I10+I80+I156+I187+I194+I208+I149+I205</f>
        <v>40123745.100000001</v>
      </c>
      <c r="J9" s="439">
        <f>+J10+J80+J156+J187+J194+J208+J149+J205</f>
        <v>44432041.100000001</v>
      </c>
      <c r="K9" s="439">
        <f ca="1">+K10+K80+K156+K187+K194+K208+K149+K205</f>
        <v>28932244.487</v>
      </c>
      <c r="L9" s="441">
        <f ca="1">IFERROR(K9/J9,0%)</f>
        <v>0.65115722282224842</v>
      </c>
      <c r="M9" s="230">
        <f>+M10+M80+M149+M156+M187+M194+M208+M213+M205</f>
        <v>31145040.955999997</v>
      </c>
      <c r="N9" s="441">
        <f>+IFERROR(M9/J9,0%)</f>
        <v>0.70095904182983837</v>
      </c>
      <c r="O9" s="230">
        <f>+O10+O80+O149+O156+O187+O194+O208+O213+O205</f>
        <v>13287000.144000003</v>
      </c>
      <c r="P9" s="441">
        <f t="shared" ref="P9" si="0">+IFERROR(O9/J9,0)</f>
        <v>0.29904095817016163</v>
      </c>
      <c r="Q9" s="877">
        <f>+Q10+Q80+Q149+Q156+Q187+Q194+Q208+Q213</f>
        <v>44150316.394199997</v>
      </c>
      <c r="R9" s="877">
        <f ca="1">+R10+R80+R149+R156+R187+R194+R208</f>
        <v>28240844.25214</v>
      </c>
      <c r="S9" s="441">
        <f t="shared" ref="S9" ca="1" si="1">IFERROR(R9/Q9,"0,00%")</f>
        <v>0.63965213748388872</v>
      </c>
      <c r="T9" s="878">
        <f>+T10+T80+T149+T156+T187+T194+T205+T208+T213</f>
        <v>4096897.6629999997</v>
      </c>
      <c r="U9" s="878">
        <f>+U10+U80+U149+U156+U187+U194+U205+U208+U213</f>
        <v>3583215.8779020002</v>
      </c>
      <c r="V9" s="878">
        <f>+V10+V80+V149+V156+V187+V194+V205+V208+V213</f>
        <v>4171534.699</v>
      </c>
      <c r="W9" s="877">
        <f>+W10+W80+W149+W156+W187+W194+W208+W213</f>
        <v>1535896.0888980001</v>
      </c>
      <c r="X9" s="877">
        <f t="shared" ref="X9:AE9" si="2">+X10+X80+X156+X187+X194+X208</f>
        <v>10337138.859000001</v>
      </c>
      <c r="Y9" s="877">
        <f t="shared" si="2"/>
        <v>10977105.938746</v>
      </c>
      <c r="Z9" s="877">
        <f t="shared" si="2"/>
        <v>1745143.56</v>
      </c>
      <c r="AA9" s="877">
        <f t="shared" si="2"/>
        <v>1707119.2044340002</v>
      </c>
      <c r="AB9" s="877">
        <f t="shared" si="2"/>
        <v>1584558.4460000002</v>
      </c>
      <c r="AC9" s="877">
        <f t="shared" si="2"/>
        <v>1789364.6843600001</v>
      </c>
      <c r="AD9" s="877">
        <f t="shared" si="2"/>
        <v>3017806.2969999998</v>
      </c>
      <c r="AE9" s="877">
        <f t="shared" si="2"/>
        <v>3199873.0974539998</v>
      </c>
      <c r="AF9" s="877">
        <f>+AF10+AF80+AF156+AF187+AF194+AF208+AF149</f>
        <v>1856749.933</v>
      </c>
      <c r="AG9" s="877">
        <f>+AG10+AG80+AG156+AG187+AG194+AG208+AG149</f>
        <v>3207919.5496199997</v>
      </c>
      <c r="AH9" s="877">
        <f>+AH10+AH80+AH156+AH187+AH194+AH208</f>
        <v>2067954.7409999999</v>
      </c>
      <c r="AI9" s="877">
        <f>+AI10+AI80+AI156+AI187+AI194+AI208</f>
        <v>2240349.810726</v>
      </c>
      <c r="AJ9" s="877">
        <f>+AJ10+AJ80+AJ156+AJ187+AJ194+AJ208</f>
        <v>8172325.824</v>
      </c>
      <c r="AK9" s="877">
        <f>AK10+AK80+AK149+AK156+AK187+AK194+AK205+AK208+AK213</f>
        <v>1677670.1090000002</v>
      </c>
      <c r="AL9" s="877">
        <f>+AL10+AL80+AL156+AL187+AL194+AL208</f>
        <v>2037625.429</v>
      </c>
      <c r="AM9" s="877">
        <f>+AM10+AM80+AM156+AM187+AM194+AM208+AM149+AM205</f>
        <v>4799375.3400000008</v>
      </c>
      <c r="AN9" s="1146"/>
      <c r="AO9" s="1146"/>
      <c r="AP9" s="1146"/>
      <c r="AQ9" s="1146"/>
      <c r="AR9" s="1146"/>
      <c r="AS9" s="1189"/>
      <c r="AT9" s="1189"/>
      <c r="AU9" s="1189"/>
      <c r="AV9" s="1189"/>
      <c r="AW9" s="1152"/>
      <c r="AY9" s="1170"/>
      <c r="BB9" s="1170"/>
      <c r="BC9" s="1170"/>
      <c r="BD9" s="1170"/>
      <c r="BE9" s="1171"/>
      <c r="BF9" s="1171"/>
      <c r="BG9" s="1171"/>
      <c r="BH9" s="1171"/>
      <c r="BI9" s="1171"/>
      <c r="BJ9" s="932"/>
      <c r="BK9" s="156"/>
      <c r="BL9" s="594"/>
      <c r="BM9" s="594"/>
      <c r="BN9" s="594"/>
      <c r="BO9" s="594"/>
      <c r="BP9" s="604"/>
      <c r="BQ9" s="156"/>
      <c r="BR9" s="594"/>
      <c r="BS9" s="594"/>
      <c r="BT9" s="594"/>
      <c r="BU9" s="594"/>
      <c r="BV9" s="156"/>
      <c r="BW9" s="158"/>
      <c r="CC9" s="148"/>
      <c r="CD9" s="123"/>
      <c r="CE9" s="123"/>
      <c r="CF9" s="123"/>
    </row>
    <row r="10" spans="1:84" ht="15" customHeight="1" x14ac:dyDescent="0.25">
      <c r="B10" s="169" t="s">
        <v>456</v>
      </c>
      <c r="C10" s="508" t="s">
        <v>151</v>
      </c>
      <c r="D10" s="172"/>
      <c r="E10" s="38"/>
      <c r="F10" s="38"/>
      <c r="G10" s="38"/>
      <c r="H10" s="403" t="s">
        <v>16</v>
      </c>
      <c r="I10" s="145">
        <f>+'P01 2025'!F3+404553</f>
        <v>20227651</v>
      </c>
      <c r="J10" s="306">
        <f>+'P01 2025'!DE3</f>
        <v>19832145</v>
      </c>
      <c r="K10" s="306">
        <f ca="1">+K11+K42+K73</f>
        <v>12890773.611000001</v>
      </c>
      <c r="L10" s="378">
        <f t="shared" ref="L10:L73" ca="1" si="3">IFERROR(K10/J10,0)</f>
        <v>0.64999391699687559</v>
      </c>
      <c r="M10" s="306">
        <f t="shared" ref="M10" si="4">+M11+M42+M73</f>
        <v>12890773.611</v>
      </c>
      <c r="N10" s="378">
        <f>+IFERROR(M10/J10,0%)</f>
        <v>0.64999391699687548</v>
      </c>
      <c r="O10" s="306">
        <f>J10-M10</f>
        <v>6941371.3890000004</v>
      </c>
      <c r="P10" s="443">
        <f>+IFERROR(O10/J10,0)</f>
        <v>0.35000608300312447</v>
      </c>
      <c r="Q10" s="307">
        <f>+'P01 2024'!DJ3</f>
        <v>19811566.84</v>
      </c>
      <c r="R10" s="307">
        <f ca="1">+R11+R42+R73</f>
        <v>12843980.526674001</v>
      </c>
      <c r="S10" s="378">
        <f ca="1">IFERROR(R10/Q10,"0,00%")</f>
        <v>0.64830715462351596</v>
      </c>
      <c r="T10" s="509">
        <f>+'P01 2025'!G3</f>
        <v>1357754.152</v>
      </c>
      <c r="U10" s="467">
        <f>+'P01 2024'!K3</f>
        <v>1325168.1264800001</v>
      </c>
      <c r="V10" s="467">
        <f>+'P01 2025'!N3</f>
        <v>1343168.7649999999</v>
      </c>
      <c r="W10" s="86">
        <f>+'P01 2024'!Q3</f>
        <v>1343861.8669799999</v>
      </c>
      <c r="X10" s="86">
        <f>+'P01 2025'!AC3</f>
        <v>2346055.1310000001</v>
      </c>
      <c r="Y10" s="86">
        <f>+'P01 2024'!AE3</f>
        <v>2317877.5179059999</v>
      </c>
      <c r="Z10" s="86">
        <f>+'P01 2025'!AR3</f>
        <v>1365085.645</v>
      </c>
      <c r="AA10" s="86">
        <f>+'P01 2024'!AT3</f>
        <v>1381649.1425400001</v>
      </c>
      <c r="AB10" s="86">
        <f>AB11+AB42+AB73</f>
        <v>1339899.8810000001</v>
      </c>
      <c r="AC10" s="86">
        <f>+'P01 2024'!BI3</f>
        <v>1369227.145856</v>
      </c>
      <c r="AD10" s="86">
        <f>+'P01 2025'!BU3</f>
        <v>2368894.5</v>
      </c>
      <c r="AE10" s="86">
        <f>+'P01 2024'!BX3</f>
        <v>2363469.293232</v>
      </c>
      <c r="AF10" s="86">
        <f>+'P01 2025'!CI3</f>
        <v>1383712.497</v>
      </c>
      <c r="AG10" s="86">
        <f>+'P01 2024'!CM3</f>
        <v>1373477.4044619999</v>
      </c>
      <c r="AH10" s="86">
        <f>+'P01 2025'!CX3</f>
        <v>1386203.04</v>
      </c>
      <c r="AI10" s="86">
        <f>+'P01 2024'!DB3</f>
        <v>1369250.0292180001</v>
      </c>
      <c r="AJ10" s="86">
        <f>+'P01 2024'!DR3</f>
        <v>2273246.202</v>
      </c>
      <c r="AK10" s="86">
        <f>'P01 2024'!EG3</f>
        <v>1298474.094</v>
      </c>
      <c r="AL10" s="86">
        <f>+'P01 2024'!ET3</f>
        <v>1304211.0560000001</v>
      </c>
      <c r="AM10" s="86">
        <f>+'P01 2024'!FL3</f>
        <v>2384792.1</v>
      </c>
      <c r="AN10" s="1194"/>
      <c r="AO10" s="151"/>
      <c r="AP10" s="151"/>
      <c r="AQ10" s="151"/>
      <c r="AR10" s="151"/>
      <c r="AS10" s="151"/>
      <c r="AT10" s="151"/>
      <c r="AU10" s="151"/>
      <c r="AV10" s="151"/>
      <c r="AW10" s="1195"/>
      <c r="AX10" s="1196"/>
      <c r="AY10" s="148"/>
      <c r="AZ10" s="151"/>
      <c r="BA10" s="151"/>
      <c r="BB10" s="1172"/>
      <c r="BC10" s="151"/>
      <c r="BD10" s="151"/>
      <c r="BE10" s="1171"/>
      <c r="BF10" s="1171"/>
      <c r="BG10" s="1171"/>
      <c r="BH10" s="1171"/>
      <c r="BI10" s="1171"/>
      <c r="BJ10" s="932"/>
      <c r="BK10" s="156"/>
      <c r="BL10" s="594"/>
      <c r="BM10" s="594"/>
      <c r="BN10" s="594"/>
      <c r="BO10" s="594"/>
      <c r="BQ10" s="156"/>
      <c r="BR10" s="594"/>
      <c r="BS10" s="594"/>
      <c r="BT10" s="594"/>
      <c r="BU10" s="594"/>
      <c r="BV10" s="156"/>
      <c r="BW10" s="158"/>
      <c r="CC10" s="148"/>
      <c r="CD10" s="123"/>
      <c r="CE10" s="152"/>
      <c r="CF10" s="152"/>
    </row>
    <row r="11" spans="1:84" ht="15" hidden="1" customHeight="1" x14ac:dyDescent="0.25">
      <c r="B11" s="169" t="s">
        <v>455</v>
      </c>
      <c r="C11" s="508"/>
      <c r="D11" s="172" t="s">
        <v>153</v>
      </c>
      <c r="E11" s="38"/>
      <c r="F11" s="38"/>
      <c r="G11" s="38"/>
      <c r="H11" s="403" t="s">
        <v>17</v>
      </c>
      <c r="I11" s="145">
        <f>+'P01 2025'!F4</f>
        <v>803888.11199999996</v>
      </c>
      <c r="J11" s="306">
        <f>J12+J26+J29+J33+J38</f>
        <v>803531.11800000002</v>
      </c>
      <c r="K11" s="306">
        <f ca="1">+K12+K26+K29+K33+K38</f>
        <v>424021.40299999999</v>
      </c>
      <c r="L11" s="378">
        <f t="shared" ca="1" si="3"/>
        <v>0.52769755084954906</v>
      </c>
      <c r="M11" s="306">
        <f>+M12+M26+M29+M33+M38</f>
        <v>424021.40299999999</v>
      </c>
      <c r="N11" s="378">
        <f t="shared" ref="N11:N74" si="5">+IFERROR(M11/J11,0%)</f>
        <v>0.52769755084954906</v>
      </c>
      <c r="O11" s="306">
        <f t="shared" ref="O11:O74" si="6">J11-M11</f>
        <v>379509.71500000003</v>
      </c>
      <c r="P11" s="443">
        <f t="shared" ref="P11:P74" si="7">+IFERROR(O11/J11,0)</f>
        <v>0.47230244915045094</v>
      </c>
      <c r="Q11" s="307">
        <f>+'P01 2024'!DJ4</f>
        <v>1024988.3205040001</v>
      </c>
      <c r="R11" s="307">
        <f ca="1">+R12+R26+R29+R33+R38</f>
        <v>553856.06891200005</v>
      </c>
      <c r="S11" s="378">
        <f t="shared" ref="S11:S74" ca="1" si="8">IFERROR(R11/Q11,"0,00%")</f>
        <v>0.54035354143319592</v>
      </c>
      <c r="T11" s="509">
        <f>+'P01 2025'!G4</f>
        <v>49432.487999999998</v>
      </c>
      <c r="U11" s="467">
        <f>+'P01 2024'!K4</f>
        <v>64548.273840000002</v>
      </c>
      <c r="V11" s="467">
        <f>+'P01 2025'!N4</f>
        <v>48944.065000000002</v>
      </c>
      <c r="W11" s="86">
        <f>+'P01 2024'!Q4</f>
        <v>63174.382252000003</v>
      </c>
      <c r="X11" s="86">
        <f>+'P01 2025'!AC4</f>
        <v>72259.865999999995</v>
      </c>
      <c r="Y11" s="86">
        <f>+'P01 2024'!AE4</f>
        <v>99458.414428000004</v>
      </c>
      <c r="Z11" s="86">
        <f>+'P01 2025'!AR4</f>
        <v>46455.673999999999</v>
      </c>
      <c r="AA11" s="86">
        <f>+'P01 2024'!AT4</f>
        <v>62987.470375999997</v>
      </c>
      <c r="AB11" s="86">
        <f>+AB12+AB26+AB29+AB33+AB38</f>
        <v>41248.681999999993</v>
      </c>
      <c r="AC11" s="86">
        <f>+'P01 2024'!BI4</f>
        <v>59195.194735999998</v>
      </c>
      <c r="AD11" s="86">
        <f>+'P01 2025'!BU4</f>
        <v>69709.687999999995</v>
      </c>
      <c r="AE11" s="86">
        <f>+'P01 2024'!BX4</f>
        <v>95262.871241999994</v>
      </c>
      <c r="AF11" s="86">
        <f>+'P01 2025'!CI4</f>
        <v>49516.182000000001</v>
      </c>
      <c r="AG11" s="86">
        <f>+'P01 2024'!CM4</f>
        <v>54489.648818000001</v>
      </c>
      <c r="AH11" s="86">
        <f>+'P01 2025'!CX4</f>
        <v>46454.758000000002</v>
      </c>
      <c r="AI11" s="86">
        <f>+'P01 2024'!DB4</f>
        <v>54739.813220000004</v>
      </c>
      <c r="AJ11" s="86">
        <f>+'P01 2024'!DR4</f>
        <v>82497.581999999995</v>
      </c>
      <c r="AK11" s="86">
        <f>+AK12+AK26+AK29+AK33+AK38</f>
        <v>52885.635000000002</v>
      </c>
      <c r="AL11" s="86">
        <f>+'P01 2024'!ET4</f>
        <v>52342.317000000003</v>
      </c>
      <c r="AM11" s="86">
        <f>+'P01 2024'!FL4</f>
        <v>84096.785000000003</v>
      </c>
      <c r="AN11" s="1194"/>
      <c r="AO11" s="151"/>
      <c r="AP11" s="151"/>
      <c r="AQ11" s="151"/>
      <c r="AR11" s="151"/>
      <c r="AS11" s="151"/>
      <c r="AT11" s="151"/>
      <c r="AU11" s="151"/>
      <c r="AV11" s="151"/>
      <c r="AW11" s="1195"/>
      <c r="AX11" s="1196"/>
      <c r="AY11" s="148"/>
      <c r="AZ11" s="151"/>
      <c r="BA11" s="151"/>
      <c r="BB11" s="1172"/>
      <c r="BC11" s="151"/>
      <c r="BD11" s="151"/>
      <c r="BE11" s="1171"/>
      <c r="BF11" s="1171"/>
      <c r="BG11" s="1171"/>
      <c r="BH11" s="1171"/>
      <c r="BI11" s="1171"/>
      <c r="BJ11" s="932"/>
      <c r="BK11" s="156"/>
      <c r="BL11" s="594"/>
      <c r="BM11" s="594"/>
      <c r="BN11" s="594"/>
      <c r="BO11" s="594"/>
      <c r="BQ11" s="156"/>
      <c r="BR11" s="594"/>
      <c r="BS11" s="594"/>
      <c r="BT11" s="594"/>
      <c r="BU11" s="594"/>
      <c r="BV11" s="156"/>
      <c r="BW11" s="158"/>
      <c r="CC11" s="148"/>
      <c r="CD11" s="123"/>
      <c r="CE11" s="152"/>
      <c r="CF11" s="152"/>
    </row>
    <row r="12" spans="1:84" s="308" customFormat="1" ht="15" hidden="1" customHeight="1" x14ac:dyDescent="0.25">
      <c r="A12" s="84"/>
      <c r="B12" s="169" t="s">
        <v>454</v>
      </c>
      <c r="C12" s="508"/>
      <c r="D12" s="172"/>
      <c r="E12" s="38" t="s">
        <v>152</v>
      </c>
      <c r="F12" s="38"/>
      <c r="G12" s="38"/>
      <c r="H12" s="403" t="s">
        <v>18</v>
      </c>
      <c r="I12" s="145">
        <f>+'P01 2025'!F5</f>
        <v>628990.02500000002</v>
      </c>
      <c r="J12" s="306">
        <f>+'P01 2025'!DE5</f>
        <v>628990.02500000002</v>
      </c>
      <c r="K12" s="306">
        <f ca="1">SUM(K13:K25)</f>
        <v>332867.77999999997</v>
      </c>
      <c r="L12" s="378">
        <f t="shared" ca="1" si="3"/>
        <v>0.52920995050756159</v>
      </c>
      <c r="M12" s="306">
        <f>SUM(M13:M25)</f>
        <v>332867.77999999997</v>
      </c>
      <c r="N12" s="378">
        <f t="shared" si="5"/>
        <v>0.52920995050756159</v>
      </c>
      <c r="O12" s="306">
        <f t="shared" si="6"/>
        <v>296122.24500000005</v>
      </c>
      <c r="P12" s="443">
        <f t="shared" si="7"/>
        <v>0.47079004949243836</v>
      </c>
      <c r="Q12" s="307">
        <f>+'P01 2024'!DJ5</f>
        <v>718969.58000000007</v>
      </c>
      <c r="R12" s="307">
        <f>SUM(R13:R25)</f>
        <v>439596.76971600001</v>
      </c>
      <c r="S12" s="378">
        <f t="shared" si="8"/>
        <v>0.61142610472615544</v>
      </c>
      <c r="T12" s="509">
        <f>+'P01 2025'!G5</f>
        <v>40787.56</v>
      </c>
      <c r="U12" s="467">
        <f>+'P01 2024'!K5</f>
        <v>52803.651138000001</v>
      </c>
      <c r="V12" s="467">
        <f>+'P01 2025'!N5</f>
        <v>40787.56</v>
      </c>
      <c r="W12" s="86">
        <f>+'P01 2024'!Q5</f>
        <v>52766.857076000008</v>
      </c>
      <c r="X12" s="86">
        <f>+'P01 2025'!AC5</f>
        <v>51803.669000000002</v>
      </c>
      <c r="Y12" s="86">
        <f>+'P01 2024'!AE5</f>
        <v>73298.886682000011</v>
      </c>
      <c r="Z12" s="86">
        <f>+'P01 2025'!AR5</f>
        <v>37455.650999999998</v>
      </c>
      <c r="AA12" s="86">
        <f>+'P01 2024'!AT5</f>
        <v>52834.038983999999</v>
      </c>
      <c r="AB12" s="86">
        <f>SUM(AB13:AB25)</f>
        <v>35514.710999999996</v>
      </c>
      <c r="AC12" s="86">
        <f>+'P01 2024'!BI5</f>
        <v>49201.643656</v>
      </c>
      <c r="AD12" s="86">
        <f>+'P01 2025'!BU5</f>
        <v>51953.999000000003</v>
      </c>
      <c r="AE12" s="86">
        <f>+'P01 2024'!BX5</f>
        <v>69161.923693999997</v>
      </c>
      <c r="AF12" s="86">
        <f>+'P01 2025'!CI5</f>
        <v>37205.313000000002</v>
      </c>
      <c r="AG12" s="86">
        <f>+'P01 2024'!CM5</f>
        <v>44788.956006</v>
      </c>
      <c r="AH12" s="86">
        <f>+'P01 2025'!CX5</f>
        <v>37359.317000000003</v>
      </c>
      <c r="AI12" s="86">
        <f>+'P01 2024'!DB5</f>
        <v>44740.812480000001</v>
      </c>
      <c r="AJ12" s="86">
        <f>+'P01 2024'!DR5</f>
        <v>59826.603000000003</v>
      </c>
      <c r="AK12" s="86">
        <f>SUM(AK13:AK25)</f>
        <v>43180.752999999997</v>
      </c>
      <c r="AL12" s="86">
        <f>+'P01 2024'!ET5</f>
        <v>43020.819000000003</v>
      </c>
      <c r="AM12" s="86">
        <f>+'P01 2024'!FL5</f>
        <v>61068.572</v>
      </c>
      <c r="AN12" s="1194"/>
      <c r="AO12" s="151"/>
      <c r="AP12" s="151"/>
      <c r="AQ12" s="151"/>
      <c r="AR12" s="151"/>
      <c r="AS12" s="151"/>
      <c r="AT12" s="151"/>
      <c r="AU12" s="151"/>
      <c r="AV12" s="151"/>
      <c r="AW12" s="1195"/>
      <c r="AX12" s="1196"/>
      <c r="AY12" s="148"/>
      <c r="AZ12" s="151"/>
      <c r="BA12" s="151"/>
      <c r="BB12" s="1172"/>
      <c r="BC12" s="151"/>
      <c r="BD12" s="151"/>
      <c r="BE12" s="1171"/>
      <c r="BF12" s="1171"/>
      <c r="BG12" s="1171"/>
      <c r="BH12" s="1171"/>
      <c r="BI12" s="1171"/>
      <c r="BJ12" s="932"/>
      <c r="BK12" s="156"/>
      <c r="BL12" s="594"/>
      <c r="BM12" s="594"/>
      <c r="BN12" s="594"/>
      <c r="BO12" s="594"/>
      <c r="BP12" s="185"/>
      <c r="BQ12" s="156"/>
      <c r="BR12" s="594"/>
      <c r="BS12" s="594"/>
      <c r="BT12" s="594"/>
      <c r="BU12" s="594"/>
      <c r="BV12" s="156"/>
      <c r="BW12" s="158"/>
      <c r="BX12" s="185"/>
      <c r="BY12" s="185"/>
      <c r="BZ12" s="185"/>
      <c r="CA12" s="185"/>
      <c r="CB12" s="151"/>
      <c r="CC12" s="148"/>
      <c r="CD12" s="123"/>
      <c r="CE12" s="152"/>
      <c r="CF12" s="152"/>
    </row>
    <row r="13" spans="1:84" s="320" customFormat="1" ht="15" hidden="1" customHeight="1" x14ac:dyDescent="0.25">
      <c r="A13" s="329"/>
      <c r="B13" s="952" t="s">
        <v>453</v>
      </c>
      <c r="C13" s="25"/>
      <c r="D13" s="33"/>
      <c r="E13" s="933"/>
      <c r="F13" s="316">
        <v>1</v>
      </c>
      <c r="G13" s="315" t="str">
        <f>+CONCATENATE($C$10,"",$D$11,"",$E$12,"00",F13)</f>
        <v>21.01.001.001</v>
      </c>
      <c r="H13" s="501" t="s">
        <v>123</v>
      </c>
      <c r="I13" s="317">
        <f>+'P01 2025'!F6</f>
        <v>116011.474</v>
      </c>
      <c r="J13" s="317">
        <f>'P01 2025'!DE6</f>
        <v>116011.474</v>
      </c>
      <c r="K13" s="317">
        <f>SUMIF(T3:$AM$3,"ok",T13:AM13)</f>
        <v>61310.163</v>
      </c>
      <c r="L13" s="379">
        <f t="shared" si="3"/>
        <v>0.52848361361221907</v>
      </c>
      <c r="M13" s="317">
        <f>'P01 2025'!DG6</f>
        <v>61310.163</v>
      </c>
      <c r="N13" s="379">
        <f t="shared" si="5"/>
        <v>0.52848361361221907</v>
      </c>
      <c r="O13" s="317">
        <f t="shared" si="6"/>
        <v>54701.311000000002</v>
      </c>
      <c r="P13" s="445">
        <f t="shared" si="7"/>
        <v>0.47151638638778093</v>
      </c>
      <c r="Q13" s="249">
        <f>+'P01 2024'!DJ6</f>
        <v>160613.88</v>
      </c>
      <c r="R13" s="249">
        <f>SUMIF(T$3:$AM$3,"SI",T13:AM13)</f>
        <v>84047.907560000007</v>
      </c>
      <c r="S13" s="379">
        <f t="shared" si="8"/>
        <v>0.52329168288568839</v>
      </c>
      <c r="T13" s="326">
        <f>+'P01 2025'!G6</f>
        <v>8300.1779999999999</v>
      </c>
      <c r="U13" s="468">
        <f>+'P01 2024'!K6</f>
        <v>11217.464481999999</v>
      </c>
      <c r="V13" s="468">
        <f>+'P01 2025'!N6</f>
        <v>8300.1779999999999</v>
      </c>
      <c r="W13" s="326">
        <f>+'P01 2024'!Q6</f>
        <v>11217.464481999999</v>
      </c>
      <c r="X13" s="326">
        <f>+'P01 2025'!AC6</f>
        <v>7478.0990000000002</v>
      </c>
      <c r="Y13" s="249">
        <f>+'P01 2024'!AE6</f>
        <v>11201.949102</v>
      </c>
      <c r="Z13" s="249">
        <f>+'P01 2025'!AR6</f>
        <v>7478.0990000000002</v>
      </c>
      <c r="AA13" s="249">
        <f>+'P01 2024'!AT6</f>
        <v>11217.464481999999</v>
      </c>
      <c r="AB13" s="249">
        <f>'P01 2025'!BF6</f>
        <v>7158.5929999999998</v>
      </c>
      <c r="AC13" s="249">
        <f>+'P01 2024'!BI6</f>
        <v>10431.494302000001</v>
      </c>
      <c r="AD13" s="249">
        <f>+'P01 2025'!BU6</f>
        <v>7521.99</v>
      </c>
      <c r="AE13" s="249">
        <f>+'P01 2024'!BX6</f>
        <v>10480.422454</v>
      </c>
      <c r="AF13" s="249">
        <f>+'P01 2025'!CI6</f>
        <v>7521.99</v>
      </c>
      <c r="AG13" s="249">
        <f>+'P01 2024'!CM6</f>
        <v>9143.3405580000017</v>
      </c>
      <c r="AH13" s="249">
        <f>+'P01 2025'!CX6</f>
        <v>7551.0360000000001</v>
      </c>
      <c r="AI13" s="175">
        <f>+'P01 2024'!DB6</f>
        <v>9138.3076979999987</v>
      </c>
      <c r="AJ13" s="249">
        <f>+'P01 2024'!DR6</f>
        <v>8776.7340000000004</v>
      </c>
      <c r="AK13" s="249">
        <f>'P01 2024'!EG6</f>
        <v>8776.3889999999992</v>
      </c>
      <c r="AL13" s="175">
        <f>+'P01 2024'!ET6</f>
        <v>8776.7340000000004</v>
      </c>
      <c r="AM13" s="175">
        <f>+'P01 2024'!FL6</f>
        <v>9019.8989999999994</v>
      </c>
      <c r="AN13" s="1194"/>
      <c r="AO13" s="151"/>
      <c r="AP13" s="151"/>
      <c r="AQ13" s="151"/>
      <c r="AR13" s="151"/>
      <c r="AS13" s="151"/>
      <c r="AT13" s="151"/>
      <c r="AU13" s="151"/>
      <c r="AV13" s="151"/>
      <c r="AW13" s="1195"/>
      <c r="AX13" s="1196"/>
      <c r="AY13" s="148"/>
      <c r="AZ13" s="151"/>
      <c r="BA13" s="151"/>
      <c r="BB13" s="1172"/>
      <c r="BC13" s="151"/>
      <c r="BD13" s="151"/>
      <c r="BE13" s="1171"/>
      <c r="BF13" s="1171"/>
      <c r="BG13" s="1171"/>
      <c r="BH13" s="1171"/>
      <c r="BI13" s="151"/>
      <c r="BJ13" s="156"/>
      <c r="BK13" s="156"/>
      <c r="BL13" s="594"/>
      <c r="BM13" s="594"/>
      <c r="BN13" s="594"/>
      <c r="BO13" s="594"/>
      <c r="BP13" s="185"/>
      <c r="BQ13" s="156"/>
      <c r="BR13" s="594"/>
      <c r="BS13" s="594"/>
      <c r="BT13" s="594"/>
      <c r="BU13" s="594"/>
      <c r="BV13" s="156"/>
      <c r="BW13" s="158"/>
      <c r="BX13" s="185"/>
      <c r="BY13" s="185"/>
      <c r="BZ13" s="185"/>
      <c r="CA13" s="185"/>
      <c r="CB13" s="156"/>
      <c r="CC13" s="158"/>
      <c r="CD13" s="157"/>
      <c r="CE13" s="159"/>
      <c r="CF13" s="159"/>
    </row>
    <row r="14" spans="1:84" s="320" customFormat="1" ht="15" hidden="1" customHeight="1" x14ac:dyDescent="0.25">
      <c r="A14" s="329"/>
      <c r="B14" s="952" t="s">
        <v>517</v>
      </c>
      <c r="C14" s="955"/>
      <c r="D14" s="794"/>
      <c r="E14" s="933"/>
      <c r="F14" s="316">
        <v>2</v>
      </c>
      <c r="G14" s="315" t="str">
        <f>+CONCATENATE($C$10,"",$D$11,"",$E$12,"00",F14)</f>
        <v>21.01.001.002</v>
      </c>
      <c r="H14" s="501" t="s">
        <v>19</v>
      </c>
      <c r="I14" s="317">
        <f>+'P01 2025'!F7</f>
        <v>16073.669</v>
      </c>
      <c r="J14" s="317">
        <f>+'P01 2025'!DE7</f>
        <v>16073.669</v>
      </c>
      <c r="K14" s="317">
        <f ca="1">SUMIF(T$3:$AM4,"ok",T14:AM14)</f>
        <v>7060.2450000000008</v>
      </c>
      <c r="L14" s="379">
        <f t="shared" ca="1" si="3"/>
        <v>0.43924290092075435</v>
      </c>
      <c r="M14" s="317">
        <f>'P01 2025'!DG7</f>
        <v>7060.2449999999999</v>
      </c>
      <c r="N14" s="379">
        <f t="shared" si="5"/>
        <v>0.4392429009207543</v>
      </c>
      <c r="O14" s="317">
        <f t="shared" si="6"/>
        <v>9013.4239999999991</v>
      </c>
      <c r="P14" s="445">
        <f t="shared" si="7"/>
        <v>0.56075709907924565</v>
      </c>
      <c r="Q14" s="249">
        <f>+'P01 2024'!DJ7</f>
        <v>17297.2</v>
      </c>
      <c r="R14" s="249">
        <f>SUMIF(T$3:$AM$3,"SI",T14:AM14)</f>
        <v>11510.425908000001</v>
      </c>
      <c r="S14" s="379">
        <f t="shared" si="8"/>
        <v>0.66545024096385541</v>
      </c>
      <c r="T14" s="326">
        <f>+'P01 2025'!G7</f>
        <v>1065.5640000000001</v>
      </c>
      <c r="U14" s="468">
        <f>+'P01 2024'!K7</f>
        <v>1576.0958560000001</v>
      </c>
      <c r="V14" s="468">
        <f>+'P01 2025'!N7</f>
        <v>1065.5640000000001</v>
      </c>
      <c r="W14" s="326">
        <f>+'P01 2024'!Q7</f>
        <v>1543.5489860000002</v>
      </c>
      <c r="X14" s="326">
        <f>+'P01 2025'!AC7</f>
        <v>818.94</v>
      </c>
      <c r="Y14" s="249">
        <f>+'P01 2024'!AE7</f>
        <v>1543.5489860000002</v>
      </c>
      <c r="Z14" s="249">
        <f>+'P01 2025'!AR7</f>
        <v>818.94</v>
      </c>
      <c r="AA14" s="249">
        <f>+'P01 2024'!AT7</f>
        <v>1587.4724120000001</v>
      </c>
      <c r="AB14" s="249">
        <f>'P01 2025'!BF7</f>
        <v>818.94</v>
      </c>
      <c r="AC14" s="249">
        <f>+'P01 2024'!BI7</f>
        <v>1351.681358</v>
      </c>
      <c r="AD14" s="249">
        <f>+'P01 2025'!BU7</f>
        <v>824.09900000000005</v>
      </c>
      <c r="AE14" s="249">
        <f>+'P01 2024'!BX7</f>
        <v>1358.3741240000002</v>
      </c>
      <c r="AF14" s="249">
        <f>+'P01 2025'!CI7</f>
        <v>824.09900000000005</v>
      </c>
      <c r="AG14" s="249">
        <f>+'P01 2024'!CM7</f>
        <v>1277.369044</v>
      </c>
      <c r="AH14" s="249">
        <f>+'P01 2025'!CX7</f>
        <v>824.09900000000005</v>
      </c>
      <c r="AI14" s="175">
        <f>+'P01 2024'!DB7</f>
        <v>1272.3351419999999</v>
      </c>
      <c r="AJ14" s="249">
        <f>+'P01 2024'!DR7</f>
        <v>1243.5889999999999</v>
      </c>
      <c r="AK14" s="249">
        <f>'P01 2024'!EG7</f>
        <v>1243.2449999999999</v>
      </c>
      <c r="AL14" s="175">
        <f>+'P01 2024'!ET7</f>
        <v>1243.5889999999999</v>
      </c>
      <c r="AM14" s="175">
        <f>+'P01 2024'!FL7</f>
        <v>1295.2339999999999</v>
      </c>
      <c r="AN14" s="1194"/>
      <c r="AO14" s="151"/>
      <c r="AP14" s="151"/>
      <c r="AQ14" s="151"/>
      <c r="AR14" s="151"/>
      <c r="AS14" s="151"/>
      <c r="AT14" s="151"/>
      <c r="AU14" s="151"/>
      <c r="AV14" s="151"/>
      <c r="AW14" s="1195"/>
      <c r="AX14" s="1196"/>
      <c r="AY14" s="148"/>
      <c r="AZ14" s="151"/>
      <c r="BA14" s="151"/>
      <c r="BB14" s="1172"/>
      <c r="BC14" s="151"/>
      <c r="BD14" s="151"/>
      <c r="BE14" s="1171"/>
      <c r="BF14" s="1171"/>
      <c r="BG14" s="1171"/>
      <c r="BH14" s="1171"/>
      <c r="BI14" s="151"/>
      <c r="BJ14" s="156"/>
      <c r="BK14" s="156"/>
      <c r="BL14" s="594"/>
      <c r="BM14" s="594"/>
      <c r="BN14" s="594"/>
      <c r="BO14" s="594"/>
      <c r="BP14" s="185"/>
      <c r="BQ14" s="156"/>
      <c r="BR14" s="594"/>
      <c r="BS14" s="594"/>
      <c r="BT14" s="594"/>
      <c r="BU14" s="594"/>
      <c r="BV14" s="156"/>
      <c r="BW14" s="158"/>
      <c r="BX14" s="185"/>
      <c r="BY14" s="185"/>
      <c r="BZ14" s="185"/>
      <c r="CA14" s="185"/>
      <c r="CB14" s="156"/>
      <c r="CC14" s="158"/>
      <c r="CD14" s="157"/>
      <c r="CE14" s="159"/>
      <c r="CF14" s="159"/>
    </row>
    <row r="15" spans="1:84" s="320" customFormat="1" ht="15" hidden="1" customHeight="1" x14ac:dyDescent="0.25">
      <c r="A15" s="329"/>
      <c r="B15" s="952" t="s">
        <v>452</v>
      </c>
      <c r="C15" s="955"/>
      <c r="D15" s="794"/>
      <c r="E15" s="933"/>
      <c r="F15" s="316">
        <v>3</v>
      </c>
      <c r="G15" s="315" t="str">
        <f>+CONCATENATE($C$10,"",$D$11,"",$E$12,"00",F15)</f>
        <v>21.01.001.003</v>
      </c>
      <c r="H15" s="501" t="s">
        <v>20</v>
      </c>
      <c r="I15" s="317">
        <f>+'P01 2025'!F8</f>
        <v>85149.134999999995</v>
      </c>
      <c r="J15" s="317">
        <f>'P01 2025'!DE8</f>
        <v>85149.134999999995</v>
      </c>
      <c r="K15" s="317">
        <f ca="1">SUMIF(T$3:$AM5,"ok",T15:AM15)</f>
        <v>45211.346999999994</v>
      </c>
      <c r="L15" s="379">
        <f t="shared" ca="1" si="3"/>
        <v>0.53096660347753377</v>
      </c>
      <c r="M15" s="317">
        <f>'P01 2025'!DG8</f>
        <v>45211.347000000002</v>
      </c>
      <c r="N15" s="379">
        <f t="shared" si="5"/>
        <v>0.53096660347753388</v>
      </c>
      <c r="O15" s="317">
        <f t="shared" si="6"/>
        <v>39937.787999999993</v>
      </c>
      <c r="P15" s="445">
        <f t="shared" si="7"/>
        <v>0.46903339652246612</v>
      </c>
      <c r="Q15" s="249">
        <f>+'P01 2024'!DJ8</f>
        <v>91977.34</v>
      </c>
      <c r="R15" s="249">
        <f>SUMIF(T$3:$AM$3,"SI",T15:AM15)</f>
        <v>61184.132034000002</v>
      </c>
      <c r="S15" s="379">
        <f t="shared" si="8"/>
        <v>0.66520875722215933</v>
      </c>
      <c r="T15" s="326">
        <f>+'P01 2025'!G8</f>
        <v>6161.6890000000003</v>
      </c>
      <c r="U15" s="468">
        <f>+'P01 2024'!K8</f>
        <v>8135.1763819999996</v>
      </c>
      <c r="V15" s="468">
        <f>+'P01 2025'!N8</f>
        <v>6161.6890000000003</v>
      </c>
      <c r="W15" s="326">
        <f>+'P01 2024'!Q8</f>
        <v>8135.1763819999996</v>
      </c>
      <c r="X15" s="326">
        <f>+'P01 2025'!AC8</f>
        <v>5504.03</v>
      </c>
      <c r="Y15" s="249">
        <f>+'P01 2024'!AE8</f>
        <v>8135.1763819999996</v>
      </c>
      <c r="Z15" s="249">
        <f>+'P01 2025'!AR8</f>
        <v>5504.03</v>
      </c>
      <c r="AA15" s="249">
        <f>+'P01 2024'!AT8</f>
        <v>8135.1763819999996</v>
      </c>
      <c r="AB15" s="249">
        <f>'P01 2025'!BF8</f>
        <v>5248.4229999999998</v>
      </c>
      <c r="AC15" s="249">
        <f>+'P01 2024'!BI8</f>
        <v>7470.8628280000003</v>
      </c>
      <c r="AD15" s="249">
        <f>+'P01 2025'!BU8</f>
        <v>5536.0829999999996</v>
      </c>
      <c r="AE15" s="249">
        <f>+'P01 2024'!BX8</f>
        <v>7505.6333260000001</v>
      </c>
      <c r="AF15" s="249">
        <f>+'P01 2025'!CI8</f>
        <v>5536.0829999999996</v>
      </c>
      <c r="AG15" s="249">
        <f>+'P01 2024'!CM8</f>
        <v>6835.9816060000003</v>
      </c>
      <c r="AH15" s="249">
        <f>+'P01 2025'!CX8</f>
        <v>5559.32</v>
      </c>
      <c r="AI15" s="175">
        <f>+'P01 2024'!DB8</f>
        <v>6830.9487460000009</v>
      </c>
      <c r="AJ15" s="249">
        <f>+'P01 2024'!DR8</f>
        <v>6562.3779999999997</v>
      </c>
      <c r="AK15" s="249">
        <f>'P01 2024'!EG8</f>
        <v>6562.0330000000004</v>
      </c>
      <c r="AL15" s="175">
        <f>+'P01 2024'!ET8</f>
        <v>6562.3779999999997</v>
      </c>
      <c r="AM15" s="175">
        <f>+'P01 2024'!FL8</f>
        <v>6742.8310000000001</v>
      </c>
      <c r="AN15" s="1194"/>
      <c r="AO15" s="151"/>
      <c r="AP15" s="151"/>
      <c r="AQ15" s="151"/>
      <c r="AR15" s="151"/>
      <c r="AS15" s="151"/>
      <c r="AT15" s="151"/>
      <c r="AU15" s="151"/>
      <c r="AV15" s="151"/>
      <c r="AW15" s="1195"/>
      <c r="AX15" s="1196"/>
      <c r="AY15" s="148"/>
      <c r="AZ15" s="151"/>
      <c r="BA15" s="151"/>
      <c r="BB15" s="1172"/>
      <c r="BC15" s="151"/>
      <c r="BD15" s="151"/>
      <c r="BE15" s="1171"/>
      <c r="BF15" s="1171"/>
      <c r="BG15" s="1171"/>
      <c r="BH15" s="1171"/>
      <c r="BI15" s="151"/>
      <c r="BJ15" s="156"/>
      <c r="BK15" s="156"/>
      <c r="BL15" s="594"/>
      <c r="BM15" s="594"/>
      <c r="BN15" s="594"/>
      <c r="BO15" s="594"/>
      <c r="BP15" s="185"/>
      <c r="BQ15" s="156"/>
      <c r="BR15" s="594"/>
      <c r="BS15" s="594"/>
      <c r="BT15" s="594"/>
      <c r="BU15" s="594"/>
      <c r="BV15" s="156"/>
      <c r="BW15" s="158"/>
      <c r="BX15" s="185"/>
      <c r="BY15" s="185"/>
      <c r="BZ15" s="185"/>
      <c r="CA15" s="185"/>
      <c r="CB15" s="156"/>
      <c r="CC15" s="158"/>
      <c r="CD15" s="157"/>
      <c r="CE15" s="159"/>
      <c r="CF15" s="159"/>
    </row>
    <row r="16" spans="1:84" s="320" customFormat="1" ht="15" hidden="1" customHeight="1" x14ac:dyDescent="0.25">
      <c r="A16" s="329"/>
      <c r="B16" s="952" t="s">
        <v>965</v>
      </c>
      <c r="C16" s="955"/>
      <c r="D16" s="794"/>
      <c r="E16" s="933"/>
      <c r="F16" s="316">
        <v>4</v>
      </c>
      <c r="G16" s="315" t="str">
        <f>+CONCATENATE($C$10,"",$D$11,"",$E$12,"00",F16)</f>
        <v>21.01.001.004</v>
      </c>
      <c r="H16" s="501" t="s">
        <v>21</v>
      </c>
      <c r="I16" s="317">
        <f>+'P01 2025'!F9</f>
        <v>163.035</v>
      </c>
      <c r="J16" s="317">
        <f>+'P01 2025'!DE9</f>
        <v>163.035</v>
      </c>
      <c r="K16" s="317">
        <f ca="1">SUMIF(T$3:$AM6,"ok",T16:AM16)</f>
        <v>0</v>
      </c>
      <c r="L16" s="379">
        <f t="shared" ca="1" si="3"/>
        <v>0</v>
      </c>
      <c r="M16" s="317">
        <f>'P01 2025'!DG9</f>
        <v>0</v>
      </c>
      <c r="N16" s="379">
        <f t="shared" si="5"/>
        <v>0</v>
      </c>
      <c r="O16" s="317">
        <f t="shared" si="6"/>
        <v>163.035</v>
      </c>
      <c r="P16" s="445">
        <f t="shared" si="7"/>
        <v>1</v>
      </c>
      <c r="Q16" s="249">
        <v>0</v>
      </c>
      <c r="R16" s="249">
        <f>SUMIF(T$3:$AM$3,"SI",T16:AM16)</f>
        <v>0</v>
      </c>
      <c r="S16" s="379" t="str">
        <f t="shared" si="8"/>
        <v>0,00%</v>
      </c>
      <c r="T16" s="326">
        <f>+'P01 2025'!G9</f>
        <v>0</v>
      </c>
      <c r="U16" s="468">
        <v>0</v>
      </c>
      <c r="V16" s="468">
        <v>0</v>
      </c>
      <c r="W16" s="326"/>
      <c r="X16" s="326">
        <v>0</v>
      </c>
      <c r="Y16" s="249"/>
      <c r="Z16" s="249">
        <v>0</v>
      </c>
      <c r="AA16" s="249">
        <v>0</v>
      </c>
      <c r="AB16" s="249">
        <v>0</v>
      </c>
      <c r="AC16" s="249"/>
      <c r="AD16" s="249">
        <v>0</v>
      </c>
      <c r="AE16" s="249"/>
      <c r="AF16" s="249">
        <v>0</v>
      </c>
      <c r="AG16" s="249"/>
      <c r="AH16" s="249">
        <v>0</v>
      </c>
      <c r="AI16" s="175"/>
      <c r="AJ16" s="249"/>
      <c r="AK16" s="249">
        <f>'P01 2024'!EG9</f>
        <v>163.035</v>
      </c>
      <c r="AL16" s="175">
        <v>0</v>
      </c>
      <c r="AM16" s="175">
        <v>0</v>
      </c>
      <c r="AN16" s="1194"/>
      <c r="AO16" s="151"/>
      <c r="AP16" s="151"/>
      <c r="AQ16" s="151"/>
      <c r="AR16" s="151"/>
      <c r="AS16" s="151"/>
      <c r="AT16" s="151"/>
      <c r="AU16" s="151"/>
      <c r="AV16" s="151"/>
      <c r="AW16" s="1195"/>
      <c r="AX16" s="1196"/>
      <c r="AY16" s="148"/>
      <c r="AZ16" s="151"/>
      <c r="BA16" s="151"/>
      <c r="BB16" s="1172"/>
      <c r="BC16" s="151"/>
      <c r="BD16" s="151"/>
      <c r="BE16" s="1171"/>
      <c r="BF16" s="1171"/>
      <c r="BG16" s="1171"/>
      <c r="BH16" s="1171"/>
      <c r="BI16" s="151"/>
      <c r="BJ16" s="156"/>
      <c r="BK16" s="156"/>
      <c r="BL16" s="594"/>
      <c r="BM16" s="594"/>
      <c r="BN16" s="594"/>
      <c r="BO16" s="594"/>
      <c r="BP16" s="185"/>
      <c r="BQ16" s="156"/>
      <c r="BR16" s="594"/>
      <c r="BS16" s="594"/>
      <c r="BT16" s="594"/>
      <c r="BU16" s="594"/>
      <c r="BV16" s="156"/>
      <c r="BW16" s="158"/>
      <c r="BX16" s="185"/>
      <c r="BY16" s="185"/>
      <c r="BZ16" s="185"/>
      <c r="CA16" s="185"/>
      <c r="CB16" s="156"/>
      <c r="CC16" s="158"/>
      <c r="CD16" s="157"/>
      <c r="CE16" s="159"/>
      <c r="CF16" s="159"/>
    </row>
    <row r="17" spans="1:84" s="320" customFormat="1" ht="15" hidden="1" customHeight="1" x14ac:dyDescent="0.25">
      <c r="A17" s="329"/>
      <c r="B17" s="952" t="s">
        <v>518</v>
      </c>
      <c r="C17" s="955"/>
      <c r="D17" s="794"/>
      <c r="E17" s="933"/>
      <c r="F17" s="316">
        <v>7</v>
      </c>
      <c r="G17" s="315" t="str">
        <f>+CONCATENATE($C$10,"",$D$11,"",$E$12,"00",F17)</f>
        <v>21.01.001.007</v>
      </c>
      <c r="H17" s="501" t="s">
        <v>128</v>
      </c>
      <c r="I17" s="317">
        <f>+'P01 2025'!F10</f>
        <v>9786.4390000000003</v>
      </c>
      <c r="J17" s="317">
        <f>'P01 2025'!DE10</f>
        <v>9786.4390000000003</v>
      </c>
      <c r="K17" s="312">
        <f ca="1">SUMIF(T$3:$AM7,"ok",T17:AM17)</f>
        <v>6820.3719999999985</v>
      </c>
      <c r="L17" s="379">
        <f t="shared" ca="1" si="3"/>
        <v>0.69692070833936615</v>
      </c>
      <c r="M17" s="317">
        <f>'P01 2025'!DG10</f>
        <v>6820.3720000000003</v>
      </c>
      <c r="N17" s="379">
        <f t="shared" si="5"/>
        <v>0.69692070833936637</v>
      </c>
      <c r="O17" s="317">
        <f t="shared" si="6"/>
        <v>2966.067</v>
      </c>
      <c r="P17" s="445">
        <f t="shared" si="7"/>
        <v>0.30307929166063363</v>
      </c>
      <c r="Q17" s="249">
        <f>+'P01 2024'!DJ9</f>
        <v>10034.460000000001</v>
      </c>
      <c r="R17" s="249">
        <f>SUMIF(T$3:$AM$3,"SI",T17:AM17)</f>
        <v>6771.4755539999996</v>
      </c>
      <c r="S17" s="379">
        <f t="shared" si="8"/>
        <v>0.67482211838006223</v>
      </c>
      <c r="T17" s="326">
        <f>+'P01 2025'!G10</f>
        <v>850.505</v>
      </c>
      <c r="U17" s="468">
        <f>+'P01 2024'!K9</f>
        <v>845.981044</v>
      </c>
      <c r="V17" s="468">
        <f>+'P01 2025'!N9</f>
        <v>850.505</v>
      </c>
      <c r="W17" s="326">
        <f>+'P01 2024'!Q9</f>
        <v>845.981044</v>
      </c>
      <c r="X17" s="326">
        <f>+'P01 2025'!AC9</f>
        <v>850.505</v>
      </c>
      <c r="Y17" s="249">
        <f>+'P01 2024'!AE9</f>
        <v>845.981044</v>
      </c>
      <c r="Z17" s="249">
        <f>+'P01 2025'!AR9</f>
        <v>850.505</v>
      </c>
      <c r="AA17" s="249">
        <f>+'P01 2024'!AT9</f>
        <v>845.981044</v>
      </c>
      <c r="AB17" s="249">
        <f>'P01 2025'!BF9</f>
        <v>850.505</v>
      </c>
      <c r="AC17" s="249">
        <f>+'P01 2024'!BI9</f>
        <v>845.981044</v>
      </c>
      <c r="AD17" s="249">
        <f>+'P01 2025'!BU9</f>
        <v>855.94899999999996</v>
      </c>
      <c r="AE17" s="249">
        <f>+'P01 2024'!BX9</f>
        <v>850.21156400000007</v>
      </c>
      <c r="AF17" s="249">
        <f>+'P01 2025'!CI9</f>
        <v>855.94899999999996</v>
      </c>
      <c r="AG17" s="249">
        <f>+'P01 2024'!CM9</f>
        <v>848.19633600000009</v>
      </c>
      <c r="AH17" s="249">
        <f>+'P01 2025'!CX9</f>
        <v>855.94899999999996</v>
      </c>
      <c r="AI17" s="175">
        <f>+'P01 2024'!DB9</f>
        <v>843.16243400000008</v>
      </c>
      <c r="AJ17" s="249">
        <f>+'P01 2024'!DR9</f>
        <v>815.94200000000001</v>
      </c>
      <c r="AK17" s="249">
        <f>'P01 2024'!EG10</f>
        <v>815.59799999999996</v>
      </c>
      <c r="AL17" s="175">
        <f>+'P01 2024'!ET9</f>
        <v>815.94200000000001</v>
      </c>
      <c r="AM17" s="175">
        <f>+'P01 2024'!FL9</f>
        <v>838.88199999999995</v>
      </c>
      <c r="AN17" s="1194"/>
      <c r="AO17" s="151"/>
      <c r="AP17" s="151"/>
      <c r="AQ17" s="151"/>
      <c r="AR17" s="151"/>
      <c r="AS17" s="151"/>
      <c r="AT17" s="151"/>
      <c r="AU17" s="151"/>
      <c r="AV17" s="151"/>
      <c r="AW17" s="1195"/>
      <c r="AX17" s="1196"/>
      <c r="AY17" s="148"/>
      <c r="AZ17" s="151"/>
      <c r="BA17" s="151"/>
      <c r="BB17" s="1172"/>
      <c r="BC17" s="151"/>
      <c r="BD17" s="151"/>
      <c r="BE17" s="1171"/>
      <c r="BF17" s="1171"/>
      <c r="BG17" s="1171"/>
      <c r="BH17" s="1171"/>
      <c r="BI17" s="151"/>
      <c r="BJ17" s="156"/>
      <c r="BK17" s="156"/>
      <c r="BL17" s="594"/>
      <c r="BM17" s="594"/>
      <c r="BN17" s="594"/>
      <c r="BO17" s="594"/>
      <c r="BP17" s="185"/>
      <c r="BQ17" s="156"/>
      <c r="BR17" s="594"/>
      <c r="BS17" s="594"/>
      <c r="BT17" s="594"/>
      <c r="BU17" s="594"/>
      <c r="BV17" s="156"/>
      <c r="BW17" s="158"/>
      <c r="BX17" s="185"/>
      <c r="BY17" s="185"/>
      <c r="BZ17" s="185"/>
      <c r="CA17" s="185"/>
      <c r="CB17" s="156"/>
      <c r="CC17" s="158"/>
      <c r="CD17" s="157"/>
      <c r="CE17" s="159"/>
      <c r="CF17" s="159"/>
    </row>
    <row r="18" spans="1:84" s="320" customFormat="1" ht="15" hidden="1" customHeight="1" x14ac:dyDescent="0.25">
      <c r="A18" s="329"/>
      <c r="B18" s="952" t="s">
        <v>519</v>
      </c>
      <c r="C18" s="955"/>
      <c r="D18" s="794"/>
      <c r="E18" s="933"/>
      <c r="F18" s="316">
        <v>12</v>
      </c>
      <c r="G18" s="315" t="str">
        <f t="shared" ref="G18:G25" si="9">+CONCATENATE($C$10,"",$D$11,"",$E$12,"0",F18)</f>
        <v>21.01.001.012</v>
      </c>
      <c r="H18" s="501" t="s">
        <v>22</v>
      </c>
      <c r="I18" s="317">
        <f>+'P01 2025'!F11</f>
        <v>2224.8789999999999</v>
      </c>
      <c r="J18" s="317">
        <f>+'P01 2025'!DE11</f>
        <v>2224.8789999999999</v>
      </c>
      <c r="K18" s="312">
        <f ca="1">SUMIF(T$3:$AM8,"ok",T18:AM18)</f>
        <v>1487.88</v>
      </c>
      <c r="L18" s="379">
        <f t="shared" ca="1" si="3"/>
        <v>0.66874648014566196</v>
      </c>
      <c r="M18" s="317">
        <f>'P01 2025'!DG11</f>
        <v>1487.88</v>
      </c>
      <c r="N18" s="379">
        <f t="shared" si="5"/>
        <v>0.66874648014566196</v>
      </c>
      <c r="O18" s="317">
        <f t="shared" si="6"/>
        <v>736.9989999999998</v>
      </c>
      <c r="P18" s="445">
        <f t="shared" si="7"/>
        <v>0.33125351985433804</v>
      </c>
      <c r="Q18" s="249">
        <f>+'P01 2024'!DJ10</f>
        <v>2292.4</v>
      </c>
      <c r="R18" s="249">
        <f>SUMIF(T$3:$AM$3,"SI",T18:AM18)</f>
        <v>1543.4968860000001</v>
      </c>
      <c r="S18" s="379">
        <f t="shared" si="8"/>
        <v>0.67331045454545457</v>
      </c>
      <c r="T18" s="326">
        <f>+'P01 2025'!G11</f>
        <v>185.98500000000001</v>
      </c>
      <c r="U18" s="468">
        <f>+'P01 2024'!K10</f>
        <v>193.79637000000002</v>
      </c>
      <c r="V18" s="468">
        <f>+'P01 2025'!N10</f>
        <v>185.98500000000001</v>
      </c>
      <c r="W18" s="326">
        <f>+'P01 2024'!Q10</f>
        <v>193.79637000000002</v>
      </c>
      <c r="X18" s="326">
        <f>+'P01 2025'!AC10</f>
        <v>185.98500000000001</v>
      </c>
      <c r="Y18" s="249">
        <f>+'P01 2024'!AE10</f>
        <v>193.79637000000002</v>
      </c>
      <c r="Z18" s="249">
        <f>+'P01 2025'!AR10</f>
        <v>185.98500000000001</v>
      </c>
      <c r="AA18" s="249">
        <f>+'P01 2024'!AT10</f>
        <v>193.79637000000002</v>
      </c>
      <c r="AB18" s="249">
        <f>'P01 2025'!BF10</f>
        <v>185.98500000000001</v>
      </c>
      <c r="AC18" s="249">
        <f>+'P01 2024'!BI10</f>
        <v>193.79637000000002</v>
      </c>
      <c r="AD18" s="249">
        <f>+'P01 2025'!BU10</f>
        <v>185.98500000000001</v>
      </c>
      <c r="AE18" s="249">
        <f>+'P01 2024'!BX10</f>
        <v>193.79637000000002</v>
      </c>
      <c r="AF18" s="249">
        <f>+'P01 2025'!CI10</f>
        <v>185.98500000000001</v>
      </c>
      <c r="AG18" s="249">
        <f>+'P01 2024'!CM10</f>
        <v>191.78114199999999</v>
      </c>
      <c r="AH18" s="249">
        <f>+'P01 2025'!CX10</f>
        <v>185.98500000000001</v>
      </c>
      <c r="AI18" s="175">
        <f>+'P01 2024'!DB10</f>
        <v>188.937524</v>
      </c>
      <c r="AJ18" s="249">
        <f>+'P01 2024'!DR10</f>
        <v>185.98500000000001</v>
      </c>
      <c r="AK18" s="249">
        <f>'P01 2024'!EG11</f>
        <v>185.64099999999999</v>
      </c>
      <c r="AL18" s="175">
        <f>+'P01 2024'!ET10</f>
        <v>185.98500000000001</v>
      </c>
      <c r="AM18" s="175">
        <f>+'P01 2024'!FL10</f>
        <v>184.447</v>
      </c>
      <c r="AN18" s="1194"/>
      <c r="AO18" s="151"/>
      <c r="AP18" s="151"/>
      <c r="AQ18" s="151"/>
      <c r="AR18" s="151"/>
      <c r="AS18" s="151"/>
      <c r="AT18" s="151"/>
      <c r="AU18" s="151"/>
      <c r="AV18" s="151"/>
      <c r="AW18" s="1195"/>
      <c r="AX18" s="1196"/>
      <c r="AY18" s="148"/>
      <c r="AZ18" s="151"/>
      <c r="BA18" s="151"/>
      <c r="BB18" s="1172"/>
      <c r="BC18" s="151"/>
      <c r="BD18" s="151"/>
      <c r="BE18" s="1171"/>
      <c r="BF18" s="1171"/>
      <c r="BG18" s="1171"/>
      <c r="BH18" s="1171"/>
      <c r="BI18" s="151"/>
      <c r="BJ18" s="156"/>
      <c r="BK18" s="156"/>
      <c r="BL18" s="594"/>
      <c r="BM18" s="594"/>
      <c r="BN18" s="594"/>
      <c r="BO18" s="594"/>
      <c r="BP18" s="185"/>
      <c r="BQ18" s="156"/>
      <c r="BR18" s="594"/>
      <c r="BS18" s="594"/>
      <c r="BT18" s="594"/>
      <c r="BU18" s="594"/>
      <c r="BV18" s="156"/>
      <c r="BW18" s="158"/>
      <c r="BX18" s="185"/>
      <c r="BY18" s="185"/>
      <c r="BZ18" s="185"/>
      <c r="CA18" s="185"/>
      <c r="CB18" s="156"/>
      <c r="CC18" s="158"/>
      <c r="CD18" s="157"/>
      <c r="CE18" s="159"/>
      <c r="CF18" s="159"/>
    </row>
    <row r="19" spans="1:84" s="320" customFormat="1" ht="15" hidden="1" customHeight="1" x14ac:dyDescent="0.25">
      <c r="A19" s="329"/>
      <c r="B19" s="952" t="s">
        <v>520</v>
      </c>
      <c r="C19" s="955"/>
      <c r="D19" s="794"/>
      <c r="E19" s="933"/>
      <c r="F19" s="316">
        <v>13</v>
      </c>
      <c r="G19" s="315" t="str">
        <f t="shared" si="9"/>
        <v>21.01.001.013</v>
      </c>
      <c r="H19" s="501" t="s">
        <v>23</v>
      </c>
      <c r="I19" s="317">
        <f>+'P01 2025'!F12</f>
        <v>53254.192000000003</v>
      </c>
      <c r="J19" s="317">
        <f>+'P01 2025'!DE12</f>
        <v>53254.192000000003</v>
      </c>
      <c r="K19" s="312">
        <f ca="1">SUMIF(T$3:$AM9,"ok",T19:AM19)</f>
        <v>34395.133999999998</v>
      </c>
      <c r="L19" s="379">
        <f t="shared" ca="1" si="3"/>
        <v>0.64586716478582562</v>
      </c>
      <c r="M19" s="317">
        <f>'P01 2025'!DG12</f>
        <v>34395.133999999998</v>
      </c>
      <c r="N19" s="379">
        <f t="shared" si="5"/>
        <v>0.64586716478582562</v>
      </c>
      <c r="O19" s="317">
        <f t="shared" si="6"/>
        <v>18859.058000000005</v>
      </c>
      <c r="P19" s="445">
        <f t="shared" si="7"/>
        <v>0.35413283521417438</v>
      </c>
      <c r="Q19" s="249">
        <f>+'P01 2024'!DJ11</f>
        <v>54163.16</v>
      </c>
      <c r="R19" s="249">
        <f>SUMIF(T$3:$AM$3,"SI",T19:AM19)</f>
        <v>35778.085950000001</v>
      </c>
      <c r="S19" s="379">
        <f t="shared" si="8"/>
        <v>0.66056127356675642</v>
      </c>
      <c r="T19" s="326">
        <f>+'P01 2025'!G12</f>
        <v>3869.143</v>
      </c>
      <c r="U19" s="468">
        <f>+'P01 2024'!K11</f>
        <v>4014.1205660000001</v>
      </c>
      <c r="V19" s="468">
        <f>+'P01 2025'!N11</f>
        <v>3869.143</v>
      </c>
      <c r="W19" s="326">
        <f>+'P01 2024'!Q11</f>
        <v>4014.1205660000001</v>
      </c>
      <c r="X19" s="326">
        <f>+'P01 2025'!AC11</f>
        <v>5590.1379999999999</v>
      </c>
      <c r="Y19" s="249">
        <f>+'P01 2024'!AE11</f>
        <v>5807.3973560000004</v>
      </c>
      <c r="Z19" s="249">
        <f>+'P01 2025'!AR11</f>
        <v>3869.143</v>
      </c>
      <c r="AA19" s="249">
        <f>+'P01 2024'!AT11</f>
        <v>4031.6470060000001</v>
      </c>
      <c r="AB19" s="249">
        <f>'P01 2025'!BF11</f>
        <v>3869.143</v>
      </c>
      <c r="AC19" s="249">
        <f>+'P01 2024'!BI11</f>
        <v>4031.6470060000001</v>
      </c>
      <c r="AD19" s="249">
        <f>+'P01 2025'!BU11</f>
        <v>5590.1379999999999</v>
      </c>
      <c r="AE19" s="249">
        <f>+'P01 2024'!BX11</f>
        <v>5824.923796</v>
      </c>
      <c r="AF19" s="249">
        <f>+'P01 2025'!CI11</f>
        <v>3869.143</v>
      </c>
      <c r="AG19" s="249">
        <f>+'P01 2024'!CM11</f>
        <v>4029.6317779999999</v>
      </c>
      <c r="AH19" s="249">
        <f>+'P01 2025'!CX11</f>
        <v>3869.143</v>
      </c>
      <c r="AI19" s="175">
        <f>+'P01 2024'!DB11</f>
        <v>4024.5978760000003</v>
      </c>
      <c r="AJ19" s="249">
        <f>+'P01 2024'!DR11</f>
        <v>5590.1379999999999</v>
      </c>
      <c r="AK19" s="249">
        <f>'P01 2024'!EG12</f>
        <v>3868.7979999999998</v>
      </c>
      <c r="AL19" s="175">
        <f>+'P01 2024'!ET11</f>
        <v>3869.143</v>
      </c>
      <c r="AM19" s="175">
        <f>+'P01 2024'!FL11</f>
        <v>5588.6</v>
      </c>
      <c r="AN19" s="1194"/>
      <c r="AO19" s="151"/>
      <c r="AP19" s="151"/>
      <c r="AQ19" s="151"/>
      <c r="AR19" s="151"/>
      <c r="AS19" s="151"/>
      <c r="AT19" s="151"/>
      <c r="AU19" s="151"/>
      <c r="AV19" s="151"/>
      <c r="AW19" s="1195"/>
      <c r="AX19" s="1196"/>
      <c r="AY19" s="148"/>
      <c r="AZ19" s="151"/>
      <c r="BA19" s="151"/>
      <c r="BB19" s="1172"/>
      <c r="BC19" s="151"/>
      <c r="BD19" s="151"/>
      <c r="BE19" s="1171"/>
      <c r="BF19" s="1171"/>
      <c r="BG19" s="1171"/>
      <c r="BH19" s="1171"/>
      <c r="BI19" s="151"/>
      <c r="BJ19" s="156"/>
      <c r="BK19" s="156"/>
      <c r="BL19" s="594"/>
      <c r="BM19" s="594"/>
      <c r="BN19" s="594"/>
      <c r="BO19" s="594"/>
      <c r="BP19" s="185"/>
      <c r="BQ19" s="156"/>
      <c r="BR19" s="594"/>
      <c r="BS19" s="594"/>
      <c r="BT19" s="594"/>
      <c r="BU19" s="594"/>
      <c r="BV19" s="156"/>
      <c r="BW19" s="158"/>
      <c r="BX19" s="185"/>
      <c r="BY19" s="185"/>
      <c r="BZ19" s="185"/>
      <c r="CA19" s="185"/>
      <c r="CB19" s="156"/>
      <c r="CC19" s="158"/>
      <c r="CD19" s="157"/>
      <c r="CE19" s="159"/>
      <c r="CF19" s="159"/>
    </row>
    <row r="20" spans="1:84" s="320" customFormat="1" ht="15" hidden="1" customHeight="1" x14ac:dyDescent="0.25">
      <c r="A20" s="329"/>
      <c r="B20" s="952" t="s">
        <v>521</v>
      </c>
      <c r="C20" s="955"/>
      <c r="D20" s="794"/>
      <c r="E20" s="933"/>
      <c r="F20" s="316">
        <v>14</v>
      </c>
      <c r="G20" s="315" t="str">
        <f t="shared" si="9"/>
        <v>21.01.001.014</v>
      </c>
      <c r="H20" s="501" t="s">
        <v>24</v>
      </c>
      <c r="I20" s="317">
        <f>+'P01 2025'!F13</f>
        <v>78237.198999999993</v>
      </c>
      <c r="J20" s="317">
        <f>+'P01 2025'!DE13</f>
        <v>78237.198999999993</v>
      </c>
      <c r="K20" s="312">
        <f ca="1">SUMIF(T$3:$AM10,"ok",T20:AM20)</f>
        <v>40992.653000000006</v>
      </c>
      <c r="L20" s="379">
        <f t="shared" ca="1" si="3"/>
        <v>0.52395348407092146</v>
      </c>
      <c r="M20" s="317">
        <f>'P01 2025'!DG13</f>
        <v>40992.652999999998</v>
      </c>
      <c r="N20" s="379">
        <f t="shared" si="5"/>
        <v>0.52395348407092135</v>
      </c>
      <c r="O20" s="317">
        <f t="shared" si="6"/>
        <v>37244.545999999995</v>
      </c>
      <c r="P20" s="445">
        <f t="shared" si="7"/>
        <v>0.47604651592907865</v>
      </c>
      <c r="Q20" s="249">
        <f>+'P01 2024'!DJ12</f>
        <v>83016.14</v>
      </c>
      <c r="R20" s="249">
        <f>SUMIF(T$3:$AM$3,"SI",T20:AM20)</f>
        <v>56061.65482399999</v>
      </c>
      <c r="S20" s="379">
        <f t="shared" si="8"/>
        <v>0.67531030500815858</v>
      </c>
      <c r="T20" s="326">
        <f>+'P01 2025'!G13</f>
        <v>5366.3490000000002</v>
      </c>
      <c r="U20" s="468">
        <f>+'P01 2024'!K12</f>
        <v>7263.6715480000003</v>
      </c>
      <c r="V20" s="468">
        <f>+'P01 2025'!N12</f>
        <v>5366.3490000000002</v>
      </c>
      <c r="W20" s="326">
        <f>+'P01 2024'!Q12</f>
        <v>7259.4243560000004</v>
      </c>
      <c r="X20" s="326">
        <f>+'P01 2025'!AC12</f>
        <v>5543.826</v>
      </c>
      <c r="Y20" s="249">
        <f>+'P01 2024'!AE12</f>
        <v>8123.5070240000005</v>
      </c>
      <c r="Z20" s="249">
        <f>+'P01 2025'!AR12</f>
        <v>4784.7420000000002</v>
      </c>
      <c r="AA20" s="249">
        <f>+'P01 2024'!AT12</f>
        <v>7265.156398000001</v>
      </c>
      <c r="AB20" s="249">
        <f>'P01 2025'!BF12</f>
        <v>4585.1149999999998</v>
      </c>
      <c r="AC20" s="249">
        <f>+'P01 2024'!BI12</f>
        <v>6665.841762</v>
      </c>
      <c r="AD20" s="249">
        <f>+'P01 2025'!BU12</f>
        <v>5702.1350000000002</v>
      </c>
      <c r="AE20" s="249">
        <f>+'P01 2024'!BX12</f>
        <v>7578.5514440000006</v>
      </c>
      <c r="AF20" s="249">
        <f>+'P01 2025'!CI12</f>
        <v>4812.9939999999997</v>
      </c>
      <c r="AG20" s="249">
        <f>+'P01 2024'!CM12</f>
        <v>5955.2675760000002</v>
      </c>
      <c r="AH20" s="249">
        <f>+'P01 2025'!CX12</f>
        <v>4831.143</v>
      </c>
      <c r="AI20" s="175">
        <f>+'P01 2024'!DB12</f>
        <v>5950.2347159999999</v>
      </c>
      <c r="AJ20" s="249">
        <f>+'P01 2024'!DR12</f>
        <v>6402.7169999999996</v>
      </c>
      <c r="AK20" s="249">
        <f>'P01 2024'!EG13</f>
        <v>5718.8760000000002</v>
      </c>
      <c r="AL20" s="175">
        <f>+'P01 2024'!ET12</f>
        <v>5719.2209999999995</v>
      </c>
      <c r="AM20" s="175">
        <f>+'P01 2024'!FL12</f>
        <v>6592.875</v>
      </c>
      <c r="AN20" s="1194"/>
      <c r="AO20" s="151"/>
      <c r="AP20" s="151"/>
      <c r="AQ20" s="151"/>
      <c r="AR20" s="151"/>
      <c r="AS20" s="151"/>
      <c r="AT20" s="151"/>
      <c r="AU20" s="151"/>
      <c r="AV20" s="151"/>
      <c r="AW20" s="1195"/>
      <c r="AX20" s="1196"/>
      <c r="AY20" s="148"/>
      <c r="AZ20" s="151"/>
      <c r="BA20" s="151"/>
      <c r="BB20" s="1172"/>
      <c r="BC20" s="151"/>
      <c r="BD20" s="151"/>
      <c r="BE20" s="1171"/>
      <c r="BF20" s="1171"/>
      <c r="BG20" s="1171"/>
      <c r="BH20" s="1171"/>
      <c r="BI20" s="151"/>
      <c r="BJ20" s="156"/>
      <c r="BK20" s="156"/>
      <c r="BL20" s="594"/>
      <c r="BM20" s="594"/>
      <c r="BN20" s="594"/>
      <c r="BO20" s="594"/>
      <c r="BP20" s="185"/>
      <c r="BQ20" s="156"/>
      <c r="BR20" s="594"/>
      <c r="BS20" s="594"/>
      <c r="BT20" s="594"/>
      <c r="BU20" s="594"/>
      <c r="BV20" s="156"/>
      <c r="BW20" s="158"/>
      <c r="BX20" s="185"/>
      <c r="BY20" s="185"/>
      <c r="BZ20" s="185"/>
      <c r="CA20" s="185"/>
      <c r="CB20" s="156"/>
      <c r="CC20" s="158"/>
      <c r="CD20" s="157"/>
      <c r="CE20" s="159"/>
      <c r="CF20" s="159"/>
    </row>
    <row r="21" spans="1:84" s="320" customFormat="1" ht="15" hidden="1" customHeight="1" x14ac:dyDescent="0.25">
      <c r="A21" s="329"/>
      <c r="B21" s="952" t="s">
        <v>522</v>
      </c>
      <c r="C21" s="955"/>
      <c r="D21" s="794"/>
      <c r="E21" s="933"/>
      <c r="F21" s="316">
        <v>15</v>
      </c>
      <c r="G21" s="315" t="str">
        <f t="shared" si="9"/>
        <v>21.01.001.015</v>
      </c>
      <c r="H21" s="501" t="s">
        <v>25</v>
      </c>
      <c r="I21" s="317">
        <f>+'P01 2025'!F14</f>
        <v>193572.617</v>
      </c>
      <c r="J21" s="317">
        <f>+'P01 2025'!DE14</f>
        <v>193572.617</v>
      </c>
      <c r="K21" s="312">
        <f ca="1">SUMIF(T$3:$AM11,"ok",T21:AM21)</f>
        <v>102412.982</v>
      </c>
      <c r="L21" s="379">
        <f t="shared" ca="1" si="3"/>
        <v>0.52906750751838005</v>
      </c>
      <c r="M21" s="317">
        <f>'P01 2025'!DG14</f>
        <v>102412.982</v>
      </c>
      <c r="N21" s="379">
        <f t="shared" si="5"/>
        <v>0.52906750751838005</v>
      </c>
      <c r="O21" s="317">
        <f t="shared" si="6"/>
        <v>91159.634999999995</v>
      </c>
      <c r="P21" s="445">
        <f t="shared" si="7"/>
        <v>0.47093249248161995</v>
      </c>
      <c r="Q21" s="249">
        <f>+'P01 2024'!DJ13</f>
        <v>204065.28</v>
      </c>
      <c r="R21" s="249">
        <f>SUMIF(T$3:$AM$3,"SI",T21:AM21)</f>
        <v>139414.55255200001</v>
      </c>
      <c r="S21" s="379">
        <f t="shared" si="8"/>
        <v>0.68318604983660136</v>
      </c>
      <c r="T21" s="326">
        <f>+'P01 2025'!G14</f>
        <v>13942.491</v>
      </c>
      <c r="U21" s="468">
        <f>+'P01 2024'!K13</f>
        <v>18517.252791999999</v>
      </c>
      <c r="V21" s="468">
        <f>+'P01 2025'!N13</f>
        <v>13942.491</v>
      </c>
      <c r="W21" s="326">
        <f>+'P01 2024'!Q13</f>
        <v>18517.252791999999</v>
      </c>
      <c r="X21" s="326">
        <f>+'P01 2025'!AC13</f>
        <v>12476.725</v>
      </c>
      <c r="Y21" s="249">
        <f>+'P01 2024'!AE13</f>
        <v>18517.252791999999</v>
      </c>
      <c r="Z21" s="249">
        <f>+'P01 2025'!AR13</f>
        <v>12476.725</v>
      </c>
      <c r="AA21" s="249">
        <f>+'P01 2024'!AT13</f>
        <v>18517.252791999999</v>
      </c>
      <c r="AB21" s="249">
        <f>'P01 2025'!BF13</f>
        <v>11880.153</v>
      </c>
      <c r="AC21" s="249">
        <f>+'P01 2024'!BI13</f>
        <v>17170.246888000001</v>
      </c>
      <c r="AD21" s="249">
        <f>+'P01 2025'!BU13</f>
        <v>12546.721</v>
      </c>
      <c r="AE21" s="249">
        <f>+'P01 2024'!BX13</f>
        <v>17248.075951999999</v>
      </c>
      <c r="AF21" s="249">
        <f>+'P01 2025'!CI13</f>
        <v>12546.721</v>
      </c>
      <c r="AG21" s="249">
        <f>+'P01 2024'!CM13</f>
        <v>15466.125702000001</v>
      </c>
      <c r="AH21" s="249">
        <f>+'P01 2025'!CX13</f>
        <v>12600.955</v>
      </c>
      <c r="AI21" s="175">
        <f>+'P01 2024'!DB13</f>
        <v>15461.092842</v>
      </c>
      <c r="AJ21" s="249">
        <f>+'P01 2024'!DR13</f>
        <v>14844.665999999999</v>
      </c>
      <c r="AK21" s="249">
        <f>'P01 2024'!EG14</f>
        <v>14844.321</v>
      </c>
      <c r="AL21" s="175">
        <f>+'P01 2024'!ET13</f>
        <v>14844.665999999999</v>
      </c>
      <c r="AM21" s="175">
        <f>+'P01 2024'!FL13</f>
        <v>15242.27</v>
      </c>
      <c r="AN21" s="1194"/>
      <c r="AO21" s="151"/>
      <c r="AP21" s="151"/>
      <c r="AQ21" s="151"/>
      <c r="AR21" s="151"/>
      <c r="AS21" s="151"/>
      <c r="AT21" s="151"/>
      <c r="AU21" s="151"/>
      <c r="AV21" s="151"/>
      <c r="AW21" s="1195"/>
      <c r="AX21" s="1196"/>
      <c r="AY21" s="148"/>
      <c r="AZ21" s="151"/>
      <c r="BA21" s="151"/>
      <c r="BB21" s="1172"/>
      <c r="BC21" s="151"/>
      <c r="BD21" s="151"/>
      <c r="BE21" s="1171"/>
      <c r="BF21" s="1171"/>
      <c r="BG21" s="1171"/>
      <c r="BH21" s="1171"/>
      <c r="BI21" s="151"/>
      <c r="BJ21" s="156"/>
      <c r="BK21" s="156"/>
      <c r="BL21" s="594"/>
      <c r="BM21" s="594"/>
      <c r="BN21" s="594"/>
      <c r="BO21" s="594"/>
      <c r="BP21" s="185"/>
      <c r="BQ21" s="156"/>
      <c r="BR21" s="594"/>
      <c r="BS21" s="594"/>
      <c r="BT21" s="594"/>
      <c r="BU21" s="594"/>
      <c r="BV21" s="156"/>
      <c r="BW21" s="158"/>
      <c r="BX21" s="185"/>
      <c r="BY21" s="185"/>
      <c r="BZ21" s="185"/>
      <c r="CA21" s="185"/>
      <c r="CB21" s="156"/>
      <c r="CC21" s="158"/>
      <c r="CD21" s="157"/>
      <c r="CE21" s="159"/>
      <c r="CF21" s="159"/>
    </row>
    <row r="22" spans="1:84" s="320" customFormat="1" ht="15" hidden="1" customHeight="1" x14ac:dyDescent="0.25">
      <c r="A22" s="329"/>
      <c r="B22" s="952" t="s">
        <v>523</v>
      </c>
      <c r="C22" s="955"/>
      <c r="D22" s="794"/>
      <c r="E22" s="933"/>
      <c r="F22" s="316">
        <v>22</v>
      </c>
      <c r="G22" s="315" t="str">
        <f t="shared" si="9"/>
        <v>21.01.001.022</v>
      </c>
      <c r="H22" s="501" t="s">
        <v>26</v>
      </c>
      <c r="I22" s="317">
        <f>+'P01 2025'!F15</f>
        <v>62483.360999999997</v>
      </c>
      <c r="J22" s="317">
        <f>+'P01 2025'!DE15</f>
        <v>62483.360999999997</v>
      </c>
      <c r="K22" s="312">
        <f ca="1">SUMIF(T$3:$AM12,"ok",T22:AM22)</f>
        <v>24907.861000000001</v>
      </c>
      <c r="L22" s="379">
        <f t="shared" ca="1" si="3"/>
        <v>0.39863190137931281</v>
      </c>
      <c r="M22" s="317">
        <f>'P01 2025'!DG15</f>
        <v>24907.861000000001</v>
      </c>
      <c r="N22" s="379">
        <f t="shared" si="5"/>
        <v>0.39863190137931281</v>
      </c>
      <c r="O22" s="317">
        <f t="shared" si="6"/>
        <v>37575.5</v>
      </c>
      <c r="P22" s="445">
        <f t="shared" si="7"/>
        <v>0.60136809862068719</v>
      </c>
      <c r="Q22" s="249">
        <f>+'P01 2024'!DJ14</f>
        <v>65781.460000000006</v>
      </c>
      <c r="R22" s="249">
        <f>SUMIF(T$3:$AM$3,"SI",T22:AM22)</f>
        <v>34957.761030000001</v>
      </c>
      <c r="S22" s="379">
        <f t="shared" si="8"/>
        <v>0.53142269919214313</v>
      </c>
      <c r="T22" s="326">
        <f>+'P01 2025'!G15</f>
        <v>0</v>
      </c>
      <c r="U22" s="468">
        <f>+'P01 2024'!K14</f>
        <v>0</v>
      </c>
      <c r="V22" s="468">
        <v>0</v>
      </c>
      <c r="W22" s="326">
        <v>0</v>
      </c>
      <c r="X22" s="326">
        <f>+'P01 2025'!AC14</f>
        <v>12309.764999999999</v>
      </c>
      <c r="Y22" s="249">
        <f>+'P01 2024'!AE14</f>
        <v>17890.185527999998</v>
      </c>
      <c r="Z22" s="249">
        <f>+'P01 2025'!AR14</f>
        <v>441.82600000000002</v>
      </c>
      <c r="AA22" s="249">
        <v>0</v>
      </c>
      <c r="AB22" s="249">
        <v>0</v>
      </c>
      <c r="AC22" s="249">
        <v>0</v>
      </c>
      <c r="AD22" s="249">
        <f>+'P01 2025'!BU14</f>
        <v>12138.55</v>
      </c>
      <c r="AE22" s="249">
        <f>+'P01 2024'!BX14</f>
        <v>17076.640901999999</v>
      </c>
      <c r="AF22" s="249">
        <v>0</v>
      </c>
      <c r="AG22" s="249">
        <f>+'P01 2024'!CM14</f>
        <v>-2.01627</v>
      </c>
      <c r="AH22" s="249">
        <f>+'P01 2025'!CX14</f>
        <v>17.72</v>
      </c>
      <c r="AI22" s="175">
        <f>+'P01 2024'!DB14</f>
        <v>-7.0491299999999999</v>
      </c>
      <c r="AJ22" s="249">
        <f>+'P01 2024'!DR14</f>
        <v>14401.293</v>
      </c>
      <c r="AK22" s="249">
        <v>0</v>
      </c>
      <c r="AL22" s="175">
        <v>0</v>
      </c>
      <c r="AM22" s="175">
        <f>+'P01 2024'!FL14</f>
        <v>14531.815000000001</v>
      </c>
      <c r="AN22" s="1194"/>
      <c r="AO22" s="151"/>
      <c r="AP22" s="151"/>
      <c r="AQ22" s="151"/>
      <c r="AR22" s="151"/>
      <c r="AS22" s="151"/>
      <c r="AT22" s="151"/>
      <c r="AU22" s="151"/>
      <c r="AV22" s="151"/>
      <c r="AW22" s="1195"/>
      <c r="AX22" s="1196"/>
      <c r="AY22" s="148"/>
      <c r="AZ22" s="151"/>
      <c r="BA22" s="151"/>
      <c r="BB22" s="1172"/>
      <c r="BC22" s="151"/>
      <c r="BD22" s="151"/>
      <c r="BE22" s="1171"/>
      <c r="BF22" s="1171"/>
      <c r="BG22" s="1171"/>
      <c r="BH22" s="1171"/>
      <c r="BI22" s="151"/>
      <c r="BJ22" s="156"/>
      <c r="BK22" s="156"/>
      <c r="BL22" s="594"/>
      <c r="BM22" s="594"/>
      <c r="BN22" s="594"/>
      <c r="BO22" s="594"/>
      <c r="BP22" s="185"/>
      <c r="BQ22" s="156"/>
      <c r="BR22" s="594"/>
      <c r="BS22" s="594"/>
      <c r="BT22" s="594"/>
      <c r="BU22" s="594"/>
      <c r="BV22" s="156"/>
      <c r="BW22" s="158"/>
      <c r="BX22" s="185"/>
      <c r="BY22" s="185"/>
      <c r="BZ22" s="185"/>
      <c r="CA22" s="185"/>
      <c r="CB22" s="156"/>
      <c r="CC22" s="158"/>
      <c r="CD22" s="157"/>
      <c r="CE22" s="159"/>
      <c r="CF22" s="159"/>
    </row>
    <row r="23" spans="1:84" s="320" customFormat="1" ht="15" hidden="1" customHeight="1" x14ac:dyDescent="0.25">
      <c r="A23" s="329"/>
      <c r="B23" s="952" t="s">
        <v>524</v>
      </c>
      <c r="C23" s="955"/>
      <c r="D23" s="794"/>
      <c r="E23" s="933"/>
      <c r="F23" s="316">
        <v>39</v>
      </c>
      <c r="G23" s="315" t="str">
        <f t="shared" si="9"/>
        <v>21.01.001.039</v>
      </c>
      <c r="H23" s="501" t="s">
        <v>27</v>
      </c>
      <c r="I23" s="317">
        <f>+'P01 2025'!F16</f>
        <v>12034.025</v>
      </c>
      <c r="J23" s="317">
        <f>+'P01 2025'!DE16</f>
        <v>12034.025</v>
      </c>
      <c r="K23" s="312">
        <f ca="1">SUMIF(T$3:$AM13,"ok",T23:AM23)</f>
        <v>8269.143</v>
      </c>
      <c r="L23" s="379">
        <f t="shared" ca="1" si="3"/>
        <v>0.68714690222099428</v>
      </c>
      <c r="M23" s="317">
        <f>'P01 2025'!DG16</f>
        <v>8269.143</v>
      </c>
      <c r="N23" s="379">
        <f t="shared" si="5"/>
        <v>0.68714690222099428</v>
      </c>
      <c r="O23" s="317">
        <f t="shared" si="6"/>
        <v>3764.8819999999996</v>
      </c>
      <c r="P23" s="445">
        <f t="shared" si="7"/>
        <v>0.31285309777900577</v>
      </c>
      <c r="Q23" s="249">
        <f>+'P01 2024'!DJ15</f>
        <v>11649.560000000001</v>
      </c>
      <c r="R23" s="249">
        <f>SUMIF(T$3:$AM$3,"SI",T23:AM23)</f>
        <v>8327.2774180000015</v>
      </c>
      <c r="S23" s="379">
        <f t="shared" si="8"/>
        <v>0.71481475849731668</v>
      </c>
      <c r="T23" s="326">
        <f>+'P01 2025'!G16</f>
        <v>1045.6559999999999</v>
      </c>
      <c r="U23" s="468">
        <f>+'P01 2024'!K15</f>
        <v>1040.0920980000001</v>
      </c>
      <c r="V23" s="468">
        <f>+'P01 2025'!N14</f>
        <v>1045.6559999999999</v>
      </c>
      <c r="W23" s="326">
        <f>+'P01 2024'!Q14</f>
        <v>1040.0920980000001</v>
      </c>
      <c r="X23" s="326">
        <f>+'P01 2025'!AC15</f>
        <v>1045.6559999999999</v>
      </c>
      <c r="Y23" s="249">
        <f>+'P01 2024'!AE15</f>
        <v>1040.0920980000001</v>
      </c>
      <c r="Z23" s="249">
        <f>+'P01 2025'!AR15</f>
        <v>1045.6559999999999</v>
      </c>
      <c r="AA23" s="249">
        <f>+'P01 2024'!AT14</f>
        <v>1040.0920980000001</v>
      </c>
      <c r="AB23" s="249">
        <f>'P01 2025'!BF14</f>
        <v>917.85400000000004</v>
      </c>
      <c r="AC23" s="249">
        <f>+'P01 2024'!BI14</f>
        <v>1040.0920980000001</v>
      </c>
      <c r="AD23" s="249">
        <f>+'P01 2025'!BU15</f>
        <v>1052.3489999999999</v>
      </c>
      <c r="AE23" s="249">
        <f>+'P01 2024'!BX15</f>
        <v>1045.293762</v>
      </c>
      <c r="AF23" s="249">
        <f>+'P01 2025'!CI14</f>
        <v>1052.3489999999999</v>
      </c>
      <c r="AG23" s="249">
        <f>+'P01 2024'!CM15</f>
        <v>1043.278534</v>
      </c>
      <c r="AH23" s="249">
        <f>+'P01 2025'!CX15</f>
        <v>1063.9670000000001</v>
      </c>
      <c r="AI23" s="175">
        <f>+'P01 2024'!DB15</f>
        <v>1038.2446319999999</v>
      </c>
      <c r="AJ23" s="249">
        <f>+'P01 2024'!DR15</f>
        <v>1003.1609999999999</v>
      </c>
      <c r="AK23" s="249">
        <f>'P01 2024'!EG15</f>
        <v>1002.817</v>
      </c>
      <c r="AL23" s="175">
        <f>+'P01 2024'!ET14</f>
        <v>1003.1609999999999</v>
      </c>
      <c r="AM23" s="175">
        <f>+'P01 2024'!FL15</f>
        <v>1031.7190000000001</v>
      </c>
      <c r="AN23" s="1194"/>
      <c r="AO23" s="151"/>
      <c r="AP23" s="151"/>
      <c r="AQ23" s="151"/>
      <c r="AR23" s="151"/>
      <c r="AS23" s="151"/>
      <c r="AT23" s="151"/>
      <c r="AU23" s="151"/>
      <c r="AV23" s="151"/>
      <c r="AW23" s="1195"/>
      <c r="AX23" s="1196"/>
      <c r="AY23" s="148"/>
      <c r="AZ23" s="151"/>
      <c r="BA23" s="151"/>
      <c r="BB23" s="1172"/>
      <c r="BC23" s="151"/>
      <c r="BD23" s="151"/>
      <c r="BE23" s="1171"/>
      <c r="BF23" s="1171"/>
      <c r="BG23" s="1171"/>
      <c r="BH23" s="1171"/>
      <c r="BI23" s="151"/>
      <c r="BJ23" s="156"/>
      <c r="BK23" s="156"/>
      <c r="BL23" s="594"/>
      <c r="BM23" s="594"/>
      <c r="BN23" s="594"/>
      <c r="BO23" s="594"/>
      <c r="BP23" s="185"/>
      <c r="BQ23" s="156"/>
      <c r="BR23" s="594"/>
      <c r="BS23" s="594"/>
      <c r="BT23" s="594"/>
      <c r="BU23" s="594"/>
      <c r="BV23" s="156"/>
      <c r="BW23" s="158"/>
      <c r="BX23" s="185"/>
      <c r="BY23" s="185"/>
      <c r="BZ23" s="185"/>
      <c r="CA23" s="185"/>
      <c r="CB23" s="156"/>
      <c r="CC23" s="158"/>
      <c r="CD23" s="157"/>
      <c r="CE23" s="159"/>
      <c r="CF23" s="159"/>
    </row>
    <row r="24" spans="1:84" s="320" customFormat="1" ht="15" hidden="1" customHeight="1" x14ac:dyDescent="0.25">
      <c r="A24" s="329"/>
      <c r="B24" s="952" t="s">
        <v>818</v>
      </c>
      <c r="C24" s="955"/>
      <c r="D24" s="794"/>
      <c r="E24" s="933"/>
      <c r="F24" s="316">
        <v>998</v>
      </c>
      <c r="G24" s="315" t="str">
        <f t="shared" si="9"/>
        <v>21.01.001.0998</v>
      </c>
      <c r="H24" s="501" t="s">
        <v>825</v>
      </c>
      <c r="I24" s="317">
        <v>0</v>
      </c>
      <c r="J24" s="317">
        <v>0</v>
      </c>
      <c r="K24" s="312">
        <f ca="1">SUMIF(T$3:$AM14,"ok",T24:AM24)</f>
        <v>0</v>
      </c>
      <c r="L24" s="379">
        <f t="shared" ca="1" si="3"/>
        <v>0</v>
      </c>
      <c r="M24" s="317">
        <v>0</v>
      </c>
      <c r="N24" s="379">
        <f t="shared" si="5"/>
        <v>0</v>
      </c>
      <c r="O24" s="317">
        <f t="shared" si="6"/>
        <v>0</v>
      </c>
      <c r="P24" s="445">
        <f t="shared" si="7"/>
        <v>0</v>
      </c>
      <c r="Q24" s="249">
        <f>+'P01 2024'!DJ16</f>
        <v>18078.7</v>
      </c>
      <c r="R24" s="249">
        <f>SUMIF(T$3:$AM$3,"SI",T24:AM24)</f>
        <v>0</v>
      </c>
      <c r="S24" s="379">
        <f t="shared" si="8"/>
        <v>0</v>
      </c>
      <c r="T24" s="326">
        <v>0</v>
      </c>
      <c r="U24" s="468">
        <v>0</v>
      </c>
      <c r="V24" s="468">
        <v>0</v>
      </c>
      <c r="W24" s="326">
        <v>0</v>
      </c>
      <c r="X24" s="326">
        <v>0</v>
      </c>
      <c r="Y24" s="249">
        <v>0</v>
      </c>
      <c r="Z24" s="249">
        <v>0</v>
      </c>
      <c r="AA24" s="249">
        <v>0</v>
      </c>
      <c r="AB24" s="249">
        <v>0</v>
      </c>
      <c r="AC24" s="249">
        <v>0</v>
      </c>
      <c r="AD24" s="249">
        <v>0</v>
      </c>
      <c r="AE24" s="249">
        <v>0</v>
      </c>
      <c r="AF24" s="249">
        <v>0</v>
      </c>
      <c r="AG24" s="249">
        <v>0</v>
      </c>
      <c r="AH24" s="249">
        <v>0</v>
      </c>
      <c r="AI24" s="175">
        <v>0</v>
      </c>
      <c r="AJ24" s="249">
        <v>0</v>
      </c>
      <c r="AK24" s="249">
        <v>0</v>
      </c>
      <c r="AL24" s="175">
        <v>0</v>
      </c>
      <c r="AM24" s="175">
        <v>0</v>
      </c>
      <c r="AN24" s="1139"/>
      <c r="AO24" s="156"/>
      <c r="AP24" s="156"/>
      <c r="AQ24" s="156"/>
      <c r="AR24" s="156"/>
      <c r="AS24" s="156"/>
      <c r="AT24" s="156"/>
      <c r="AU24" s="156"/>
      <c r="AV24" s="156"/>
      <c r="AW24" s="1140"/>
      <c r="AX24" s="1197"/>
      <c r="AY24" s="148"/>
      <c r="AZ24" s="151"/>
      <c r="BA24" s="151"/>
      <c r="BB24" s="1172"/>
      <c r="BC24" s="151"/>
      <c r="BD24" s="151"/>
      <c r="BE24" s="1171"/>
      <c r="BF24" s="1171"/>
      <c r="BG24" s="1171"/>
      <c r="BH24" s="1171"/>
      <c r="BI24" s="151"/>
      <c r="BJ24" s="156"/>
      <c r="BK24" s="156"/>
      <c r="BL24" s="594"/>
      <c r="BM24" s="594"/>
      <c r="BN24" s="594"/>
      <c r="BO24" s="594"/>
      <c r="BP24" s="185"/>
      <c r="BQ24" s="156"/>
      <c r="BR24" s="594"/>
      <c r="BS24" s="594"/>
      <c r="BT24" s="594"/>
      <c r="BU24" s="594"/>
      <c r="BV24" s="156"/>
      <c r="BW24" s="158"/>
      <c r="BX24" s="185"/>
      <c r="BY24" s="185"/>
      <c r="BZ24" s="185"/>
      <c r="CA24" s="185"/>
      <c r="CB24" s="156"/>
      <c r="CC24" s="158"/>
      <c r="CD24" s="157"/>
      <c r="CE24" s="159"/>
      <c r="CF24" s="159"/>
    </row>
    <row r="25" spans="1:84" s="320" customFormat="1" ht="15" hidden="1" customHeight="1" x14ac:dyDescent="0.25">
      <c r="A25" s="329"/>
      <c r="B25" s="952" t="s">
        <v>766</v>
      </c>
      <c r="C25" s="955"/>
      <c r="D25" s="794"/>
      <c r="E25" s="933"/>
      <c r="F25" s="316">
        <v>999</v>
      </c>
      <c r="G25" s="315" t="str">
        <f t="shared" si="9"/>
        <v>21.01.001.0999</v>
      </c>
      <c r="H25" s="501" t="s">
        <v>769</v>
      </c>
      <c r="I25" s="246">
        <v>0</v>
      </c>
      <c r="J25" s="330">
        <v>0</v>
      </c>
      <c r="K25" s="317">
        <f ca="1">SUMIF(T$3:$AM15,"ok",T25:AM25)</f>
        <v>0</v>
      </c>
      <c r="L25" s="379">
        <f t="shared" ca="1" si="3"/>
        <v>0</v>
      </c>
      <c r="M25" s="317">
        <v>0</v>
      </c>
      <c r="N25" s="379">
        <f t="shared" si="5"/>
        <v>0</v>
      </c>
      <c r="O25" s="317">
        <f t="shared" si="6"/>
        <v>0</v>
      </c>
      <c r="P25" s="445">
        <f t="shared" si="7"/>
        <v>0</v>
      </c>
      <c r="Q25" s="249">
        <v>0</v>
      </c>
      <c r="R25" s="249">
        <f>SUMIF(T$3:$AM$3,"SI",T25:AM25)</f>
        <v>0</v>
      </c>
      <c r="S25" s="379" t="str">
        <f t="shared" si="8"/>
        <v>0,00%</v>
      </c>
      <c r="T25" s="326">
        <v>0</v>
      </c>
      <c r="U25" s="468">
        <v>0</v>
      </c>
      <c r="V25" s="468">
        <v>0</v>
      </c>
      <c r="W25" s="326">
        <v>0</v>
      </c>
      <c r="X25" s="326">
        <v>0</v>
      </c>
      <c r="Y25" s="249">
        <v>0</v>
      </c>
      <c r="Z25" s="249">
        <v>0</v>
      </c>
      <c r="AA25" s="249">
        <v>0</v>
      </c>
      <c r="AB25" s="249">
        <v>0</v>
      </c>
      <c r="AC25" s="249">
        <v>0</v>
      </c>
      <c r="AD25" s="249">
        <v>0</v>
      </c>
      <c r="AE25" s="249">
        <v>0</v>
      </c>
      <c r="AF25" s="249">
        <v>0</v>
      </c>
      <c r="AG25" s="249">
        <v>0</v>
      </c>
      <c r="AH25" s="249">
        <v>0</v>
      </c>
      <c r="AI25" s="175">
        <v>0</v>
      </c>
      <c r="AJ25" s="249">
        <v>0</v>
      </c>
      <c r="AK25" s="249">
        <v>0</v>
      </c>
      <c r="AL25" s="175">
        <v>0</v>
      </c>
      <c r="AM25" s="175">
        <v>0</v>
      </c>
      <c r="AN25" s="1139"/>
      <c r="AO25" s="156"/>
      <c r="AP25" s="156"/>
      <c r="AQ25" s="156"/>
      <c r="AR25" s="156"/>
      <c r="AS25" s="156"/>
      <c r="AT25" s="156"/>
      <c r="AU25" s="156"/>
      <c r="AV25" s="156"/>
      <c r="AW25" s="1140"/>
      <c r="AX25" s="1197"/>
      <c r="AY25" s="148"/>
      <c r="AZ25" s="151"/>
      <c r="BA25" s="151"/>
      <c r="BB25" s="1172"/>
      <c r="BC25" s="151"/>
      <c r="BD25" s="151"/>
      <c r="BE25" s="1171"/>
      <c r="BF25" s="1171"/>
      <c r="BG25" s="1171"/>
      <c r="BH25" s="1171"/>
      <c r="BI25" s="151"/>
      <c r="BJ25" s="156"/>
      <c r="BK25" s="156"/>
      <c r="BL25" s="594"/>
      <c r="BM25" s="594"/>
      <c r="BN25" s="594"/>
      <c r="BO25" s="594"/>
      <c r="BP25" s="185"/>
      <c r="BQ25" s="156"/>
      <c r="BR25" s="594"/>
      <c r="BS25" s="594"/>
      <c r="BT25" s="594"/>
      <c r="BU25" s="594"/>
      <c r="BV25" s="156"/>
      <c r="BW25" s="158"/>
      <c r="BX25" s="185"/>
      <c r="BY25" s="185"/>
      <c r="BZ25" s="185"/>
      <c r="CA25" s="185"/>
      <c r="CB25" s="156"/>
      <c r="CC25" s="158"/>
      <c r="CD25" s="157"/>
      <c r="CE25" s="159"/>
      <c r="CF25" s="159"/>
    </row>
    <row r="26" spans="1:84" s="308" customFormat="1" ht="15" hidden="1" customHeight="1" x14ac:dyDescent="0.25">
      <c r="A26" s="84"/>
      <c r="B26" s="169" t="s">
        <v>341</v>
      </c>
      <c r="C26" s="508"/>
      <c r="D26" s="172"/>
      <c r="E26" s="38" t="s">
        <v>154</v>
      </c>
      <c r="F26" s="38"/>
      <c r="G26" s="38"/>
      <c r="H26" s="403" t="s">
        <v>28</v>
      </c>
      <c r="I26" s="145">
        <f>+'P01 2025'!F17</f>
        <v>19540.34</v>
      </c>
      <c r="J26" s="306">
        <f>+'P01 2025'!DE17</f>
        <v>19540.34</v>
      </c>
      <c r="K26" s="306">
        <f ca="1">SUMIF(T$3:$AM18,"ok",T26:AM26)</f>
        <v>10337.264999999999</v>
      </c>
      <c r="L26" s="378">
        <f t="shared" ca="1" si="3"/>
        <v>0.52902175704209853</v>
      </c>
      <c r="M26" s="306">
        <f>SUM(M27:M28)</f>
        <v>10337.265000000001</v>
      </c>
      <c r="N26" s="378">
        <f t="shared" si="5"/>
        <v>0.52902175704209864</v>
      </c>
      <c r="O26" s="306">
        <f t="shared" si="6"/>
        <v>9203.0749999999989</v>
      </c>
      <c r="P26" s="443">
        <f t="shared" si="7"/>
        <v>0.47097824295790142</v>
      </c>
      <c r="Q26" s="307">
        <f>+'P01 2024'!DJ17</f>
        <v>22653.08</v>
      </c>
      <c r="R26" s="86">
        <f>SUMIF(T$3:$AM$3,"SI",T26:AM26)</f>
        <v>13821.204704</v>
      </c>
      <c r="S26" s="378">
        <f t="shared" si="8"/>
        <v>0.61012474701011954</v>
      </c>
      <c r="T26" s="509">
        <f>+'P01 2025'!G17</f>
        <v>1334.019</v>
      </c>
      <c r="U26" s="467">
        <f>+'P01 2024'!K17</f>
        <v>1649.8569520000001</v>
      </c>
      <c r="V26" s="467">
        <f>+'P01 2025'!N15</f>
        <v>1104.1969999999999</v>
      </c>
      <c r="W26" s="86">
        <f>+'P01 2024'!Q15</f>
        <v>1894.5133420000002</v>
      </c>
      <c r="X26" s="86">
        <f>+'P01 2025'!AC16</f>
        <v>1381.6489999999999</v>
      </c>
      <c r="Y26" s="86">
        <f>+'P01 2024'!AE16</f>
        <v>1790.440466</v>
      </c>
      <c r="Z26" s="86">
        <f>+'P01 2025'!AR16</f>
        <v>1230.508</v>
      </c>
      <c r="AA26" s="86">
        <f>+'P01 2024'!AT15</f>
        <v>1725.865642</v>
      </c>
      <c r="AB26" s="86">
        <f>SUM(AB27:AB28)</f>
        <v>1084.8119999999999</v>
      </c>
      <c r="AC26" s="86">
        <f>+'P01 2024'!BI15</f>
        <v>1651.4314140000001</v>
      </c>
      <c r="AD26" s="86">
        <f>+'P01 2025'!BU16</f>
        <v>1468.1179999999999</v>
      </c>
      <c r="AE26" s="86">
        <f>+'P01 2024'!BX16</f>
        <v>1896.2545239999999</v>
      </c>
      <c r="AF26" s="86">
        <f>+'P01 2025'!CI15</f>
        <v>1256.5150000000001</v>
      </c>
      <c r="AG26" s="86">
        <f>+'P01 2024'!CM16</f>
        <v>1621.436402</v>
      </c>
      <c r="AH26" s="86">
        <f>+'P01 2025'!CX16</f>
        <v>1477.4469999999999</v>
      </c>
      <c r="AI26" s="86">
        <f>+'P01 2024'!DB16</f>
        <v>1591.405962</v>
      </c>
      <c r="AJ26" s="86">
        <f>+'P01 2024'!DR16</f>
        <v>1750.7360000000001</v>
      </c>
      <c r="AK26" s="86">
        <f>SUM(AK27:AK28)</f>
        <v>1432.355</v>
      </c>
      <c r="AL26" s="86">
        <f>+'P01 2024'!ET15</f>
        <v>1439.53</v>
      </c>
      <c r="AM26" s="86">
        <f>+'P01 2024'!FL16</f>
        <v>1652.069</v>
      </c>
      <c r="AN26" s="1194"/>
      <c r="AO26" s="151"/>
      <c r="AP26" s="151"/>
      <c r="AQ26" s="151"/>
      <c r="AR26" s="151"/>
      <c r="AS26" s="151"/>
      <c r="AT26" s="151"/>
      <c r="AU26" s="151"/>
      <c r="AV26" s="151"/>
      <c r="AW26" s="1195"/>
      <c r="AX26" s="1196"/>
      <c r="AY26" s="148"/>
      <c r="AZ26" s="151"/>
      <c r="BA26" s="151"/>
      <c r="BB26" s="1172"/>
      <c r="BC26" s="151"/>
      <c r="BD26" s="151"/>
      <c r="BE26" s="1171"/>
      <c r="BF26" s="1171"/>
      <c r="BG26" s="1171"/>
      <c r="BH26" s="1171"/>
      <c r="BI26" s="1171"/>
      <c r="BJ26" s="932"/>
      <c r="BK26" s="156"/>
      <c r="BL26" s="594"/>
      <c r="BM26" s="594"/>
      <c r="BN26" s="594"/>
      <c r="BO26" s="594"/>
      <c r="BP26" s="185"/>
      <c r="BQ26" s="156"/>
      <c r="BR26" s="594"/>
      <c r="BS26" s="594"/>
      <c r="BT26" s="594"/>
      <c r="BU26" s="594"/>
      <c r="BV26" s="156"/>
      <c r="BW26" s="158"/>
      <c r="BX26" s="185"/>
      <c r="BY26" s="185"/>
      <c r="BZ26" s="185"/>
      <c r="CA26" s="185"/>
      <c r="CB26" s="151"/>
      <c r="CC26" s="148"/>
      <c r="CD26" s="123"/>
      <c r="CE26" s="152"/>
      <c r="CF26" s="152"/>
    </row>
    <row r="27" spans="1:84" s="320" customFormat="1" ht="15" hidden="1" customHeight="1" x14ac:dyDescent="0.25">
      <c r="A27" s="329"/>
      <c r="B27" s="952" t="s">
        <v>525</v>
      </c>
      <c r="C27" s="955"/>
      <c r="D27" s="794"/>
      <c r="E27" s="933"/>
      <c r="F27" s="316">
        <v>1</v>
      </c>
      <c r="G27" s="315" t="str">
        <f>+CONCATENATE($C$10,"",$D$11,"",$E$26,"00",F27)</f>
        <v>21.01.002.001</v>
      </c>
      <c r="H27" s="501" t="s">
        <v>29</v>
      </c>
      <c r="I27" s="317">
        <f>+'P01 2025'!F18</f>
        <v>1667.615</v>
      </c>
      <c r="J27" s="317">
        <f>+'P01 2025'!DE18</f>
        <v>1667.615</v>
      </c>
      <c r="K27" s="312">
        <f ca="1">SUMIF(T$3:$AM19,"ok",T27:AM27)</f>
        <v>855.78899999999999</v>
      </c>
      <c r="L27" s="379">
        <f t="shared" ca="1" si="3"/>
        <v>0.51318139978352317</v>
      </c>
      <c r="M27" s="317">
        <f>'P01 2025'!DG18</f>
        <v>855.78899999999999</v>
      </c>
      <c r="N27" s="379">
        <f t="shared" si="5"/>
        <v>0.51318139978352317</v>
      </c>
      <c r="O27" s="317">
        <f t="shared" si="6"/>
        <v>811.82600000000002</v>
      </c>
      <c r="P27" s="445">
        <f t="shared" si="7"/>
        <v>0.48681860021647683</v>
      </c>
      <c r="Q27" s="249">
        <f>+'P01 2024'!DJ18</f>
        <v>1635.94</v>
      </c>
      <c r="R27" s="249">
        <f>SUMIF(T$3:$AM$3,"SI",T27:AM27)</f>
        <v>1193.6933180000001</v>
      </c>
      <c r="S27" s="379">
        <f t="shared" si="8"/>
        <v>0.72966815286624209</v>
      </c>
      <c r="T27" s="326">
        <f>+'P01 2025'!G18</f>
        <v>130.50899999999999</v>
      </c>
      <c r="U27" s="468">
        <f>+'P01 2024'!K18</f>
        <v>0</v>
      </c>
      <c r="V27" s="468">
        <v>0</v>
      </c>
      <c r="W27" s="326">
        <f>+'P01 2024'!Q16</f>
        <v>362.641008</v>
      </c>
      <c r="X27" s="326">
        <f>+'P01 2025'!AC17</f>
        <v>241.76</v>
      </c>
      <c r="Y27" s="249">
        <v>0</v>
      </c>
      <c r="Z27" s="249">
        <f>+'P01 2025'!AR17</f>
        <v>105.77</v>
      </c>
      <c r="AA27" s="249">
        <f>+'P01 2024'!AT16</f>
        <v>181.320504</v>
      </c>
      <c r="AB27" s="249">
        <v>0</v>
      </c>
      <c r="AC27" s="249">
        <f>+'P01 2024'!BI16</f>
        <v>181.320504</v>
      </c>
      <c r="AD27" s="249">
        <f>+'P01 2025'!BU17</f>
        <v>196.43</v>
      </c>
      <c r="AE27" s="249">
        <f>+'P01 2024'!BX17</f>
        <v>166.21046200000001</v>
      </c>
      <c r="AF27" s="249">
        <f>+'P01 2025'!CI16</f>
        <v>90.66</v>
      </c>
      <c r="AG27" s="249">
        <f>+'P01 2024'!CM17</f>
        <v>166.21046200000001</v>
      </c>
      <c r="AH27" s="249">
        <f>+'P01 2025'!CX17</f>
        <v>90.66</v>
      </c>
      <c r="AI27" s="175">
        <f>+'P01 2024'!DB17</f>
        <v>135.99037799999999</v>
      </c>
      <c r="AJ27" s="249">
        <f>+'P01 2024'!DR17</f>
        <v>130.50899999999999</v>
      </c>
      <c r="AK27" s="249">
        <f>'P01 2024'!EG17</f>
        <v>130.50899999999999</v>
      </c>
      <c r="AL27" s="175">
        <f>+'P01 2024'!ET16</f>
        <v>130.50899999999999</v>
      </c>
      <c r="AM27" s="175">
        <f>+'P01 2024'!FL17</f>
        <v>130.50899999999999</v>
      </c>
      <c r="AN27" s="1194"/>
      <c r="AO27" s="151"/>
      <c r="AP27" s="151"/>
      <c r="AQ27" s="151"/>
      <c r="AR27" s="151"/>
      <c r="AS27" s="151"/>
      <c r="AT27" s="151"/>
      <c r="AU27" s="151"/>
      <c r="AV27" s="151"/>
      <c r="AW27" s="1195"/>
      <c r="AX27" s="1196"/>
      <c r="AY27" s="148"/>
      <c r="AZ27" s="151"/>
      <c r="BA27" s="151"/>
      <c r="BB27" s="1172"/>
      <c r="BC27" s="151"/>
      <c r="BD27" s="151"/>
      <c r="BE27" s="1171"/>
      <c r="BF27" s="1171"/>
      <c r="BG27" s="1171"/>
      <c r="BH27" s="1171"/>
      <c r="BI27" s="151"/>
      <c r="BJ27" s="156"/>
      <c r="BK27" s="156"/>
      <c r="BL27" s="594"/>
      <c r="BM27" s="594"/>
      <c r="BN27" s="594"/>
      <c r="BO27" s="594"/>
      <c r="BP27" s="185"/>
      <c r="BQ27" s="156"/>
      <c r="BR27" s="594"/>
      <c r="BS27" s="594"/>
      <c r="BT27" s="594"/>
      <c r="BU27" s="594"/>
      <c r="BV27" s="156"/>
      <c r="BW27" s="158"/>
      <c r="BX27" s="185"/>
      <c r="BY27" s="185"/>
      <c r="BZ27" s="185"/>
      <c r="CA27" s="185"/>
      <c r="CB27" s="156"/>
      <c r="CC27" s="158"/>
      <c r="CD27" s="157"/>
      <c r="CE27" s="159"/>
      <c r="CF27" s="159"/>
    </row>
    <row r="28" spans="1:84" s="320" customFormat="1" ht="15" hidden="1" customHeight="1" x14ac:dyDescent="0.25">
      <c r="A28" s="329"/>
      <c r="B28" s="952" t="s">
        <v>526</v>
      </c>
      <c r="C28" s="955"/>
      <c r="D28" s="794"/>
      <c r="E28" s="933"/>
      <c r="F28" s="316">
        <v>2</v>
      </c>
      <c r="G28" s="315" t="str">
        <f>+CONCATENATE($C$10,"",$D$11,"",$E$26,"00",F28)</f>
        <v>21.01.002.002</v>
      </c>
      <c r="H28" s="501" t="s">
        <v>30</v>
      </c>
      <c r="I28" s="317">
        <f>+'P01 2025'!F19</f>
        <v>17872.724999999999</v>
      </c>
      <c r="J28" s="317">
        <f>+'P01 2025'!DE19</f>
        <v>17872.724999999999</v>
      </c>
      <c r="K28" s="312">
        <f ca="1">SUMIF(T$3:$AM20,"ok",T28:AM28)</f>
        <v>9481.4760000000006</v>
      </c>
      <c r="L28" s="379">
        <f t="shared" ca="1" si="3"/>
        <v>0.53049974192519611</v>
      </c>
      <c r="M28" s="317">
        <f>'P01 2025'!DG19</f>
        <v>9481.4760000000006</v>
      </c>
      <c r="N28" s="379">
        <f t="shared" si="5"/>
        <v>0.53049974192519611</v>
      </c>
      <c r="O28" s="317">
        <f t="shared" si="6"/>
        <v>8391.248999999998</v>
      </c>
      <c r="P28" s="445">
        <f t="shared" si="7"/>
        <v>0.46950025807480383</v>
      </c>
      <c r="Q28" s="249">
        <f>+'P01 2024'!DJ19</f>
        <v>21017.14</v>
      </c>
      <c r="R28" s="249">
        <f>SUMIF(T$3:$AM$3,"SI",T28:AM28)</f>
        <v>12627.511386</v>
      </c>
      <c r="S28" s="379">
        <f t="shared" si="8"/>
        <v>0.60081968269707486</v>
      </c>
      <c r="T28" s="326">
        <f>+'P01 2025'!G19</f>
        <v>1203.51</v>
      </c>
      <c r="U28" s="468">
        <f>+'P01 2024'!K19</f>
        <v>1649.8569520000001</v>
      </c>
      <c r="V28" s="468">
        <f>+'P01 2025'!N16</f>
        <v>1104.1969999999999</v>
      </c>
      <c r="W28" s="326">
        <f>+'P01 2024'!Q17</f>
        <v>1531.8723339999999</v>
      </c>
      <c r="X28" s="326">
        <f>+'P01 2025'!AC18</f>
        <v>1139.8889999999999</v>
      </c>
      <c r="Y28" s="249">
        <f>+'P01 2024'!AE17</f>
        <v>1790.440466</v>
      </c>
      <c r="Z28" s="249">
        <f>+'P01 2025'!AR18</f>
        <v>1124.7380000000001</v>
      </c>
      <c r="AA28" s="249">
        <f>+'P01 2024'!AT17</f>
        <v>1544.545138</v>
      </c>
      <c r="AB28" s="249">
        <f>'P01 2025'!BF16</f>
        <v>1084.8119999999999</v>
      </c>
      <c r="AC28" s="249">
        <f>+'P01 2024'!BI17</f>
        <v>1470.1109100000001</v>
      </c>
      <c r="AD28" s="249">
        <f>+'P01 2025'!BU18</f>
        <v>1271.6880000000001</v>
      </c>
      <c r="AE28" s="249">
        <f>+'P01 2024'!BX18</f>
        <v>1730.0440619999999</v>
      </c>
      <c r="AF28" s="249">
        <f>+'P01 2025'!CI17</f>
        <v>1165.855</v>
      </c>
      <c r="AG28" s="249">
        <f>+'P01 2024'!CM18</f>
        <v>1455.22594</v>
      </c>
      <c r="AH28" s="249">
        <f>+'P01 2025'!CX18</f>
        <v>1386.787</v>
      </c>
      <c r="AI28" s="175">
        <f>+'P01 2024'!DB18</f>
        <v>1455.4155840000001</v>
      </c>
      <c r="AJ28" s="249">
        <f>+'P01 2024'!DR18</f>
        <v>1620.2270000000001</v>
      </c>
      <c r="AK28" s="249">
        <f>+'P01 2024'!EG18</f>
        <v>1301.846</v>
      </c>
      <c r="AL28" s="175">
        <f>+'P01 2024'!ET17</f>
        <v>1309.021</v>
      </c>
      <c r="AM28" s="175">
        <f>+'P01 2024'!FL18</f>
        <v>1521.56</v>
      </c>
      <c r="AN28" s="1194"/>
      <c r="AO28" s="151"/>
      <c r="AP28" s="151"/>
      <c r="AQ28" s="151"/>
      <c r="AR28" s="151"/>
      <c r="AS28" s="151"/>
      <c r="AT28" s="151"/>
      <c r="AU28" s="151"/>
      <c r="AV28" s="151"/>
      <c r="AW28" s="1195"/>
      <c r="AX28" s="1196"/>
      <c r="AY28" s="148"/>
      <c r="AZ28" s="151"/>
      <c r="BA28" s="151"/>
      <c r="BB28" s="1172"/>
      <c r="BC28" s="151"/>
      <c r="BD28" s="151"/>
      <c r="BE28" s="1171"/>
      <c r="BF28" s="1171"/>
      <c r="BG28" s="1171"/>
      <c r="BH28" s="1171"/>
      <c r="BI28" s="151"/>
      <c r="BJ28" s="156"/>
      <c r="BK28" s="156"/>
      <c r="BL28" s="594"/>
      <c r="BM28" s="594"/>
      <c r="BN28" s="594"/>
      <c r="BO28" s="594"/>
      <c r="BP28" s="185"/>
      <c r="BQ28" s="156"/>
      <c r="BR28" s="594"/>
      <c r="BS28" s="594"/>
      <c r="BT28" s="594"/>
      <c r="BU28" s="594"/>
      <c r="BV28" s="156"/>
      <c r="BW28" s="158"/>
      <c r="BX28" s="185"/>
      <c r="BY28" s="185"/>
      <c r="BZ28" s="185"/>
      <c r="CA28" s="185"/>
      <c r="CB28" s="156"/>
      <c r="CC28" s="158"/>
      <c r="CD28" s="157"/>
      <c r="CE28" s="159"/>
      <c r="CF28" s="159"/>
    </row>
    <row r="29" spans="1:84" s="308" customFormat="1" ht="15" hidden="1" customHeight="1" x14ac:dyDescent="0.25">
      <c r="A29" s="84"/>
      <c r="B29" s="169" t="s">
        <v>527</v>
      </c>
      <c r="C29" s="508"/>
      <c r="D29" s="172"/>
      <c r="E29" s="309" t="s">
        <v>155</v>
      </c>
      <c r="F29" s="309"/>
      <c r="G29" s="309"/>
      <c r="H29" s="512" t="s">
        <v>31</v>
      </c>
      <c r="I29" s="145">
        <f>+'P01 2025'!F20</f>
        <v>56619.78</v>
      </c>
      <c r="J29" s="306">
        <f>+'P01 2025'!DE20</f>
        <v>56619.78</v>
      </c>
      <c r="K29" s="306">
        <f ca="1">SUMIF(T$3:$AM21,"ok",T29:AM29)</f>
        <v>23421.978999999999</v>
      </c>
      <c r="L29" s="378">
        <f t="shared" ca="1" si="3"/>
        <v>0.41367131769144988</v>
      </c>
      <c r="M29" s="306">
        <f>SUM(M30:M32)</f>
        <v>23421.978999999999</v>
      </c>
      <c r="N29" s="378">
        <f t="shared" si="5"/>
        <v>0.41367131769144988</v>
      </c>
      <c r="O29" s="306">
        <f t="shared" si="6"/>
        <v>33197.800999999999</v>
      </c>
      <c r="P29" s="443">
        <f t="shared" si="7"/>
        <v>0.58632868230855018</v>
      </c>
      <c r="Q29" s="307">
        <f>+'P01 2024'!DJ20</f>
        <v>61217.5</v>
      </c>
      <c r="R29" s="86">
        <f>SUMIF(T$3:$AM$3,"SI",T29:AM29)</f>
        <v>32004.984152000001</v>
      </c>
      <c r="S29" s="378">
        <f t="shared" si="8"/>
        <v>0.52280776170212773</v>
      </c>
      <c r="T29" s="509">
        <f>+'P01 2025'!G20</f>
        <v>0</v>
      </c>
      <c r="U29" s="467">
        <f>+'P01 2024'!K20</f>
        <v>0</v>
      </c>
      <c r="V29" s="467">
        <v>0</v>
      </c>
      <c r="W29" s="86">
        <v>0</v>
      </c>
      <c r="X29" s="86">
        <f>+'P01 2025'!AC19</f>
        <v>11798.235000000001</v>
      </c>
      <c r="Y29" s="86">
        <f>+'P01 2024'!AE18</f>
        <v>16435.538939999999</v>
      </c>
      <c r="Z29" s="86">
        <f>+'P01 2025'!AR19</f>
        <v>459.49799999999999</v>
      </c>
      <c r="AA29" s="86">
        <v>0</v>
      </c>
      <c r="AB29" s="86">
        <v>0</v>
      </c>
      <c r="AC29" s="86">
        <v>0</v>
      </c>
      <c r="AD29" s="86">
        <f>+'P01 2025'!BU19</f>
        <v>11155.268</v>
      </c>
      <c r="AE29" s="86">
        <f>+'P01 2024'!BX19</f>
        <v>15587.57497</v>
      </c>
      <c r="AF29" s="86">
        <v>0</v>
      </c>
      <c r="AG29" s="86">
        <f>+'P01 2024'!CM19</f>
        <v>-4.031498</v>
      </c>
      <c r="AH29" s="86">
        <f>+'P01 2025'!CX19</f>
        <v>8.9779999999999998</v>
      </c>
      <c r="AI29" s="86">
        <f>+'P01 2024'!DB19</f>
        <v>-14.09826</v>
      </c>
      <c r="AJ29" s="86">
        <f>+'P01 2024'!DR19</f>
        <v>12889.161</v>
      </c>
      <c r="AK29" s="86">
        <f>SUM(AK30:AK32)</f>
        <v>0</v>
      </c>
      <c r="AL29" s="86">
        <v>0</v>
      </c>
      <c r="AM29" s="86">
        <f>+'P01 2024'!FL19</f>
        <v>13012.587</v>
      </c>
      <c r="AN29" s="1194"/>
      <c r="AO29" s="151"/>
      <c r="AP29" s="151"/>
      <c r="AQ29" s="151"/>
      <c r="AR29" s="151"/>
      <c r="AS29" s="151"/>
      <c r="AT29" s="151"/>
      <c r="AU29" s="151"/>
      <c r="AV29" s="151"/>
      <c r="AW29" s="1195"/>
      <c r="AX29" s="1196"/>
      <c r="AY29" s="148"/>
      <c r="AZ29" s="151"/>
      <c r="BA29" s="151"/>
      <c r="BB29" s="1172"/>
      <c r="BC29" s="151"/>
      <c r="BD29" s="151"/>
      <c r="BE29" s="1171"/>
      <c r="BF29" s="1171"/>
      <c r="BG29" s="1171"/>
      <c r="BH29" s="1171"/>
      <c r="BI29" s="1171"/>
      <c r="BJ29" s="932"/>
      <c r="BK29" s="156"/>
      <c r="BL29" s="594"/>
      <c r="BM29" s="594"/>
      <c r="BN29" s="594"/>
      <c r="BO29" s="594"/>
      <c r="BP29" s="185"/>
      <c r="BQ29" s="156"/>
      <c r="BR29" s="594"/>
      <c r="BS29" s="594"/>
      <c r="BT29" s="594"/>
      <c r="BU29" s="594"/>
      <c r="BV29" s="156"/>
      <c r="BW29" s="158"/>
      <c r="BX29" s="185"/>
      <c r="BY29" s="185"/>
      <c r="BZ29" s="185"/>
      <c r="CA29" s="185"/>
      <c r="CB29" s="151"/>
      <c r="CC29" s="148"/>
      <c r="CD29" s="123"/>
      <c r="CE29" s="152"/>
      <c r="CF29" s="152"/>
    </row>
    <row r="30" spans="1:84" s="320" customFormat="1" ht="15" hidden="1" customHeight="1" x14ac:dyDescent="0.25">
      <c r="A30" s="329"/>
      <c r="B30" s="952" t="s">
        <v>528</v>
      </c>
      <c r="C30" s="955"/>
      <c r="D30" s="794"/>
      <c r="E30" s="933"/>
      <c r="F30" s="316">
        <v>1</v>
      </c>
      <c r="G30" s="315" t="str">
        <f>+CONCATENATE($C$10,"",$D$11,"",$E$29,"00",F30)</f>
        <v>21.01.003.001</v>
      </c>
      <c r="H30" s="501" t="s">
        <v>32</v>
      </c>
      <c r="I30" s="317">
        <f>+'P01 2025'!F21</f>
        <v>30187.928</v>
      </c>
      <c r="J30" s="317">
        <f>+'P01 2025'!DE21</f>
        <v>30187.928</v>
      </c>
      <c r="K30" s="312">
        <f ca="1">SUMIF(T$3:$AM22,"ok",T30:AM30)</f>
        <v>11886.954999999998</v>
      </c>
      <c r="L30" s="379">
        <f t="shared" ca="1" si="3"/>
        <v>0.39376518322158438</v>
      </c>
      <c r="M30" s="317">
        <f>+'P01 2025'!DG21</f>
        <v>11886.955</v>
      </c>
      <c r="N30" s="379">
        <f t="shared" si="5"/>
        <v>0.39376518322158449</v>
      </c>
      <c r="O30" s="317">
        <f t="shared" si="6"/>
        <v>18300.972999999998</v>
      </c>
      <c r="P30" s="445">
        <f t="shared" si="7"/>
        <v>0.60623481677841551</v>
      </c>
      <c r="Q30" s="249">
        <f>+'P01 2024'!DJ21</f>
        <v>31885.200000000001</v>
      </c>
      <c r="R30" s="249">
        <f>SUMIF(T$3:$AM$3,"SI",T30:AM30)</f>
        <v>16943.672324000003</v>
      </c>
      <c r="S30" s="379">
        <f t="shared" si="8"/>
        <v>0.53139614379084976</v>
      </c>
      <c r="T30" s="326">
        <f>+'P01 2025'!G21</f>
        <v>0</v>
      </c>
      <c r="U30" s="468">
        <f>+'P01 2024'!K21</f>
        <v>0</v>
      </c>
      <c r="V30" s="468">
        <v>0</v>
      </c>
      <c r="W30" s="326">
        <v>0</v>
      </c>
      <c r="X30" s="326">
        <f>+'P01 2025'!AC20</f>
        <v>5870.433</v>
      </c>
      <c r="Y30" s="249">
        <f>+'P01 2024'!AE19</f>
        <v>8682.4681260000016</v>
      </c>
      <c r="Z30" s="249">
        <f>+'P01 2025'!AR20</f>
        <v>223.858</v>
      </c>
      <c r="AA30" s="249">
        <v>0</v>
      </c>
      <c r="AB30" s="249">
        <v>0</v>
      </c>
      <c r="AC30" s="249">
        <v>0</v>
      </c>
      <c r="AD30" s="249">
        <f>+'P01 2025'!BU20</f>
        <v>5783.6859999999997</v>
      </c>
      <c r="AE30" s="249">
        <f>+'P01 2024'!BX20</f>
        <v>8270.2695980000008</v>
      </c>
      <c r="AF30" s="249">
        <v>0</v>
      </c>
      <c r="AG30" s="249">
        <f>+'P01 2024'!CM20</f>
        <v>-2.01627</v>
      </c>
      <c r="AH30" s="249">
        <f>+'P01 2025'!CX20</f>
        <v>8.9779999999999998</v>
      </c>
      <c r="AI30" s="175">
        <f>+'P01 2024'!DB20</f>
        <v>-7.0491299999999999</v>
      </c>
      <c r="AJ30" s="249">
        <f>+'P01 2024'!DR20</f>
        <v>6930.1469999999999</v>
      </c>
      <c r="AK30" s="249">
        <v>0</v>
      </c>
      <c r="AL30" s="175">
        <v>0</v>
      </c>
      <c r="AM30" s="175">
        <f>+'P01 2024'!FL20</f>
        <v>6995.5209999999997</v>
      </c>
      <c r="AN30" s="1194"/>
      <c r="AO30" s="151"/>
      <c r="AP30" s="151"/>
      <c r="AQ30" s="151"/>
      <c r="AR30" s="151"/>
      <c r="AS30" s="151"/>
      <c r="AT30" s="151"/>
      <c r="AU30" s="151"/>
      <c r="AV30" s="151"/>
      <c r="AW30" s="1195"/>
      <c r="AX30" s="1196"/>
      <c r="AY30" s="148"/>
      <c r="AZ30" s="151"/>
      <c r="BA30" s="151"/>
      <c r="BB30" s="1172"/>
      <c r="BC30" s="151"/>
      <c r="BD30" s="151"/>
      <c r="BE30" s="1171"/>
      <c r="BF30" s="1171"/>
      <c r="BG30" s="1171"/>
      <c r="BH30" s="1171"/>
      <c r="BI30" s="151"/>
      <c r="BJ30" s="156"/>
      <c r="BK30" s="156"/>
      <c r="BL30" s="594"/>
      <c r="BM30" s="594"/>
      <c r="BN30" s="594"/>
      <c r="BO30" s="594"/>
      <c r="BP30" s="185"/>
      <c r="BQ30" s="156"/>
      <c r="BR30" s="594"/>
      <c r="BS30" s="594"/>
      <c r="BT30" s="594"/>
      <c r="BU30" s="594"/>
      <c r="BV30" s="156"/>
      <c r="BW30" s="158"/>
      <c r="BX30" s="185"/>
      <c r="BY30" s="185"/>
      <c r="BZ30" s="185"/>
      <c r="CA30" s="185"/>
      <c r="CB30" s="156"/>
      <c r="CC30" s="158"/>
      <c r="CD30" s="157"/>
      <c r="CE30" s="159"/>
      <c r="CF30" s="159"/>
    </row>
    <row r="31" spans="1:84" s="320" customFormat="1" ht="15" hidden="1" customHeight="1" x14ac:dyDescent="0.25">
      <c r="A31" s="329"/>
      <c r="B31" s="952" t="s">
        <v>342</v>
      </c>
      <c r="C31" s="955"/>
      <c r="D31" s="794"/>
      <c r="E31" s="933"/>
      <c r="F31" s="316">
        <v>2</v>
      </c>
      <c r="G31" s="315" t="str">
        <f>+CONCATENATE($C$10,"",$D$11,"",$E$29,"00",F31)</f>
        <v>21.01.003.002</v>
      </c>
      <c r="H31" s="501" t="s">
        <v>33</v>
      </c>
      <c r="I31" s="317">
        <f>+'P01 2025'!F22</f>
        <v>26431.851999999999</v>
      </c>
      <c r="J31" s="317">
        <f>+'P01 2025'!DE22</f>
        <v>26431.851999999999</v>
      </c>
      <c r="K31" s="312">
        <f ca="1">SUMIF(T$3:$AM23,"ok",T31:AM31)</f>
        <v>11535.024000000001</v>
      </c>
      <c r="L31" s="379">
        <f t="shared" ca="1" si="3"/>
        <v>0.43640619658433322</v>
      </c>
      <c r="M31" s="317">
        <f>+'P01 2025'!DG22</f>
        <v>11535.023999999999</v>
      </c>
      <c r="N31" s="379">
        <f t="shared" si="5"/>
        <v>0.43640619658433316</v>
      </c>
      <c r="O31" s="317">
        <f t="shared" si="6"/>
        <v>14896.828</v>
      </c>
      <c r="P31" s="445">
        <f t="shared" si="7"/>
        <v>0.56359380341566678</v>
      </c>
      <c r="Q31" s="249">
        <f>+'P01 2024'!DJ22</f>
        <v>29332.3</v>
      </c>
      <c r="R31" s="249">
        <f>SUMIF(T$3:$AM$3,"SI",T31:AM31)</f>
        <v>15061.311828000002</v>
      </c>
      <c r="S31" s="379">
        <f t="shared" si="8"/>
        <v>0.51347190053285974</v>
      </c>
      <c r="T31" s="326">
        <f>+'P01 2025'!G22</f>
        <v>0</v>
      </c>
      <c r="U31" s="468">
        <f>+'P01 2024'!K22</f>
        <v>0</v>
      </c>
      <c r="V31" s="468">
        <v>0</v>
      </c>
      <c r="W31" s="326">
        <v>0</v>
      </c>
      <c r="X31" s="326">
        <f>+'P01 2025'!AC21</f>
        <v>5927.8019999999997</v>
      </c>
      <c r="Y31" s="249">
        <f>+'P01 2024'!AE20</f>
        <v>7753.0708140000006</v>
      </c>
      <c r="Z31" s="249">
        <f>+'P01 2025'!AR21</f>
        <v>235.64</v>
      </c>
      <c r="AA31" s="249">
        <v>0</v>
      </c>
      <c r="AB31" s="249">
        <v>0</v>
      </c>
      <c r="AC31" s="249">
        <v>0</v>
      </c>
      <c r="AD31" s="249">
        <f>+'P01 2025'!BU21</f>
        <v>5371.5820000000003</v>
      </c>
      <c r="AE31" s="249">
        <f>+'P01 2024'!BX21</f>
        <v>7317.3053719999998</v>
      </c>
      <c r="AF31" s="249">
        <v>0</v>
      </c>
      <c r="AG31" s="249">
        <f>+'P01 2024'!CM21</f>
        <v>-2.015228</v>
      </c>
      <c r="AH31" s="249">
        <v>0</v>
      </c>
      <c r="AI31" s="175">
        <f>+'P01 2024'!DB21</f>
        <v>-7.0491299999999999</v>
      </c>
      <c r="AJ31" s="249">
        <f>+'P01 2024'!DR21</f>
        <v>5959.0140000000001</v>
      </c>
      <c r="AK31" s="249">
        <v>0</v>
      </c>
      <c r="AL31" s="175">
        <v>0</v>
      </c>
      <c r="AM31" s="175">
        <f>+'P01 2024'!FL21</f>
        <v>6017.0659999999998</v>
      </c>
      <c r="AN31" s="1194"/>
      <c r="AO31" s="151"/>
      <c r="AP31" s="151"/>
      <c r="AQ31" s="151"/>
      <c r="AR31" s="151"/>
      <c r="AS31" s="151"/>
      <c r="AT31" s="151"/>
      <c r="AU31" s="151"/>
      <c r="AV31" s="151"/>
      <c r="AW31" s="1195"/>
      <c r="AX31" s="1196"/>
      <c r="AY31" s="148"/>
      <c r="AZ31" s="151"/>
      <c r="BA31" s="151"/>
      <c r="BB31" s="1172"/>
      <c r="BC31" s="151"/>
      <c r="BD31" s="151"/>
      <c r="BE31" s="1171"/>
      <c r="BF31" s="1171"/>
      <c r="BG31" s="1171"/>
      <c r="BH31" s="1171"/>
      <c r="BI31" s="151"/>
      <c r="BJ31" s="156"/>
      <c r="BK31" s="156"/>
      <c r="BL31" s="594"/>
      <c r="BM31" s="594"/>
      <c r="BN31" s="594"/>
      <c r="BO31" s="594"/>
      <c r="BP31" s="185"/>
      <c r="BQ31" s="156"/>
      <c r="BR31" s="594"/>
      <c r="BS31" s="594"/>
      <c r="BT31" s="594"/>
      <c r="BU31" s="594"/>
      <c r="BV31" s="156"/>
      <c r="BW31" s="158"/>
      <c r="BX31" s="185"/>
      <c r="BY31" s="185"/>
      <c r="BZ31" s="185"/>
      <c r="CA31" s="185"/>
      <c r="CB31" s="156"/>
      <c r="CC31" s="158"/>
      <c r="CD31" s="157"/>
      <c r="CE31" s="159"/>
      <c r="CF31" s="159"/>
    </row>
    <row r="32" spans="1:84" s="320" customFormat="1" ht="15" hidden="1" customHeight="1" x14ac:dyDescent="0.25">
      <c r="A32" s="329"/>
      <c r="B32" s="952" t="s">
        <v>939</v>
      </c>
      <c r="C32" s="955"/>
      <c r="D32" s="794"/>
      <c r="E32" s="933"/>
      <c r="F32" s="316">
        <v>3</v>
      </c>
      <c r="G32" s="315" t="str">
        <f>+CONCATENATE($C$10,"",$D$11,"",$E$29,"00",F32)</f>
        <v>21.01.003.003</v>
      </c>
      <c r="H32" s="501" t="s">
        <v>770</v>
      </c>
      <c r="I32" s="246">
        <v>0</v>
      </c>
      <c r="J32" s="330">
        <v>0</v>
      </c>
      <c r="K32" s="317">
        <f ca="1">SUMIF(T$3:$AM24,"ok",T32:AM32)</f>
        <v>0</v>
      </c>
      <c r="L32" s="379">
        <f t="shared" ca="1" si="3"/>
        <v>0</v>
      </c>
      <c r="M32" s="317">
        <v>0</v>
      </c>
      <c r="N32" s="379">
        <f t="shared" si="5"/>
        <v>0</v>
      </c>
      <c r="O32" s="317">
        <f t="shared" si="6"/>
        <v>0</v>
      </c>
      <c r="P32" s="445">
        <f t="shared" si="7"/>
        <v>0</v>
      </c>
      <c r="Q32" s="249">
        <v>0</v>
      </c>
      <c r="R32" s="311">
        <f ca="1">SUMIF(T$3:$AM23,"SI",T32:AM32)</f>
        <v>0</v>
      </c>
      <c r="S32" s="379" t="str">
        <f t="shared" ca="1" si="8"/>
        <v>0,00%</v>
      </c>
      <c r="T32" s="326">
        <v>0</v>
      </c>
      <c r="U32" s="468">
        <v>0</v>
      </c>
      <c r="V32" s="468">
        <v>0</v>
      </c>
      <c r="W32" s="326">
        <v>0</v>
      </c>
      <c r="X32" s="326">
        <v>0</v>
      </c>
      <c r="Y32" s="249">
        <v>0</v>
      </c>
      <c r="Z32" s="249">
        <v>0</v>
      </c>
      <c r="AA32" s="249">
        <v>0</v>
      </c>
      <c r="AB32" s="249">
        <v>0</v>
      </c>
      <c r="AC32" s="249">
        <v>0</v>
      </c>
      <c r="AD32" s="249">
        <v>0</v>
      </c>
      <c r="AE32" s="249">
        <v>0</v>
      </c>
      <c r="AF32" s="249">
        <v>0</v>
      </c>
      <c r="AG32" s="249">
        <v>0</v>
      </c>
      <c r="AH32" s="249">
        <v>0</v>
      </c>
      <c r="AI32" s="175">
        <v>0</v>
      </c>
      <c r="AJ32" s="249">
        <v>0</v>
      </c>
      <c r="AK32" s="249">
        <v>0</v>
      </c>
      <c r="AL32" s="175">
        <v>0</v>
      </c>
      <c r="AM32" s="175">
        <v>0</v>
      </c>
      <c r="AN32" s="1139"/>
      <c r="AO32" s="156"/>
      <c r="AP32" s="156"/>
      <c r="AQ32" s="156"/>
      <c r="AR32" s="156"/>
      <c r="AS32" s="156"/>
      <c r="AT32" s="156"/>
      <c r="AU32" s="156"/>
      <c r="AV32" s="156"/>
      <c r="AW32" s="1140"/>
      <c r="AX32" s="1197"/>
      <c r="AY32" s="148"/>
      <c r="AZ32" s="151"/>
      <c r="BA32" s="151"/>
      <c r="BB32" s="1172"/>
      <c r="BC32" s="151"/>
      <c r="BD32" s="151"/>
      <c r="BE32" s="1171"/>
      <c r="BF32" s="1171"/>
      <c r="BG32" s="1171"/>
      <c r="BH32" s="1171"/>
      <c r="BI32" s="151"/>
      <c r="BJ32" s="156"/>
      <c r="BK32" s="156"/>
      <c r="BL32" s="594"/>
      <c r="BM32" s="594"/>
      <c r="BN32" s="594"/>
      <c r="BO32" s="594"/>
      <c r="BP32" s="185"/>
      <c r="BQ32" s="156"/>
      <c r="BR32" s="594"/>
      <c r="BS32" s="594"/>
      <c r="BT32" s="594"/>
      <c r="BU32" s="594"/>
      <c r="BV32" s="156"/>
      <c r="BW32" s="158"/>
      <c r="BX32" s="185"/>
      <c r="BY32" s="185"/>
      <c r="BZ32" s="185"/>
      <c r="CA32" s="185"/>
      <c r="CB32" s="156"/>
      <c r="CC32" s="158"/>
      <c r="CD32" s="157"/>
      <c r="CE32" s="159"/>
      <c r="CF32" s="159"/>
    </row>
    <row r="33" spans="1:84" s="308" customFormat="1" ht="15" hidden="1" customHeight="1" x14ac:dyDescent="0.25">
      <c r="A33" s="84"/>
      <c r="B33" s="169" t="s">
        <v>343</v>
      </c>
      <c r="C33" s="508"/>
      <c r="D33" s="172"/>
      <c r="E33" s="38" t="s">
        <v>156</v>
      </c>
      <c r="F33" s="38"/>
      <c r="G33" s="38"/>
      <c r="H33" s="403" t="s">
        <v>34</v>
      </c>
      <c r="I33" s="145">
        <f>+'P01 2025'!F23</f>
        <v>97527.415999999997</v>
      </c>
      <c r="J33" s="306">
        <f>SUM(J34:J37)</f>
        <v>97150.421999999991</v>
      </c>
      <c r="K33" s="306">
        <f ca="1">SUMIF(T$3:$AM25,"ok",T33:AM33)</f>
        <v>56831.047000000006</v>
      </c>
      <c r="L33" s="378">
        <f t="shared" ca="1" si="3"/>
        <v>0.58497992937179433</v>
      </c>
      <c r="M33" s="306">
        <f>SUM(M34:M37)</f>
        <v>56831.046999999999</v>
      </c>
      <c r="N33" s="378">
        <f t="shared" si="5"/>
        <v>0.58497992937179422</v>
      </c>
      <c r="O33" s="306">
        <f t="shared" si="6"/>
        <v>40319.374999999993</v>
      </c>
      <c r="P33" s="443">
        <f t="shared" si="7"/>
        <v>0.41502007062820578</v>
      </c>
      <c r="Q33" s="86">
        <f>+'P01 2024'!DJ23</f>
        <v>220819.07700000002</v>
      </c>
      <c r="R33" s="307">
        <f ca="1">SUM(R34:R37)</f>
        <v>68092.867121999996</v>
      </c>
      <c r="S33" s="378">
        <f t="shared" ca="1" si="8"/>
        <v>0.30836496577693778</v>
      </c>
      <c r="T33" s="509">
        <f>+'P01 2025'!G23</f>
        <v>7092.5050000000001</v>
      </c>
      <c r="U33" s="467">
        <f>+'P01 2024'!K23</f>
        <v>10094.76575</v>
      </c>
      <c r="V33" s="467">
        <f>+'P01 2025'!N17</f>
        <v>7052.308</v>
      </c>
      <c r="W33" s="310">
        <f>+'P01 2024'!Q18</f>
        <v>8513.0118340000008</v>
      </c>
      <c r="X33" s="310">
        <f>+'P01 2025'!AC22</f>
        <v>7103.8490000000002</v>
      </c>
      <c r="Y33" s="86">
        <f>+'P01 2024'!AE21</f>
        <v>7761.084836</v>
      </c>
      <c r="Z33" s="86">
        <f>+'P01 2025'!AR22</f>
        <v>7310.0169999999998</v>
      </c>
      <c r="AA33" s="86">
        <f>+'P01 2024'!AT18</f>
        <v>8427.5657499999998</v>
      </c>
      <c r="AB33" s="86">
        <f>SUM(AB34:AB37)</f>
        <v>4649.1589999999997</v>
      </c>
      <c r="AC33" s="86">
        <f>+'P01 2024'!BI18</f>
        <v>8342.1196660000005</v>
      </c>
      <c r="AD33" s="86">
        <f>+'P01 2025'!BU22</f>
        <v>4959.8389999999999</v>
      </c>
      <c r="AE33" s="86">
        <f>+'P01 2024'!BX22</f>
        <v>8444.6545499999993</v>
      </c>
      <c r="AF33" s="86">
        <f>+'P01 2025'!CI18</f>
        <v>11054.353999999999</v>
      </c>
      <c r="AG33" s="86">
        <f>+'P01 2024'!CM22</f>
        <v>8085.3031360000004</v>
      </c>
      <c r="AH33" s="86">
        <f>+'P01 2025'!CX21</f>
        <v>7609.0159999999996</v>
      </c>
      <c r="AI33" s="86">
        <f>+'P01 2024'!DB22</f>
        <v>8424.3616000000002</v>
      </c>
      <c r="AJ33" s="86">
        <f>+'P01 2024'!DR22</f>
        <v>7827.8469999999998</v>
      </c>
      <c r="AK33" s="86">
        <f>SUM(AK34:AK37)</f>
        <v>8272.527</v>
      </c>
      <c r="AL33" s="86">
        <f>+'P01 2024'!ET18</f>
        <v>7881.9679999999998</v>
      </c>
      <c r="AM33" s="86">
        <f>+'P01 2024'!FL22</f>
        <v>7684.3069999999998</v>
      </c>
      <c r="AN33" s="1194"/>
      <c r="AO33" s="151"/>
      <c r="AP33" s="151"/>
      <c r="AQ33" s="151"/>
      <c r="AR33" s="151"/>
      <c r="AS33" s="151"/>
      <c r="AT33" s="151"/>
      <c r="AU33" s="151"/>
      <c r="AV33" s="151"/>
      <c r="AW33" s="1195"/>
      <c r="AX33" s="1196"/>
      <c r="AY33" s="148"/>
      <c r="AZ33" s="151"/>
      <c r="BA33" s="151"/>
      <c r="BB33" s="1172"/>
      <c r="BC33" s="151"/>
      <c r="BD33" s="151"/>
      <c r="BE33" s="1171"/>
      <c r="BF33" s="1171"/>
      <c r="BG33" s="1171"/>
      <c r="BH33" s="1171"/>
      <c r="BI33" s="1171"/>
      <c r="BJ33" s="932"/>
      <c r="BK33" s="156"/>
      <c r="BL33" s="594"/>
      <c r="BM33" s="594"/>
      <c r="BN33" s="594"/>
      <c r="BO33" s="594"/>
      <c r="BP33" s="185"/>
      <c r="BQ33" s="156"/>
      <c r="BR33" s="594"/>
      <c r="BS33" s="594"/>
      <c r="BT33" s="594"/>
      <c r="BU33" s="594"/>
      <c r="BV33" s="156"/>
      <c r="BW33" s="158"/>
      <c r="BX33" s="185"/>
      <c r="BY33" s="185"/>
      <c r="BZ33" s="185"/>
      <c r="CA33" s="185"/>
      <c r="CB33" s="151"/>
      <c r="CC33" s="148"/>
      <c r="CD33" s="123"/>
      <c r="CE33" s="152"/>
      <c r="CF33" s="152"/>
    </row>
    <row r="34" spans="1:84" s="320" customFormat="1" ht="15" hidden="1" customHeight="1" x14ac:dyDescent="0.25">
      <c r="A34" s="329"/>
      <c r="B34" s="952" t="s">
        <v>529</v>
      </c>
      <c r="C34" s="955"/>
      <c r="D34" s="794"/>
      <c r="E34" s="933"/>
      <c r="F34" s="316">
        <v>4</v>
      </c>
      <c r="G34" s="315" t="s">
        <v>1093</v>
      </c>
      <c r="H34" s="501" t="s">
        <v>35</v>
      </c>
      <c r="I34" s="317">
        <f>+'P01 2025'!F24</f>
        <v>89789.216</v>
      </c>
      <c r="J34" s="317">
        <f>'P01 2025'!DE24</f>
        <v>89789.216</v>
      </c>
      <c r="K34" s="312">
        <f ca="1">SUMIF(T$3:$AM26,"ok",T34:AM34)</f>
        <v>51431.087</v>
      </c>
      <c r="L34" s="379">
        <f t="shared" ca="1" si="3"/>
        <v>0.57279804069121176</v>
      </c>
      <c r="M34" s="317">
        <f>'P01 2025'!DG24</f>
        <v>51431.087</v>
      </c>
      <c r="N34" s="379">
        <f t="shared" si="5"/>
        <v>0.57279804069121176</v>
      </c>
      <c r="O34" s="317">
        <f t="shared" si="6"/>
        <v>38358.129000000001</v>
      </c>
      <c r="P34" s="445">
        <f t="shared" si="7"/>
        <v>0.42720195930878829</v>
      </c>
      <c r="Q34" s="249">
        <f>+'P01 2024'!DJ24</f>
        <v>211675.527</v>
      </c>
      <c r="R34" s="311">
        <f ca="1">SUMIF(T$3:$AM23,"SI",T34:AM34)</f>
        <v>62926.52692199999</v>
      </c>
      <c r="S34" s="379">
        <f t="shared" ca="1" si="8"/>
        <v>0.29727823435157902</v>
      </c>
      <c r="T34" s="326">
        <f>+'P01 2025'!G24</f>
        <v>6519.7110000000002</v>
      </c>
      <c r="U34" s="468">
        <f>+'P01 2024'!K24</f>
        <v>9325.7489100000003</v>
      </c>
      <c r="V34" s="468">
        <f>+'P01 2025'!N18</f>
        <v>6519.7110000000002</v>
      </c>
      <c r="W34" s="326">
        <f>+'P01 2024'!Q19</f>
        <v>7658.5489099999995</v>
      </c>
      <c r="X34" s="326">
        <f>+'P01 2025'!AC23</f>
        <v>6519.7110000000002</v>
      </c>
      <c r="Y34" s="249">
        <f>+'P01 2024'!AE22</f>
        <v>7658.5489099999995</v>
      </c>
      <c r="Z34" s="249">
        <f>+'P01 2025'!AR23</f>
        <v>6519.7110000000002</v>
      </c>
      <c r="AA34" s="249">
        <f>+'P01 2024'!AT19</f>
        <v>7658.5489099999995</v>
      </c>
      <c r="AB34" s="249">
        <f>'P01 2025'!BF18</f>
        <v>4339.9089999999997</v>
      </c>
      <c r="AC34" s="249">
        <f>+'P01 2024'!BI19</f>
        <v>7658.5489099999995</v>
      </c>
      <c r="AD34" s="249">
        <f>+'P01 2025'!BU23</f>
        <v>4339.9089999999997</v>
      </c>
      <c r="AE34" s="249">
        <f>+'P01 2024'!BX23</f>
        <v>7658.5489099999995</v>
      </c>
      <c r="AF34" s="249">
        <f>+'P01 2025'!CI19</f>
        <v>10152.714</v>
      </c>
      <c r="AG34" s="249">
        <f>+'P01 2024'!CM23</f>
        <v>7656.5336820000002</v>
      </c>
      <c r="AH34" s="249">
        <f>+'P01 2025'!CX22</f>
        <v>6519.7110000000002</v>
      </c>
      <c r="AI34" s="175">
        <f>+'P01 2024'!DB23</f>
        <v>7651.4997800000001</v>
      </c>
      <c r="AJ34" s="249">
        <f>+'P01 2024'!DR23</f>
        <v>7349.8549999999996</v>
      </c>
      <c r="AK34" s="249">
        <f>'P01 2024'!EG20</f>
        <v>7349.51</v>
      </c>
      <c r="AL34" s="175">
        <f>+'P01 2024'!ET19</f>
        <v>7349.8549999999996</v>
      </c>
      <c r="AM34" s="175">
        <f>+'P01 2024'!FL23</f>
        <v>7348.317</v>
      </c>
      <c r="AN34" s="1194"/>
      <c r="AO34" s="151"/>
      <c r="AP34" s="151"/>
      <c r="AQ34" s="151"/>
      <c r="AR34" s="151"/>
      <c r="AS34" s="151"/>
      <c r="AT34" s="151"/>
      <c r="AU34" s="151"/>
      <c r="AV34" s="151"/>
      <c r="AW34" s="1195"/>
      <c r="AX34" s="1196"/>
      <c r="AY34" s="148"/>
      <c r="AZ34" s="151"/>
      <c r="BA34" s="151"/>
      <c r="BB34" s="1172"/>
      <c r="BC34" s="151"/>
      <c r="BD34" s="151"/>
      <c r="BE34" s="1171"/>
      <c r="BF34" s="1171"/>
      <c r="BG34" s="1171"/>
      <c r="BH34" s="1171"/>
      <c r="BI34" s="151"/>
      <c r="BJ34" s="156"/>
      <c r="BK34" s="156"/>
      <c r="BL34" s="594"/>
      <c r="BM34" s="594"/>
      <c r="BN34" s="594"/>
      <c r="BO34" s="594"/>
      <c r="BP34" s="185"/>
      <c r="BQ34" s="156"/>
      <c r="BR34" s="594"/>
      <c r="BS34" s="594"/>
      <c r="BT34" s="594"/>
      <c r="BU34" s="594"/>
      <c r="BV34" s="156"/>
      <c r="BW34" s="158"/>
      <c r="BX34" s="185"/>
      <c r="BY34" s="185"/>
      <c r="BZ34" s="185"/>
      <c r="CA34" s="185"/>
      <c r="CB34" s="156"/>
      <c r="CC34" s="158"/>
      <c r="CD34" s="157"/>
      <c r="CE34" s="159"/>
      <c r="CF34" s="159"/>
    </row>
    <row r="35" spans="1:84" s="320" customFormat="1" ht="15" hidden="1" customHeight="1" x14ac:dyDescent="0.25">
      <c r="A35" s="329"/>
      <c r="B35" s="952" t="s">
        <v>530</v>
      </c>
      <c r="C35" s="955"/>
      <c r="D35" s="794"/>
      <c r="E35" s="933"/>
      <c r="F35" s="316">
        <v>5</v>
      </c>
      <c r="G35" s="315" t="s">
        <v>1094</v>
      </c>
      <c r="H35" s="501" t="s">
        <v>339</v>
      </c>
      <c r="I35" s="317">
        <f>+'P01 2025'!F25</f>
        <v>138.19999999999999</v>
      </c>
      <c r="J35" s="317">
        <f>'P01 2025'!DE25</f>
        <v>138.19999999999999</v>
      </c>
      <c r="K35" s="312">
        <f ca="1">SUMIF(T$3:$AM27,"ok",T35:AM35)</f>
        <v>48.972000000000001</v>
      </c>
      <c r="L35" s="379">
        <f t="shared" ca="1" si="3"/>
        <v>0.35435600578871207</v>
      </c>
      <c r="M35" s="317">
        <f>'P01 2025'!DG25</f>
        <v>48.972000000000001</v>
      </c>
      <c r="N35" s="379">
        <f t="shared" si="5"/>
        <v>0.35435600578871207</v>
      </c>
      <c r="O35" s="317">
        <f t="shared" si="6"/>
        <v>89.22799999999998</v>
      </c>
      <c r="P35" s="445">
        <f t="shared" si="7"/>
        <v>0.64564399421128793</v>
      </c>
      <c r="Q35" s="249">
        <f>+'P01 2024'!DJ25</f>
        <v>625.20000000000005</v>
      </c>
      <c r="R35" s="311">
        <f ca="1">SUMIF(T$3:$AM25,"SI",T35:AM35)</f>
        <v>0</v>
      </c>
      <c r="S35" s="379">
        <f t="shared" ca="1" si="8"/>
        <v>0</v>
      </c>
      <c r="T35" s="326">
        <f>+'P01 2025'!G25</f>
        <v>48.972000000000001</v>
      </c>
      <c r="U35" s="468">
        <f>+'P01 2024'!K25</f>
        <v>0</v>
      </c>
      <c r="V35" s="468">
        <v>0</v>
      </c>
      <c r="W35" s="956">
        <v>0</v>
      </c>
      <c r="X35" s="326">
        <v>0</v>
      </c>
      <c r="Y35" s="249">
        <v>0</v>
      </c>
      <c r="Z35" s="249">
        <v>0</v>
      </c>
      <c r="AA35" s="249">
        <v>0</v>
      </c>
      <c r="AB35" s="249">
        <v>0</v>
      </c>
      <c r="AC35" s="249">
        <v>0</v>
      </c>
      <c r="AD35" s="249">
        <v>0</v>
      </c>
      <c r="AE35" s="249">
        <v>0</v>
      </c>
      <c r="AF35" s="249">
        <v>0</v>
      </c>
      <c r="AG35" s="249"/>
      <c r="AH35" s="249"/>
      <c r="AI35" s="175">
        <v>0</v>
      </c>
      <c r="AJ35" s="249">
        <v>0</v>
      </c>
      <c r="AK35" s="249">
        <v>0</v>
      </c>
      <c r="AL35" s="175">
        <v>0</v>
      </c>
      <c r="AM35" s="175">
        <f>+'P01 2024'!FL24</f>
        <v>138.19999999999999</v>
      </c>
      <c r="AN35" s="1194"/>
      <c r="AO35" s="151"/>
      <c r="AP35" s="151"/>
      <c r="AQ35" s="151"/>
      <c r="AR35" s="151"/>
      <c r="AS35" s="151"/>
      <c r="AT35" s="151"/>
      <c r="AU35" s="151"/>
      <c r="AV35" s="151"/>
      <c r="AW35" s="1195"/>
      <c r="AX35" s="1196"/>
      <c r="AY35" s="148"/>
      <c r="AZ35" s="151"/>
      <c r="BA35" s="151"/>
      <c r="BB35" s="1172"/>
      <c r="BC35" s="151"/>
      <c r="BD35" s="151"/>
      <c r="BE35" s="1171"/>
      <c r="BF35" s="1171"/>
      <c r="BG35" s="1171"/>
      <c r="BH35" s="1171"/>
      <c r="BI35" s="151"/>
      <c r="BJ35" s="156"/>
      <c r="BK35" s="156"/>
      <c r="BL35" s="594"/>
      <c r="BM35" s="594"/>
      <c r="BN35" s="594"/>
      <c r="BO35" s="594"/>
      <c r="BP35" s="185"/>
      <c r="BQ35" s="156"/>
      <c r="BR35" s="594"/>
      <c r="BS35" s="594"/>
      <c r="BT35" s="594"/>
      <c r="BU35" s="594"/>
      <c r="BV35" s="156"/>
      <c r="BW35" s="158"/>
      <c r="BX35" s="185"/>
      <c r="BY35" s="185"/>
      <c r="BZ35" s="185"/>
      <c r="CA35" s="185"/>
      <c r="CB35" s="156"/>
      <c r="CC35" s="158"/>
      <c r="CD35" s="157"/>
      <c r="CE35" s="159"/>
      <c r="CF35" s="159"/>
    </row>
    <row r="36" spans="1:84" s="320" customFormat="1" ht="15" hidden="1" customHeight="1" collapsed="1" x14ac:dyDescent="0.25">
      <c r="A36" s="329"/>
      <c r="B36" s="952" t="s">
        <v>581</v>
      </c>
      <c r="C36" s="955"/>
      <c r="D36" s="794"/>
      <c r="E36" s="933"/>
      <c r="F36" s="316">
        <v>6</v>
      </c>
      <c r="G36" s="315" t="s">
        <v>1095</v>
      </c>
      <c r="H36" s="501" t="s">
        <v>37</v>
      </c>
      <c r="I36" s="317">
        <f>+'P01 2025'!F26</f>
        <v>5600</v>
      </c>
      <c r="J36" s="317">
        <f>'P01 2025'!DE26</f>
        <v>5723.0060000000003</v>
      </c>
      <c r="K36" s="312">
        <f ca="1">SUMIF(T$3:$AM28,"ok",T36:AM36)</f>
        <v>5350.9880000000003</v>
      </c>
      <c r="L36" s="379">
        <f t="shared" ca="1" si="3"/>
        <v>0.93499604927899782</v>
      </c>
      <c r="M36" s="317">
        <f>'P01 2025'!DG26</f>
        <v>5350.9880000000003</v>
      </c>
      <c r="N36" s="379">
        <f t="shared" si="5"/>
        <v>0.93499604927899782</v>
      </c>
      <c r="O36" s="317">
        <f t="shared" si="6"/>
        <v>372.01800000000003</v>
      </c>
      <c r="P36" s="445">
        <f t="shared" si="7"/>
        <v>6.5003950721002221E-2</v>
      </c>
      <c r="Q36" s="249">
        <f>+'P01 2024'!DJ26</f>
        <v>6434.35</v>
      </c>
      <c r="R36" s="311">
        <f ca="1">SUMIF(T$3:$AM26,"SI",T36:AM36)</f>
        <v>5166.3402000000006</v>
      </c>
      <c r="S36" s="379">
        <f t="shared" ca="1" si="8"/>
        <v>0.80293117408906889</v>
      </c>
      <c r="T36" s="326">
        <f>+'P01 2025'!G26</f>
        <v>523.822</v>
      </c>
      <c r="U36" s="468">
        <f>+'P01 2024'!K26</f>
        <v>769.01684</v>
      </c>
      <c r="V36" s="468">
        <f>+'P01 2025'!N19</f>
        <v>532.59699999999998</v>
      </c>
      <c r="W36" s="956">
        <f>+'P01 2024'!Q20</f>
        <v>854.46292400000004</v>
      </c>
      <c r="X36" s="326">
        <f>+'P01 2025'!AC24</f>
        <v>584.13800000000003</v>
      </c>
      <c r="Y36" s="249">
        <f>+'P01 2024'!AE23</f>
        <v>102.535926</v>
      </c>
      <c r="Z36" s="249">
        <f>+'P01 2025'!AR24</f>
        <v>790.30600000000004</v>
      </c>
      <c r="AA36" s="249">
        <f>+'P01 2024'!AT20</f>
        <v>769.01684</v>
      </c>
      <c r="AB36" s="249">
        <f>'P01 2025'!BF19</f>
        <v>309.25</v>
      </c>
      <c r="AC36" s="249">
        <f>+'P01 2024'!BI20</f>
        <v>683.57075600000007</v>
      </c>
      <c r="AD36" s="249">
        <f>+'P01 2025'!BU24</f>
        <v>619.92999999999995</v>
      </c>
      <c r="AE36" s="249">
        <f>+'P01 2024'!BX24</f>
        <v>786.10563999999999</v>
      </c>
      <c r="AF36" s="249">
        <f>+'P01 2025'!CI20</f>
        <v>901.64</v>
      </c>
      <c r="AG36" s="249">
        <f>+'P01 2024'!CM24</f>
        <v>428.76945400000005</v>
      </c>
      <c r="AH36" s="249">
        <f>+'P01 2025'!CX23</f>
        <v>1089.3050000000001</v>
      </c>
      <c r="AI36" s="175">
        <f>+'P01 2024'!DB24</f>
        <v>772.86182000000008</v>
      </c>
      <c r="AJ36" s="249">
        <f>+'P01 2024'!DR24</f>
        <v>477.99200000000002</v>
      </c>
      <c r="AK36" s="249">
        <f>'P01 2024'!EG21</f>
        <v>923.01700000000005</v>
      </c>
      <c r="AL36" s="175">
        <f>+'P01 2024'!ET20</f>
        <v>532.11300000000006</v>
      </c>
      <c r="AM36" s="175">
        <f>+'P01 2024'!FL25</f>
        <v>197.79</v>
      </c>
      <c r="AN36" s="1194"/>
      <c r="AO36" s="151"/>
      <c r="AP36" s="151"/>
      <c r="AQ36" s="151"/>
      <c r="AR36" s="151"/>
      <c r="AS36" s="151"/>
      <c r="AT36" s="151"/>
      <c r="AU36" s="151"/>
      <c r="AV36" s="151"/>
      <c r="AW36" s="1195"/>
      <c r="AX36" s="1196"/>
      <c r="AY36" s="148"/>
      <c r="AZ36" s="151"/>
      <c r="BA36" s="151"/>
      <c r="BB36" s="1172"/>
      <c r="BC36" s="151"/>
      <c r="BD36" s="151"/>
      <c r="BE36" s="1171"/>
      <c r="BF36" s="1171"/>
      <c r="BG36" s="1171"/>
      <c r="BH36" s="1171"/>
      <c r="BI36" s="151"/>
      <c r="BJ36" s="156"/>
      <c r="BK36" s="156"/>
      <c r="BL36" s="594"/>
      <c r="BM36" s="594"/>
      <c r="BN36" s="594"/>
      <c r="BO36" s="594"/>
      <c r="BP36" s="185"/>
      <c r="BQ36" s="156"/>
      <c r="BR36" s="594"/>
      <c r="BS36" s="594"/>
      <c r="BT36" s="594"/>
      <c r="BU36" s="594"/>
      <c r="BV36" s="156"/>
      <c r="BW36" s="158"/>
      <c r="BX36" s="185"/>
      <c r="BY36" s="185"/>
      <c r="BZ36" s="185"/>
      <c r="CA36" s="185"/>
      <c r="CB36" s="156"/>
      <c r="CC36" s="158"/>
      <c r="CD36" s="157"/>
      <c r="CE36" s="159"/>
      <c r="CF36" s="159"/>
    </row>
    <row r="37" spans="1:84" s="320" customFormat="1" ht="15" hidden="1" customHeight="1" x14ac:dyDescent="0.25">
      <c r="A37" s="329"/>
      <c r="B37" s="952" t="s">
        <v>531</v>
      </c>
      <c r="C37" s="955"/>
      <c r="D37" s="794"/>
      <c r="E37" s="933"/>
      <c r="F37" s="316">
        <v>7</v>
      </c>
      <c r="G37" s="315" t="s">
        <v>202</v>
      </c>
      <c r="H37" s="501" t="s">
        <v>38</v>
      </c>
      <c r="I37" s="317">
        <f>+'P01 2025'!F27</f>
        <v>2000</v>
      </c>
      <c r="J37" s="317">
        <f>'P01 2025'!DE27</f>
        <v>1500</v>
      </c>
      <c r="K37" s="312">
        <f ca="1">SUMIF(T$3:$AM29,"ok",T37:AM37)</f>
        <v>0</v>
      </c>
      <c r="L37" s="379">
        <f t="shared" ca="1" si="3"/>
        <v>0</v>
      </c>
      <c r="M37" s="317">
        <f>'P01 2025'!DG27</f>
        <v>0</v>
      </c>
      <c r="N37" s="379">
        <f t="shared" si="5"/>
        <v>0</v>
      </c>
      <c r="O37" s="317">
        <f t="shared" si="6"/>
        <v>1500</v>
      </c>
      <c r="P37" s="445">
        <f t="shared" si="7"/>
        <v>1</v>
      </c>
      <c r="Q37" s="249">
        <f>+'P01 2024'!DJ27</f>
        <v>2084</v>
      </c>
      <c r="R37" s="311">
        <f ca="1">SUMIF(T$3:$AM27,"SI",T37:AM37)</f>
        <v>0</v>
      </c>
      <c r="S37" s="379">
        <f t="shared" ca="1" si="8"/>
        <v>0</v>
      </c>
      <c r="T37" s="326">
        <f>+'P01 2025'!G27</f>
        <v>0</v>
      </c>
      <c r="U37" s="468">
        <f>+'P01 2024'!K27</f>
        <v>0</v>
      </c>
      <c r="V37" s="468">
        <v>0</v>
      </c>
      <c r="W37" s="956">
        <v>0</v>
      </c>
      <c r="X37" s="956">
        <v>0</v>
      </c>
      <c r="Y37" s="249">
        <v>0</v>
      </c>
      <c r="Z37" s="249">
        <v>0</v>
      </c>
      <c r="AA37" s="249">
        <v>0</v>
      </c>
      <c r="AB37" s="249">
        <v>0</v>
      </c>
      <c r="AC37" s="249">
        <v>0</v>
      </c>
      <c r="AD37" s="249">
        <v>0</v>
      </c>
      <c r="AE37" s="249">
        <v>0</v>
      </c>
      <c r="AF37" s="249">
        <v>0</v>
      </c>
      <c r="AG37" s="249">
        <v>0</v>
      </c>
      <c r="AH37" s="249">
        <v>0</v>
      </c>
      <c r="AI37" s="175">
        <v>0</v>
      </c>
      <c r="AJ37" s="249">
        <v>0</v>
      </c>
      <c r="AK37" s="249">
        <v>0</v>
      </c>
      <c r="AL37" s="175">
        <v>0</v>
      </c>
      <c r="AM37" s="175">
        <v>0</v>
      </c>
      <c r="AN37" s="1194"/>
      <c r="AO37" s="151"/>
      <c r="AP37" s="151"/>
      <c r="AQ37" s="151"/>
      <c r="AR37" s="151"/>
      <c r="AS37" s="151"/>
      <c r="AT37" s="151"/>
      <c r="AU37" s="151"/>
      <c r="AV37" s="151"/>
      <c r="AW37" s="1195"/>
      <c r="AX37" s="1196"/>
      <c r="AY37" s="148"/>
      <c r="AZ37" s="151"/>
      <c r="BA37" s="151"/>
      <c r="BB37" s="1172"/>
      <c r="BC37" s="151"/>
      <c r="BD37" s="151"/>
      <c r="BE37" s="1171"/>
      <c r="BF37" s="1171"/>
      <c r="BG37" s="1171"/>
      <c r="BH37" s="1171"/>
      <c r="BI37" s="151"/>
      <c r="BJ37" s="156"/>
      <c r="BK37" s="156"/>
      <c r="BL37" s="594"/>
      <c r="BM37" s="594"/>
      <c r="BN37" s="594"/>
      <c r="BO37" s="594"/>
      <c r="BP37" s="185"/>
      <c r="BQ37" s="156"/>
      <c r="BR37" s="594"/>
      <c r="BS37" s="594"/>
      <c r="BT37" s="594"/>
      <c r="BU37" s="594"/>
      <c r="BV37" s="156"/>
      <c r="BW37" s="158"/>
      <c r="BX37" s="185"/>
      <c r="BY37" s="185"/>
      <c r="BZ37" s="185"/>
      <c r="CA37" s="185"/>
      <c r="CB37" s="156"/>
      <c r="CC37" s="158"/>
      <c r="CD37" s="157"/>
      <c r="CE37" s="159"/>
      <c r="CF37" s="159"/>
    </row>
    <row r="38" spans="1:84" s="308" customFormat="1" ht="15" hidden="1" customHeight="1" x14ac:dyDescent="0.25">
      <c r="A38" s="84"/>
      <c r="B38" s="169" t="s">
        <v>344</v>
      </c>
      <c r="C38" s="508"/>
      <c r="D38" s="172"/>
      <c r="E38" s="38" t="s">
        <v>157</v>
      </c>
      <c r="F38" s="38"/>
      <c r="G38" s="38"/>
      <c r="H38" s="403" t="s">
        <v>964</v>
      </c>
      <c r="I38" s="145">
        <f>+'P01 2025'!F28</f>
        <v>1210.5509999999999</v>
      </c>
      <c r="J38" s="306">
        <f>+'P01 2025'!DE28</f>
        <v>1230.5509999999999</v>
      </c>
      <c r="K38" s="306">
        <f ca="1">SUMIF(T$3:$AM30,"ok",T38:AM38)</f>
        <v>563.33199999999999</v>
      </c>
      <c r="L38" s="378">
        <f t="shared" ca="1" si="3"/>
        <v>0.45778842160950667</v>
      </c>
      <c r="M38" s="306">
        <f>SUM(M39:M41)</f>
        <v>563.33199999999999</v>
      </c>
      <c r="N38" s="378">
        <f t="shared" si="5"/>
        <v>0.45778842160950667</v>
      </c>
      <c r="O38" s="306">
        <f t="shared" si="6"/>
        <v>667.21899999999994</v>
      </c>
      <c r="P38" s="443">
        <f t="shared" si="7"/>
        <v>0.54221157839049339</v>
      </c>
      <c r="Q38" s="86">
        <f>+'P01 2024'!DJ28</f>
        <v>1329.0835039999999</v>
      </c>
      <c r="R38" s="86">
        <f ca="1">SUM(R39:R41)</f>
        <v>340.24321800000001</v>
      </c>
      <c r="S38" s="378">
        <f t="shared" ca="1" si="8"/>
        <v>0.25599837555428723</v>
      </c>
      <c r="T38" s="509">
        <f>+'P01 2025'!G28</f>
        <v>218.404</v>
      </c>
      <c r="U38" s="467">
        <f>+'P01 2024'!K28</f>
        <v>0</v>
      </c>
      <c r="V38" s="467">
        <v>0</v>
      </c>
      <c r="W38" s="310">
        <v>0</v>
      </c>
      <c r="X38" s="310">
        <f>+'P01 2025'!AC25</f>
        <v>172.464</v>
      </c>
      <c r="Y38" s="86">
        <f>+'P01 2024'!AE24</f>
        <v>172.463504</v>
      </c>
      <c r="Z38" s="86">
        <v>0</v>
      </c>
      <c r="AA38" s="155">
        <v>0</v>
      </c>
      <c r="AB38" s="155">
        <v>0</v>
      </c>
      <c r="AC38" s="155">
        <v>0</v>
      </c>
      <c r="AD38" s="155">
        <f>+'P01 2025'!BU25</f>
        <v>172.464</v>
      </c>
      <c r="AE38" s="155">
        <f>+'P01 2024'!BX25</f>
        <v>172.463504</v>
      </c>
      <c r="AF38" s="86">
        <v>0</v>
      </c>
      <c r="AG38" s="155">
        <f>+'P01 2024'!CM25</f>
        <v>-2.015228</v>
      </c>
      <c r="AH38" s="155">
        <v>0</v>
      </c>
      <c r="AI38" s="86">
        <f>+'P01 2024'!DB25</f>
        <v>-2.6685620000000001</v>
      </c>
      <c r="AJ38" s="155">
        <f>+'P01 2024'!DR25</f>
        <v>203.23500000000001</v>
      </c>
      <c r="AK38" s="155">
        <f>SUM(AK39:AK41)</f>
        <v>0</v>
      </c>
      <c r="AL38" s="155">
        <v>0</v>
      </c>
      <c r="AM38" s="86">
        <f>+'P01 2024'!FL26</f>
        <v>679.25</v>
      </c>
      <c r="AN38" s="1194"/>
      <c r="AO38" s="151"/>
      <c r="AP38" s="151"/>
      <c r="AQ38" s="151"/>
      <c r="AR38" s="151"/>
      <c r="AS38" s="151"/>
      <c r="AT38" s="151"/>
      <c r="AU38" s="151"/>
      <c r="AV38" s="151"/>
      <c r="AW38" s="1195"/>
      <c r="AX38" s="1196"/>
      <c r="AY38" s="148"/>
      <c r="AZ38" s="151"/>
      <c r="BA38" s="151"/>
      <c r="BB38" s="1172"/>
      <c r="BC38" s="151"/>
      <c r="BD38" s="151"/>
      <c r="BE38" s="1171"/>
      <c r="BF38" s="1171"/>
      <c r="BG38" s="1171"/>
      <c r="BH38" s="1171"/>
      <c r="BI38" s="1171"/>
      <c r="BJ38" s="932"/>
      <c r="BK38" s="156"/>
      <c r="BL38" s="594"/>
      <c r="BM38" s="594"/>
      <c r="BN38" s="594"/>
      <c r="BO38" s="594"/>
      <c r="BP38" s="185"/>
      <c r="BQ38" s="156"/>
      <c r="BR38" s="594"/>
      <c r="BS38" s="594"/>
      <c r="BT38" s="594"/>
      <c r="BU38" s="594"/>
      <c r="BV38" s="156"/>
      <c r="BW38" s="158"/>
      <c r="BX38" s="185"/>
      <c r="BY38" s="185"/>
      <c r="BZ38" s="185"/>
      <c r="CA38" s="185"/>
      <c r="CB38" s="151"/>
      <c r="CC38" s="148"/>
      <c r="CD38" s="123"/>
      <c r="CE38" s="152"/>
      <c r="CF38" s="152"/>
    </row>
    <row r="39" spans="1:84" s="320" customFormat="1" ht="15" hidden="1" customHeight="1" x14ac:dyDescent="0.25">
      <c r="A39" s="329"/>
      <c r="B39" s="952" t="s">
        <v>345</v>
      </c>
      <c r="C39" s="955"/>
      <c r="D39" s="794"/>
      <c r="E39" s="933"/>
      <c r="F39" s="316">
        <v>1</v>
      </c>
      <c r="G39" s="315" t="str">
        <f>+CONCATENATE($C$10,"",$D$11,"",$E$38,"00",F39)</f>
        <v>21.01.005.001</v>
      </c>
      <c r="H39" s="501" t="s">
        <v>95</v>
      </c>
      <c r="I39" s="317">
        <f>+'P01 2025'!F29</f>
        <v>344.95400000000001</v>
      </c>
      <c r="J39" s="317">
        <f>+'P01 2025'!DE29</f>
        <v>344.95400000000001</v>
      </c>
      <c r="K39" s="312">
        <f ca="1">SUMIF(T$3:$AM31,"ok",T39:AM39)</f>
        <v>0</v>
      </c>
      <c r="L39" s="379">
        <f t="shared" ca="1" si="3"/>
        <v>0</v>
      </c>
      <c r="M39" s="317">
        <f>+'P01 2025'!DG29</f>
        <v>0</v>
      </c>
      <c r="N39" s="379">
        <f t="shared" si="5"/>
        <v>0</v>
      </c>
      <c r="O39" s="317">
        <f t="shared" si="6"/>
        <v>344.95400000000001</v>
      </c>
      <c r="P39" s="445">
        <f t="shared" si="7"/>
        <v>1</v>
      </c>
      <c r="Q39" s="249">
        <f>+'P01 2024'!DJ29</f>
        <v>10.42</v>
      </c>
      <c r="R39" s="311">
        <f ca="1">SUMIF(T$3:$AM29,"SI",T39:AM39)</f>
        <v>0</v>
      </c>
      <c r="S39" s="379">
        <f t="shared" ca="1" si="8"/>
        <v>0</v>
      </c>
      <c r="T39" s="326">
        <f>+'P01 2025'!G29</f>
        <v>0</v>
      </c>
      <c r="U39" s="468">
        <f>+'P01 2024'!K29</f>
        <v>0</v>
      </c>
      <c r="V39" s="468">
        <v>0</v>
      </c>
      <c r="W39" s="956">
        <v>0</v>
      </c>
      <c r="X39" s="956">
        <v>0</v>
      </c>
      <c r="Y39" s="249">
        <v>0</v>
      </c>
      <c r="Z39" s="249">
        <v>0</v>
      </c>
      <c r="AA39" s="249">
        <v>0</v>
      </c>
      <c r="AB39" s="249">
        <v>0</v>
      </c>
      <c r="AC39" s="249">
        <v>0</v>
      </c>
      <c r="AD39" s="249">
        <v>0</v>
      </c>
      <c r="AE39" s="249">
        <v>0</v>
      </c>
      <c r="AF39" s="249">
        <v>0</v>
      </c>
      <c r="AG39" s="249">
        <v>0</v>
      </c>
      <c r="AH39" s="249">
        <v>0</v>
      </c>
      <c r="AI39" s="175">
        <v>0</v>
      </c>
      <c r="AJ39" s="249">
        <f>+'P01 2024'!DR26</f>
        <v>203.23500000000001</v>
      </c>
      <c r="AK39" s="249">
        <v>0</v>
      </c>
      <c r="AL39" s="175">
        <v>0</v>
      </c>
      <c r="AM39" s="175">
        <f>+'P01 2024'!FL27</f>
        <v>140.18199999999999</v>
      </c>
      <c r="AN39" s="1194"/>
      <c r="AO39" s="151"/>
      <c r="AP39" s="151"/>
      <c r="AQ39" s="151"/>
      <c r="AR39" s="151"/>
      <c r="AS39" s="151"/>
      <c r="AT39" s="151"/>
      <c r="AU39" s="151"/>
      <c r="AV39" s="151"/>
      <c r="AW39" s="1195"/>
      <c r="AX39" s="1196"/>
      <c r="AY39" s="148"/>
      <c r="AZ39" s="151"/>
      <c r="BA39" s="151"/>
      <c r="BB39" s="1172"/>
      <c r="BC39" s="151"/>
      <c r="BD39" s="151"/>
      <c r="BE39" s="1171"/>
      <c r="BF39" s="1171"/>
      <c r="BG39" s="1171"/>
      <c r="BH39" s="1171"/>
      <c r="BI39" s="151"/>
      <c r="BJ39" s="156"/>
      <c r="BK39" s="156"/>
      <c r="BL39" s="594"/>
      <c r="BM39" s="594"/>
      <c r="BN39" s="594"/>
      <c r="BO39" s="594"/>
      <c r="BP39" s="185"/>
      <c r="BQ39" s="156"/>
      <c r="BR39" s="594"/>
      <c r="BS39" s="594"/>
      <c r="BT39" s="594"/>
      <c r="BU39" s="594"/>
      <c r="BV39" s="156"/>
      <c r="BW39" s="158"/>
      <c r="BX39" s="185"/>
      <c r="BY39" s="185"/>
      <c r="BZ39" s="185"/>
      <c r="CA39" s="185"/>
      <c r="CB39" s="156"/>
      <c r="CC39" s="158"/>
      <c r="CD39" s="157"/>
      <c r="CE39" s="159"/>
      <c r="CF39" s="159"/>
    </row>
    <row r="40" spans="1:84" s="320" customFormat="1" ht="15" hidden="1" customHeight="1" x14ac:dyDescent="0.25">
      <c r="A40" s="329"/>
      <c r="B40" s="952" t="s">
        <v>457</v>
      </c>
      <c r="C40" s="955"/>
      <c r="D40" s="794"/>
      <c r="E40" s="933"/>
      <c r="F40" s="316">
        <v>2</v>
      </c>
      <c r="G40" s="315" t="str">
        <f>+CONCATENATE($C$10,"",$D$11,"",$E$38,"00",F40)</f>
        <v>21.01.005.002</v>
      </c>
      <c r="H40" s="501" t="s">
        <v>96</v>
      </c>
      <c r="I40" s="317">
        <f>+'P01 2025'!F30</f>
        <v>326.529</v>
      </c>
      <c r="J40" s="317">
        <f>+'P01 2025'!DE30</f>
        <v>346.529</v>
      </c>
      <c r="K40" s="312">
        <f ca="1">SUMIF(T$3:$AM32,"ok",T40:AM40)</f>
        <v>344.928</v>
      </c>
      <c r="L40" s="379">
        <f t="shared" ca="1" si="3"/>
        <v>0.99537989605487565</v>
      </c>
      <c r="M40" s="317">
        <f>+'P01 2025'!DG30</f>
        <v>344.928</v>
      </c>
      <c r="N40" s="379">
        <f t="shared" si="5"/>
        <v>0.99537989605487565</v>
      </c>
      <c r="O40" s="317">
        <f t="shared" si="6"/>
        <v>1.6009999999999991</v>
      </c>
      <c r="P40" s="445">
        <f t="shared" si="7"/>
        <v>4.6201039451243594E-3</v>
      </c>
      <c r="Q40" s="249">
        <f>+'P01 2024'!DJ30</f>
        <v>505.903504</v>
      </c>
      <c r="R40" s="311">
        <f ca="1">SUMIF(T$3:$AM30,"SI",T40:AM40)</f>
        <v>340.24321800000001</v>
      </c>
      <c r="S40" s="379">
        <f t="shared" ca="1" si="8"/>
        <v>0.672545683731813</v>
      </c>
      <c r="T40" s="326">
        <f>+'P01 2025'!G30</f>
        <v>0</v>
      </c>
      <c r="U40" s="468">
        <f>+'P01 2024'!K30</f>
        <v>0</v>
      </c>
      <c r="V40" s="468">
        <v>0</v>
      </c>
      <c r="W40" s="956">
        <v>0</v>
      </c>
      <c r="X40" s="956">
        <f>+'P01 2025'!AC26</f>
        <v>172.464</v>
      </c>
      <c r="Y40" s="249">
        <f>+'P01 2024'!AE25</f>
        <v>172.463504</v>
      </c>
      <c r="Z40" s="249">
        <v>0</v>
      </c>
      <c r="AA40" s="249">
        <v>0</v>
      </c>
      <c r="AB40" s="249">
        <v>0</v>
      </c>
      <c r="AC40" s="249">
        <v>0</v>
      </c>
      <c r="AD40" s="249">
        <f>+'P01 2025'!BU26</f>
        <v>172.464</v>
      </c>
      <c r="AE40" s="253">
        <f>+'P01 2024'!BX26</f>
        <v>172.463504</v>
      </c>
      <c r="AF40" s="253">
        <v>0</v>
      </c>
      <c r="AG40" s="249">
        <f>+'P01 2024'!CM26</f>
        <v>-2.015228</v>
      </c>
      <c r="AH40" s="249">
        <v>0</v>
      </c>
      <c r="AI40" s="175">
        <f>+'P01 2024'!DB26</f>
        <v>-2.6685620000000001</v>
      </c>
      <c r="AJ40" s="249">
        <v>0</v>
      </c>
      <c r="AK40" s="249">
        <v>0</v>
      </c>
      <c r="AL40" s="175">
        <v>0</v>
      </c>
      <c r="AM40" s="175">
        <v>0</v>
      </c>
      <c r="AN40" s="1194"/>
      <c r="AO40" s="151"/>
      <c r="AP40" s="151"/>
      <c r="AQ40" s="151"/>
      <c r="AR40" s="151"/>
      <c r="AS40" s="151"/>
      <c r="AT40" s="151"/>
      <c r="AU40" s="151"/>
      <c r="AV40" s="151"/>
      <c r="AW40" s="1195"/>
      <c r="AX40" s="1196"/>
      <c r="AY40" s="148"/>
      <c r="AZ40" s="151"/>
      <c r="BA40" s="151"/>
      <c r="BB40" s="1172"/>
      <c r="BC40" s="151"/>
      <c r="BD40" s="151"/>
      <c r="BE40" s="1171"/>
      <c r="BF40" s="1171"/>
      <c r="BG40" s="1171"/>
      <c r="BH40" s="1171"/>
      <c r="BI40" s="151"/>
      <c r="BJ40" s="156"/>
      <c r="BK40" s="156"/>
      <c r="BL40" s="594"/>
      <c r="BM40" s="594"/>
      <c r="BN40" s="594"/>
      <c r="BO40" s="594"/>
      <c r="BP40" s="185"/>
      <c r="BQ40" s="156"/>
      <c r="BR40" s="594"/>
      <c r="BS40" s="594"/>
      <c r="BT40" s="594"/>
      <c r="BU40" s="594"/>
      <c r="BV40" s="156"/>
      <c r="BW40" s="158"/>
      <c r="BX40" s="185"/>
      <c r="BY40" s="185"/>
      <c r="BZ40" s="185"/>
      <c r="CA40" s="185"/>
      <c r="CB40" s="156"/>
      <c r="CC40" s="158"/>
      <c r="CD40" s="157"/>
      <c r="CE40" s="159"/>
      <c r="CF40" s="159"/>
    </row>
    <row r="41" spans="1:84" s="320" customFormat="1" ht="15" hidden="1" customHeight="1" x14ac:dyDescent="0.25">
      <c r="A41" s="329"/>
      <c r="B41" s="952" t="s">
        <v>346</v>
      </c>
      <c r="C41" s="955"/>
      <c r="D41" s="794"/>
      <c r="E41" s="933"/>
      <c r="F41" s="316">
        <v>3</v>
      </c>
      <c r="G41" s="315" t="str">
        <f>+CONCATENATE($C$10,"",$D$11,"",$E$38,"00",F41)</f>
        <v>21.01.005.003</v>
      </c>
      <c r="H41" s="501" t="s">
        <v>97</v>
      </c>
      <c r="I41" s="317">
        <f>+'P01 2025'!F31</f>
        <v>539.06799999999998</v>
      </c>
      <c r="J41" s="317">
        <f>+'P01 2025'!DE31</f>
        <v>539.06799999999998</v>
      </c>
      <c r="K41" s="312">
        <f ca="1">SUMIF(T$3:$AM33,"ok",T41:AM41)</f>
        <v>218.404</v>
      </c>
      <c r="L41" s="379">
        <f t="shared" ca="1" si="3"/>
        <v>0.40515111266111142</v>
      </c>
      <c r="M41" s="317">
        <f>+'P01 2025'!DG31</f>
        <v>218.404</v>
      </c>
      <c r="N41" s="379">
        <f t="shared" si="5"/>
        <v>0.40515111266111142</v>
      </c>
      <c r="O41" s="317">
        <f t="shared" si="6"/>
        <v>320.66399999999999</v>
      </c>
      <c r="P41" s="445">
        <f t="shared" si="7"/>
        <v>0.59484888733888863</v>
      </c>
      <c r="Q41" s="249">
        <f>+'P01 2024'!DJ31</f>
        <v>812.76</v>
      </c>
      <c r="R41" s="311">
        <f ca="1">SUMIF(T$3:$AM31,"SI",T41:AM41)</f>
        <v>0</v>
      </c>
      <c r="S41" s="379">
        <f t="shared" ca="1" si="8"/>
        <v>0</v>
      </c>
      <c r="T41" s="326">
        <f>+'P01 2025'!G31</f>
        <v>218.404</v>
      </c>
      <c r="U41" s="468">
        <f>+'P01 2024'!K31</f>
        <v>0</v>
      </c>
      <c r="V41" s="468">
        <v>0</v>
      </c>
      <c r="W41" s="956">
        <v>0</v>
      </c>
      <c r="X41" s="956">
        <v>0</v>
      </c>
      <c r="Y41" s="249">
        <v>0</v>
      </c>
      <c r="Z41" s="249">
        <v>0</v>
      </c>
      <c r="AA41" s="249">
        <v>0</v>
      </c>
      <c r="AB41" s="249">
        <v>0</v>
      </c>
      <c r="AC41" s="249">
        <v>0</v>
      </c>
      <c r="AD41" s="249">
        <v>0</v>
      </c>
      <c r="AE41" s="253">
        <v>0</v>
      </c>
      <c r="AF41" s="253">
        <v>0</v>
      </c>
      <c r="AG41" s="249">
        <v>0</v>
      </c>
      <c r="AH41" s="249">
        <v>0</v>
      </c>
      <c r="AI41" s="175">
        <v>0</v>
      </c>
      <c r="AJ41" s="249">
        <v>0</v>
      </c>
      <c r="AK41" s="249">
        <v>0</v>
      </c>
      <c r="AL41" s="175">
        <v>0</v>
      </c>
      <c r="AM41" s="175">
        <f>+'P01 2024'!FL28</f>
        <v>539.06799999999998</v>
      </c>
      <c r="AN41" s="1194"/>
      <c r="AO41" s="151"/>
      <c r="AP41" s="151"/>
      <c r="AQ41" s="151"/>
      <c r="AR41" s="151"/>
      <c r="AS41" s="151"/>
      <c r="AT41" s="151"/>
      <c r="AU41" s="151"/>
      <c r="AV41" s="151"/>
      <c r="AW41" s="1195"/>
      <c r="AX41" s="1196"/>
      <c r="AY41" s="148"/>
      <c r="AZ41" s="151"/>
      <c r="BA41" s="151"/>
      <c r="BB41" s="1172"/>
      <c r="BC41" s="151"/>
      <c r="BD41" s="151"/>
      <c r="BE41" s="1171"/>
      <c r="BF41" s="1171"/>
      <c r="BG41" s="1171"/>
      <c r="BH41" s="1171"/>
      <c r="BI41" s="151"/>
      <c r="BJ41" s="156"/>
      <c r="BK41" s="156"/>
      <c r="BL41" s="594"/>
      <c r="BM41" s="594"/>
      <c r="BN41" s="594"/>
      <c r="BO41" s="594"/>
      <c r="BP41" s="185"/>
      <c r="BQ41" s="156"/>
      <c r="BR41" s="594"/>
      <c r="BS41" s="594"/>
      <c r="BT41" s="594"/>
      <c r="BU41" s="594"/>
      <c r="BV41" s="156"/>
      <c r="BW41" s="158"/>
      <c r="BX41" s="185"/>
      <c r="BY41" s="185"/>
      <c r="BZ41" s="185"/>
      <c r="CA41" s="185"/>
      <c r="CB41" s="156"/>
      <c r="CC41" s="158"/>
      <c r="CD41" s="157"/>
      <c r="CE41" s="159"/>
      <c r="CF41" s="159"/>
    </row>
    <row r="42" spans="1:84" s="308" customFormat="1" ht="15" hidden="1" customHeight="1" x14ac:dyDescent="0.25">
      <c r="A42" s="84"/>
      <c r="B42" s="169" t="s">
        <v>347</v>
      </c>
      <c r="C42" s="508"/>
      <c r="D42" s="172" t="s">
        <v>158</v>
      </c>
      <c r="E42" s="38"/>
      <c r="F42" s="38"/>
      <c r="G42" s="38"/>
      <c r="H42" s="403" t="s">
        <v>39</v>
      </c>
      <c r="I42" s="145">
        <f>+'P01 2025'!F32</f>
        <v>17887240.324999999</v>
      </c>
      <c r="J42" s="306">
        <f>J43+J57+J60+J64+J69</f>
        <v>17847341.800999999</v>
      </c>
      <c r="K42" s="306">
        <f ca="1">SUMIF(T$3:$AM34,"ok",T42:AM42)</f>
        <v>11837115.856000001</v>
      </c>
      <c r="L42" s="378">
        <f t="shared" ca="1" si="3"/>
        <v>0.66324251465485795</v>
      </c>
      <c r="M42" s="306">
        <f>M43+M57+M60+M64+M69</f>
        <v>11837115.855999999</v>
      </c>
      <c r="N42" s="378">
        <f t="shared" si="5"/>
        <v>0.66324251465485784</v>
      </c>
      <c r="O42" s="306">
        <f t="shared" si="6"/>
        <v>6010225.9450000003</v>
      </c>
      <c r="P42" s="443">
        <f t="shared" si="7"/>
        <v>0.33675748534514216</v>
      </c>
      <c r="Q42" s="86">
        <f>+'P01 2024'!DJ32</f>
        <v>17634411.382498</v>
      </c>
      <c r="R42" s="86">
        <f ca="1">SUMIF(T$3:$AM34,"SI",T42:AM42)</f>
        <v>11512232.813108001</v>
      </c>
      <c r="S42" s="378">
        <f t="shared" ca="1" si="8"/>
        <v>0.65282773342430878</v>
      </c>
      <c r="T42" s="509">
        <f>+'P01 2025'!G32</f>
        <v>1228669.4210000001</v>
      </c>
      <c r="U42" s="467">
        <f>+'P01 2024'!K32</f>
        <v>1168404.7688780001</v>
      </c>
      <c r="V42" s="467">
        <f>+'P01 2025'!N20</f>
        <v>1216706.96</v>
      </c>
      <c r="W42" s="87">
        <f>+'P01 2024'!Q21</f>
        <v>1183927.969088</v>
      </c>
      <c r="X42" s="87">
        <f>+'P01 2025'!AC27</f>
        <v>2194493.8640000001</v>
      </c>
      <c r="Y42" s="86">
        <f>+'P01 2024'!AE26</f>
        <v>2115941.9525300004</v>
      </c>
      <c r="Z42" s="86">
        <f>+'P01 2025'!AR25</f>
        <v>1244271.8489999999</v>
      </c>
      <c r="AA42" s="88">
        <f>+'P01 2024'!AT21</f>
        <v>1214148.3719400002</v>
      </c>
      <c r="AB42" s="88">
        <f>AB43+AB57+AB60+AB64+AB69</f>
        <v>1223104.551</v>
      </c>
      <c r="AC42" s="88">
        <f>+'P01 2024'!BI21</f>
        <v>1205250.453642</v>
      </c>
      <c r="AD42" s="88">
        <f>+'P01 2025'!BU27</f>
        <v>2226166.9640000002</v>
      </c>
      <c r="AE42" s="88">
        <f>+'P01 2024'!BX27</f>
        <v>2167815.9791999999</v>
      </c>
      <c r="AF42" s="88">
        <f>+'P01 2025'!CI21</f>
        <v>1249779.3419999999</v>
      </c>
      <c r="AG42" s="88">
        <f>+'P01 2024'!CM27</f>
        <v>1227828.798276</v>
      </c>
      <c r="AH42" s="88">
        <f>+'P01 2025'!CX24</f>
        <v>1253922.905</v>
      </c>
      <c r="AI42" s="86">
        <f>+'P01 2024'!DB27</f>
        <v>1228914.5195540001</v>
      </c>
      <c r="AJ42" s="88">
        <f>+'P01 2024'!DR27</f>
        <v>2109184.6069999998</v>
      </c>
      <c r="AK42" s="88">
        <f>AK43+AK57+AK60+AK64+AK69</f>
        <v>1166134.736</v>
      </c>
      <c r="AL42" s="88">
        <f>+'P01 2024'!ET21</f>
        <v>1172015.9080000001</v>
      </c>
      <c r="AM42" s="86">
        <f>+'P01 2024'!FL29</f>
        <v>2202884.5109999999</v>
      </c>
      <c r="AN42" s="1194"/>
      <c r="AO42" s="151"/>
      <c r="AP42" s="151"/>
      <c r="AQ42" s="151"/>
      <c r="AR42" s="151"/>
      <c r="AS42" s="151"/>
      <c r="AT42" s="151"/>
      <c r="AU42" s="151"/>
      <c r="AV42" s="151"/>
      <c r="AW42" s="1195"/>
      <c r="AX42" s="1196"/>
      <c r="AY42" s="148"/>
      <c r="AZ42" s="151"/>
      <c r="BA42" s="151"/>
      <c r="BB42" s="1172"/>
      <c r="BC42" s="151"/>
      <c r="BD42" s="151"/>
      <c r="BE42" s="1171"/>
      <c r="BF42" s="1171"/>
      <c r="BG42" s="1171"/>
      <c r="BH42" s="1171"/>
      <c r="BI42" s="1171"/>
      <c r="BJ42" s="932"/>
      <c r="BK42" s="156"/>
      <c r="BL42" s="594"/>
      <c r="BM42" s="594"/>
      <c r="BN42" s="594"/>
      <c r="BO42" s="594"/>
      <c r="BP42" s="185"/>
      <c r="BQ42" s="156"/>
      <c r="BR42" s="594"/>
      <c r="BS42" s="594"/>
      <c r="BT42" s="594"/>
      <c r="BU42" s="594"/>
      <c r="BV42" s="156"/>
      <c r="BW42" s="158"/>
      <c r="BX42" s="185"/>
      <c r="BY42" s="185"/>
      <c r="BZ42" s="185"/>
      <c r="CA42" s="185"/>
      <c r="CB42" s="151"/>
      <c r="CC42" s="148"/>
      <c r="CD42" s="123"/>
      <c r="CE42" s="152"/>
      <c r="CF42" s="152"/>
    </row>
    <row r="43" spans="1:84" s="308" customFormat="1" ht="15" hidden="1" customHeight="1" x14ac:dyDescent="0.25">
      <c r="A43" s="84"/>
      <c r="B43" s="169" t="s">
        <v>348</v>
      </c>
      <c r="C43" s="508"/>
      <c r="D43" s="172"/>
      <c r="E43" s="38" t="s">
        <v>152</v>
      </c>
      <c r="F43" s="38"/>
      <c r="G43" s="38"/>
      <c r="H43" s="403" t="s">
        <v>18</v>
      </c>
      <c r="I43" s="145">
        <f>+'P01 2025'!F33</f>
        <v>15141014.982000001</v>
      </c>
      <c r="J43" s="306">
        <f>SUM(J44:J56)</f>
        <v>15100239.464</v>
      </c>
      <c r="K43" s="306">
        <f ca="1">SUMIF(T$3:$AM35,"ok",T43:AM43)</f>
        <v>10265647.789999999</v>
      </c>
      <c r="L43" s="378">
        <f t="shared" ca="1" si="3"/>
        <v>0.67983344333538576</v>
      </c>
      <c r="M43" s="306">
        <f>SUM(M44:M56)</f>
        <v>10265647.789999999</v>
      </c>
      <c r="N43" s="378">
        <f t="shared" si="5"/>
        <v>0.67983344333538576</v>
      </c>
      <c r="O43" s="306">
        <f t="shared" si="6"/>
        <v>4834591.6740000006</v>
      </c>
      <c r="P43" s="443">
        <f t="shared" si="7"/>
        <v>0.3201665566646143</v>
      </c>
      <c r="Q43" s="86">
        <f>+'P01 2024'!DJ33</f>
        <v>15057463.902266001</v>
      </c>
      <c r="R43" s="86">
        <f ca="1">SUM(R44:R56)</f>
        <v>10001282.965911999</v>
      </c>
      <c r="S43" s="378">
        <f t="shared" ca="1" si="8"/>
        <v>0.66420766676431509</v>
      </c>
      <c r="T43" s="509">
        <f>+'P01 2025'!G33</f>
        <v>1126633.4950000001</v>
      </c>
      <c r="U43" s="467">
        <f>+'P01 2024'!K33</f>
        <v>1099727.575248</v>
      </c>
      <c r="V43" s="467">
        <f>+'P01 2025'!N21</f>
        <v>1146159.4709999999</v>
      </c>
      <c r="W43" s="87">
        <f>+'P01 2024'!Q22</f>
        <v>1103477.5477720001</v>
      </c>
      <c r="X43" s="87">
        <f>+'P01 2025'!AC28</f>
        <v>1671590.953</v>
      </c>
      <c r="Y43" s="86">
        <f>+'P01 2024'!AE27</f>
        <v>1615638.7129580001</v>
      </c>
      <c r="Z43" s="86">
        <f>+'P01 2025'!AR26</f>
        <v>1155305.3959999999</v>
      </c>
      <c r="AA43" s="88">
        <f>+'P01 2024'!AT22</f>
        <v>1128582.4079240002</v>
      </c>
      <c r="AB43" s="88">
        <f>SUM(AB44:AB56)</f>
        <v>1146233.534</v>
      </c>
      <c r="AC43" s="88">
        <f>+'P01 2024'!BI22</f>
        <v>1125207.420982</v>
      </c>
      <c r="AD43" s="88">
        <f>+'P01 2025'!BU28</f>
        <v>1693369.7879999999</v>
      </c>
      <c r="AE43" s="88">
        <f>+'P01 2024'!BX28</f>
        <v>1651557.9961600001</v>
      </c>
      <c r="AF43" s="88">
        <f>+'P01 2025'!CI22</f>
        <v>1167572.3659999999</v>
      </c>
      <c r="AG43" s="88">
        <f>+'P01 2024'!CM28</f>
        <v>1139924.7258880001</v>
      </c>
      <c r="AH43" s="88">
        <f>+'P01 2025'!CX25</f>
        <v>1158782.787</v>
      </c>
      <c r="AI43" s="86">
        <f>+'P01 2024'!DB28</f>
        <v>1137166.57898</v>
      </c>
      <c r="AJ43" s="88">
        <f>+'P01 2024'!DR28</f>
        <v>1598754.25</v>
      </c>
      <c r="AK43" s="88">
        <f>SUM(AK44:AK56)</f>
        <v>1089682.3609999998</v>
      </c>
      <c r="AL43" s="88">
        <f>+'P01 2024'!ET22</f>
        <v>1090253.0989999999</v>
      </c>
      <c r="AM43" s="86">
        <f>+'P01 2024'!FL30</f>
        <v>1628256.9509999999</v>
      </c>
      <c r="AN43" s="1194"/>
      <c r="AO43" s="151"/>
      <c r="AP43" s="151"/>
      <c r="AQ43" s="151"/>
      <c r="AR43" s="151"/>
      <c r="AS43" s="151"/>
      <c r="AT43" s="151"/>
      <c r="AU43" s="151"/>
      <c r="AV43" s="151"/>
      <c r="AW43" s="1195"/>
      <c r="AX43" s="1196"/>
      <c r="AY43" s="148"/>
      <c r="AZ43" s="151"/>
      <c r="BA43" s="151"/>
      <c r="BB43" s="1172"/>
      <c r="BC43" s="151"/>
      <c r="BD43" s="151"/>
      <c r="BE43" s="1171"/>
      <c r="BF43" s="1171"/>
      <c r="BG43" s="1171"/>
      <c r="BH43" s="1171"/>
      <c r="BI43" s="1171"/>
      <c r="BJ43" s="932"/>
      <c r="BK43" s="156"/>
      <c r="BL43" s="594"/>
      <c r="BM43" s="594"/>
      <c r="BN43" s="594"/>
      <c r="BO43" s="594"/>
      <c r="BP43" s="185"/>
      <c r="BQ43" s="156"/>
      <c r="BR43" s="594"/>
      <c r="BS43" s="594"/>
      <c r="BT43" s="594"/>
      <c r="BU43" s="594"/>
      <c r="BV43" s="156"/>
      <c r="BW43" s="158"/>
      <c r="BX43" s="185"/>
      <c r="BY43" s="185"/>
      <c r="BZ43" s="185"/>
      <c r="CA43" s="185"/>
      <c r="CB43" s="151"/>
      <c r="CC43" s="148"/>
      <c r="CD43" s="123"/>
      <c r="CE43" s="152"/>
      <c r="CF43" s="152"/>
    </row>
    <row r="44" spans="1:84" s="320" customFormat="1" ht="15" hidden="1" customHeight="1" x14ac:dyDescent="0.25">
      <c r="A44" s="329"/>
      <c r="B44" s="952" t="s">
        <v>349</v>
      </c>
      <c r="C44" s="955"/>
      <c r="D44" s="794"/>
      <c r="E44" s="933"/>
      <c r="F44" s="316">
        <v>1</v>
      </c>
      <c r="G44" s="315" t="str">
        <f t="shared" ref="G44:G49" si="10">+CONCATENATE($C$10,"",$D$42,"",$E$43,"00",F44)</f>
        <v>21.02.001.001</v>
      </c>
      <c r="H44" s="501" t="s">
        <v>583</v>
      </c>
      <c r="I44" s="317">
        <f>+'P01 2025'!F34</f>
        <v>3247279.827</v>
      </c>
      <c r="J44" s="317">
        <f>'P01 2025'!DE34</f>
        <v>3201504.3089999999</v>
      </c>
      <c r="K44" s="312">
        <f ca="1">SUMIF(T$3:$AM36,"ok",T44:AM44)</f>
        <v>2195089.4610000001</v>
      </c>
      <c r="L44" s="379">
        <f t="shared" ca="1" si="3"/>
        <v>0.68564313808018684</v>
      </c>
      <c r="M44" s="317">
        <f>'P01 2025'!DG34</f>
        <v>2195089.4610000001</v>
      </c>
      <c r="N44" s="379">
        <f t="shared" si="5"/>
        <v>0.68564313808018684</v>
      </c>
      <c r="O44" s="317">
        <f t="shared" si="6"/>
        <v>1006414.8479999998</v>
      </c>
      <c r="P44" s="445">
        <f t="shared" si="7"/>
        <v>0.31435686191981316</v>
      </c>
      <c r="Q44" s="249">
        <f>+'P01 2024'!DJ34</f>
        <v>3286263.91909</v>
      </c>
      <c r="R44" s="311">
        <f ca="1">SUMIF(T$3:$AM36,"SI",T44:AM44)</f>
        <v>2147451.8762300001</v>
      </c>
      <c r="S44" s="379">
        <f t="shared" ca="1" si="8"/>
        <v>0.65346299904745675</v>
      </c>
      <c r="T44" s="326">
        <f>+'P01 2025'!G34</f>
        <v>269720.89799999999</v>
      </c>
      <c r="U44" s="468">
        <f>+'P01 2024'!K34</f>
        <v>263287.49067000003</v>
      </c>
      <c r="V44" s="468">
        <f>+'P01 2025'!N22</f>
        <v>274451.92300000001</v>
      </c>
      <c r="W44" s="326">
        <f>+'P01 2024'!Q23</f>
        <v>264167.61492800002</v>
      </c>
      <c r="X44" s="326">
        <f>+'P01 2025'!AC29</f>
        <v>271832.74800000002</v>
      </c>
      <c r="Y44" s="249">
        <f>+'P01 2024'!AE28</f>
        <v>265413.82400399999</v>
      </c>
      <c r="Z44" s="249">
        <f>+'P01 2025'!AR27</f>
        <v>275135.12800000003</v>
      </c>
      <c r="AA44" s="249">
        <f>+'P01 2024'!AT23</f>
        <v>268924.86801199999</v>
      </c>
      <c r="AB44" s="249">
        <f>'P01 2025'!BF22</f>
        <v>274372.69699999999</v>
      </c>
      <c r="AC44" s="249">
        <f>+'P01 2024'!BI23</f>
        <v>269079.12985999999</v>
      </c>
      <c r="AD44" s="249">
        <f>+'P01 2025'!BU29</f>
        <v>275505.69099999999</v>
      </c>
      <c r="AE44" s="249">
        <f>+'P01 2024'!BX29</f>
        <v>272120.930008</v>
      </c>
      <c r="AF44" s="253">
        <f>+'P01 2025'!CI23</f>
        <v>277503.87300000002</v>
      </c>
      <c r="AG44" s="249">
        <f>+'P01 2024'!CM29</f>
        <v>272770.41486000002</v>
      </c>
      <c r="AH44" s="249">
        <f>+'P01 2025'!CX26</f>
        <v>276566.50300000003</v>
      </c>
      <c r="AI44" s="175">
        <f>+'P01 2024'!DB29</f>
        <v>271687.60388800001</v>
      </c>
      <c r="AJ44" s="249">
        <f>+'P01 2024'!DR29</f>
        <v>261049.96799999999</v>
      </c>
      <c r="AK44" s="249">
        <f>'P01 2024'!EG24</f>
        <v>261037.18599999999</v>
      </c>
      <c r="AL44" s="175">
        <f>+'P01 2024'!ET23</f>
        <v>261171.514</v>
      </c>
      <c r="AM44" s="253">
        <f>+'P01 2024'!FL31</f>
        <v>267675.48800000001</v>
      </c>
      <c r="AN44" s="1194"/>
      <c r="AO44" s="151"/>
      <c r="AP44" s="151"/>
      <c r="AQ44" s="151"/>
      <c r="AR44" s="151"/>
      <c r="AS44" s="151"/>
      <c r="AT44" s="151"/>
      <c r="AU44" s="151"/>
      <c r="AV44" s="151"/>
      <c r="AW44" s="1195"/>
      <c r="AX44" s="1196"/>
      <c r="AY44" s="148"/>
      <c r="AZ44" s="151"/>
      <c r="BA44" s="151"/>
      <c r="BB44" s="1172"/>
      <c r="BC44" s="151"/>
      <c r="BD44" s="151"/>
      <c r="BE44" s="1171"/>
      <c r="BF44" s="1171"/>
      <c r="BG44" s="1171"/>
      <c r="BH44" s="1171"/>
      <c r="BI44" s="151"/>
      <c r="BJ44" s="156"/>
      <c r="BK44" s="156"/>
      <c r="BL44" s="594"/>
      <c r="BM44" s="594"/>
      <c r="BN44" s="594"/>
      <c r="BO44" s="594"/>
      <c r="BP44" s="185"/>
      <c r="BQ44" s="156"/>
      <c r="BR44" s="594"/>
      <c r="BS44" s="594"/>
      <c r="BT44" s="594"/>
      <c r="BU44" s="594"/>
      <c r="BV44" s="156"/>
      <c r="BW44" s="158"/>
      <c r="BX44" s="185"/>
      <c r="BY44" s="185"/>
      <c r="BZ44" s="185"/>
      <c r="CA44" s="185"/>
      <c r="CB44" s="156"/>
      <c r="CC44" s="158"/>
      <c r="CD44" s="157"/>
      <c r="CE44" s="159"/>
      <c r="CF44" s="159"/>
    </row>
    <row r="45" spans="1:84" s="320" customFormat="1" ht="15" hidden="1" customHeight="1" x14ac:dyDescent="0.25">
      <c r="A45" s="329"/>
      <c r="B45" s="952" t="s">
        <v>532</v>
      </c>
      <c r="C45" s="955"/>
      <c r="D45" s="794"/>
      <c r="E45" s="933"/>
      <c r="F45" s="316">
        <v>2</v>
      </c>
      <c r="G45" s="315" t="str">
        <f t="shared" si="10"/>
        <v>21.02.001.002</v>
      </c>
      <c r="H45" s="501" t="s">
        <v>19</v>
      </c>
      <c r="I45" s="317">
        <f>+'P01 2025'!F35</f>
        <v>144871.696</v>
      </c>
      <c r="J45" s="317">
        <f>'P01 2025'!DE35</f>
        <v>144871.696</v>
      </c>
      <c r="K45" s="312">
        <f ca="1">SUMIF(T$3:$AM37,"ok",T45:AM45)</f>
        <v>108241.90700000001</v>
      </c>
      <c r="L45" s="379">
        <f t="shared" ca="1" si="3"/>
        <v>0.74715703611283746</v>
      </c>
      <c r="M45" s="317">
        <f>'P01 2025'!DG35</f>
        <v>108241.90700000001</v>
      </c>
      <c r="N45" s="379">
        <f t="shared" si="5"/>
        <v>0.74715703611283746</v>
      </c>
      <c r="O45" s="317">
        <f t="shared" si="6"/>
        <v>36629.78899999999</v>
      </c>
      <c r="P45" s="445">
        <f t="shared" si="7"/>
        <v>0.25284296388716254</v>
      </c>
      <c r="Q45" s="249">
        <f>+'P01 2024'!DJ35</f>
        <v>136752.08000000002</v>
      </c>
      <c r="R45" s="311">
        <f ca="1">SUMIF(T$3:$AM37,"SI",T45:AM45)</f>
        <v>99800.356106000007</v>
      </c>
      <c r="S45" s="379">
        <f t="shared" ca="1" si="8"/>
        <v>0.72979040688814378</v>
      </c>
      <c r="T45" s="326">
        <f>+'P01 2025'!G35</f>
        <v>12715.373</v>
      </c>
      <c r="U45" s="468">
        <f>+'P01 2024'!K35</f>
        <v>12646.526844</v>
      </c>
      <c r="V45" s="468">
        <f>+'P01 2025'!N23</f>
        <v>12734.592000000001</v>
      </c>
      <c r="W45" s="326">
        <f>+'P01 2024'!Q24</f>
        <v>12717.257804000001</v>
      </c>
      <c r="X45" s="326">
        <f>+'P01 2025'!AC30</f>
        <v>12933.252</v>
      </c>
      <c r="Y45" s="249">
        <f>+'P01 2024'!AE29</f>
        <v>12682.785318</v>
      </c>
      <c r="Z45" s="249">
        <f>+'P01 2025'!AR28</f>
        <v>12999.513000000001</v>
      </c>
      <c r="AA45" s="249">
        <f>+'P01 2024'!AT24</f>
        <v>12451.011174000001</v>
      </c>
      <c r="AB45" s="249">
        <f>'P01 2025'!BF23</f>
        <v>13050.011</v>
      </c>
      <c r="AC45" s="249">
        <f>+'P01 2024'!BI24</f>
        <v>12220.681242000001</v>
      </c>
      <c r="AD45" s="249">
        <f>+'P01 2025'!BU30</f>
        <v>13120.012000000001</v>
      </c>
      <c r="AE45" s="249">
        <f>+'P01 2024'!BX30</f>
        <v>12353.100686000002</v>
      </c>
      <c r="AF45" s="253">
        <f>+'P01 2025'!CI24</f>
        <v>17927.38</v>
      </c>
      <c r="AG45" s="249">
        <f>+'P01 2024'!CM30</f>
        <v>12319.872348000001</v>
      </c>
      <c r="AH45" s="249">
        <f>+'P01 2025'!CX27</f>
        <v>12761.773999999999</v>
      </c>
      <c r="AI45" s="175">
        <f>+'P01 2024'!DB30</f>
        <v>12409.12069</v>
      </c>
      <c r="AJ45" s="249">
        <f>+'P01 2024'!DR30</f>
        <v>12064.635</v>
      </c>
      <c r="AK45" s="249">
        <f>'P01 2024'!EG25</f>
        <v>12102.164000000001</v>
      </c>
      <c r="AL45" s="175">
        <f>+'P01 2024'!ET24</f>
        <v>12244.607</v>
      </c>
      <c r="AM45" s="253">
        <f>+'P01 2024'!FL32</f>
        <v>12681.06</v>
      </c>
      <c r="AN45" s="1194"/>
      <c r="AO45" s="151"/>
      <c r="AP45" s="151"/>
      <c r="AQ45" s="151"/>
      <c r="AR45" s="151"/>
      <c r="AS45" s="151"/>
      <c r="AT45" s="151"/>
      <c r="AU45" s="151"/>
      <c r="AV45" s="151"/>
      <c r="AW45" s="1195"/>
      <c r="AX45" s="1196"/>
      <c r="AY45" s="148"/>
      <c r="AZ45" s="151"/>
      <c r="BA45" s="151"/>
      <c r="BB45" s="1172"/>
      <c r="BC45" s="151"/>
      <c r="BD45" s="151"/>
      <c r="BE45" s="1171"/>
      <c r="BF45" s="1171"/>
      <c r="BG45" s="1171"/>
      <c r="BH45" s="1171"/>
      <c r="BI45" s="151"/>
      <c r="BJ45" s="156"/>
      <c r="BK45" s="156"/>
      <c r="BL45" s="594"/>
      <c r="BM45" s="594"/>
      <c r="BN45" s="594"/>
      <c r="BO45" s="594"/>
      <c r="BP45" s="185"/>
      <c r="BQ45" s="156"/>
      <c r="BR45" s="594"/>
      <c r="BS45" s="594"/>
      <c r="BT45" s="594"/>
      <c r="BU45" s="594"/>
      <c r="BV45" s="156"/>
      <c r="BW45" s="158"/>
      <c r="BX45" s="185"/>
      <c r="BY45" s="185"/>
      <c r="BZ45" s="185"/>
      <c r="CA45" s="185"/>
      <c r="CB45" s="156"/>
      <c r="CC45" s="158"/>
      <c r="CD45" s="157"/>
      <c r="CE45" s="159"/>
      <c r="CF45" s="159"/>
    </row>
    <row r="46" spans="1:84" s="320" customFormat="1" ht="15" hidden="1" customHeight="1" x14ac:dyDescent="0.25">
      <c r="A46" s="329"/>
      <c r="B46" s="952" t="s">
        <v>350</v>
      </c>
      <c r="C46" s="955"/>
      <c r="D46" s="794"/>
      <c r="E46" s="933"/>
      <c r="F46" s="316">
        <v>3</v>
      </c>
      <c r="G46" s="315" t="str">
        <f t="shared" si="10"/>
        <v>21.02.001.003</v>
      </c>
      <c r="H46" s="501" t="s">
        <v>20</v>
      </c>
      <c r="I46" s="317">
        <f>+'P01 2025'!F36</f>
        <v>2214042.253</v>
      </c>
      <c r="J46" s="317">
        <f>'P01 2025'!DE36</f>
        <v>2214042.253</v>
      </c>
      <c r="K46" s="312">
        <f ca="1">SUMIF(T$3:$AM38,"ok",T46:AM46)</f>
        <v>1563881.125</v>
      </c>
      <c r="L46" s="379">
        <f t="shared" ca="1" si="3"/>
        <v>0.70634655814764158</v>
      </c>
      <c r="M46" s="317">
        <f>'P01 2025'!DG36</f>
        <v>1563881.125</v>
      </c>
      <c r="N46" s="379">
        <f t="shared" si="5"/>
        <v>0.70634655814764158</v>
      </c>
      <c r="O46" s="317">
        <f t="shared" si="6"/>
        <v>650161.12800000003</v>
      </c>
      <c r="P46" s="445">
        <f t="shared" si="7"/>
        <v>0.29365344185235837</v>
      </c>
      <c r="Q46" s="249">
        <f>+'P01 2024'!DJ36</f>
        <v>2170600.62</v>
      </c>
      <c r="R46" s="311">
        <f ca="1">SUMIF(T$3:$AM38,"SI",T46:AM46)</f>
        <v>1527828.4487040001</v>
      </c>
      <c r="S46" s="379">
        <f t="shared" ca="1" si="8"/>
        <v>0.70387358900874175</v>
      </c>
      <c r="T46" s="326">
        <f>+'P01 2025'!G36</f>
        <v>191403.06099999999</v>
      </c>
      <c r="U46" s="468">
        <f>+'P01 2024'!K36</f>
        <v>186715.3027</v>
      </c>
      <c r="V46" s="468">
        <f>+'P01 2025'!N24</f>
        <v>195129.00099999999</v>
      </c>
      <c r="W46" s="326">
        <f>+'P01 2024'!Q25</f>
        <v>187392.04002000001</v>
      </c>
      <c r="X46" s="326">
        <f>+'P01 2025'!AC31</f>
        <v>194460.59299999999</v>
      </c>
      <c r="Y46" s="249">
        <f>+'P01 2024'!AE30</f>
        <v>188250.66365000003</v>
      </c>
      <c r="Z46" s="249">
        <f>+'P01 2025'!AR29</f>
        <v>195746.611</v>
      </c>
      <c r="AA46" s="249">
        <f>+'P01 2024'!AT25</f>
        <v>192273.49533600002</v>
      </c>
      <c r="AB46" s="249">
        <f>'P01 2025'!BF24</f>
        <v>194965.71100000001</v>
      </c>
      <c r="AC46" s="249">
        <f>+'P01 2024'!BI25</f>
        <v>191745.64939599999</v>
      </c>
      <c r="AD46" s="249">
        <f>+'P01 2025'!BU31</f>
        <v>196614.927</v>
      </c>
      <c r="AE46" s="249">
        <f>+'P01 2024'!BX31</f>
        <v>193716.539254</v>
      </c>
      <c r="AF46" s="253">
        <f>+'P01 2025'!CI25</f>
        <v>197967.109</v>
      </c>
      <c r="AG46" s="249">
        <f>+'P01 2024'!CM31</f>
        <v>194070.748398</v>
      </c>
      <c r="AH46" s="249">
        <f>+'P01 2025'!CX28</f>
        <v>197594.11199999999</v>
      </c>
      <c r="AI46" s="175">
        <f>+'P01 2024'!DB31</f>
        <v>193664.00995000001</v>
      </c>
      <c r="AJ46" s="249">
        <f>+'P01 2024'!DR31</f>
        <v>186622.986</v>
      </c>
      <c r="AK46" s="249">
        <f>'P01 2024'!EG26</f>
        <v>184979.38800000001</v>
      </c>
      <c r="AL46" s="175">
        <f>+'P01 2024'!ET25</f>
        <v>185524.48000000001</v>
      </c>
      <c r="AM46" s="253">
        <f>+'P01 2024'!FL33</f>
        <v>190611.50899999999</v>
      </c>
      <c r="AN46" s="1194"/>
      <c r="AO46" s="151"/>
      <c r="AP46" s="151"/>
      <c r="AQ46" s="151"/>
      <c r="AR46" s="151"/>
      <c r="AS46" s="151"/>
      <c r="AT46" s="151"/>
      <c r="AU46" s="151"/>
      <c r="AV46" s="151"/>
      <c r="AW46" s="1195"/>
      <c r="AX46" s="1196"/>
      <c r="AY46" s="148"/>
      <c r="AZ46" s="151"/>
      <c r="BA46" s="151"/>
      <c r="BB46" s="1172"/>
      <c r="BC46" s="151"/>
      <c r="BD46" s="151"/>
      <c r="BE46" s="1171"/>
      <c r="BF46" s="1171"/>
      <c r="BG46" s="1171"/>
      <c r="BH46" s="1171"/>
      <c r="BI46" s="151"/>
      <c r="BJ46" s="156"/>
      <c r="BK46" s="156"/>
      <c r="BL46" s="594"/>
      <c r="BM46" s="594"/>
      <c r="BN46" s="594"/>
      <c r="BO46" s="594"/>
      <c r="BP46" s="185"/>
      <c r="BQ46" s="156"/>
      <c r="BR46" s="594"/>
      <c r="BS46" s="594"/>
      <c r="BT46" s="594"/>
      <c r="BU46" s="594"/>
      <c r="BV46" s="156"/>
      <c r="BW46" s="158"/>
      <c r="BX46" s="185"/>
      <c r="BY46" s="185"/>
      <c r="BZ46" s="185"/>
      <c r="CA46" s="185"/>
      <c r="CB46" s="156"/>
      <c r="CC46" s="158"/>
      <c r="CD46" s="157"/>
      <c r="CE46" s="159"/>
      <c r="CF46" s="159"/>
    </row>
    <row r="47" spans="1:84" s="320" customFormat="1" ht="15" hidden="1" customHeight="1" x14ac:dyDescent="0.25">
      <c r="A47" s="329"/>
      <c r="B47" s="952" t="s">
        <v>351</v>
      </c>
      <c r="C47" s="955"/>
      <c r="D47" s="794"/>
      <c r="E47" s="933"/>
      <c r="F47" s="316">
        <v>4</v>
      </c>
      <c r="G47" s="315" t="str">
        <f t="shared" si="10"/>
        <v>21.02.001.004</v>
      </c>
      <c r="H47" s="501" t="s">
        <v>21</v>
      </c>
      <c r="I47" s="317">
        <f>+'P01 2025'!F37</f>
        <v>289402.63799999998</v>
      </c>
      <c r="J47" s="317">
        <f>'P01 2025'!DE37</f>
        <v>289402.63799999998</v>
      </c>
      <c r="K47" s="312">
        <f ca="1">SUMIF(T$3:$AM39,"ok",T47:AM47)</f>
        <v>200682.68499999997</v>
      </c>
      <c r="L47" s="379">
        <f t="shared" ca="1" si="3"/>
        <v>0.69343764931403284</v>
      </c>
      <c r="M47" s="317">
        <f>'P01 2025'!DG37</f>
        <v>200682.685</v>
      </c>
      <c r="N47" s="379">
        <f t="shared" si="5"/>
        <v>0.69343764931403296</v>
      </c>
      <c r="O47" s="317">
        <f t="shared" si="6"/>
        <v>88719.95299999998</v>
      </c>
      <c r="P47" s="445">
        <f t="shared" si="7"/>
        <v>0.3065623506859671</v>
      </c>
      <c r="Q47" s="249">
        <f>+'P01 2024'!DJ37</f>
        <v>288738.2</v>
      </c>
      <c r="R47" s="311">
        <f ca="1">SUMIF(T$3:$AM39,"SI",T47:AM47)</f>
        <v>200936.49786</v>
      </c>
      <c r="S47" s="379">
        <f t="shared" ca="1" si="8"/>
        <v>0.6959124142908697</v>
      </c>
      <c r="T47" s="326">
        <f>+'P01 2025'!G37</f>
        <v>25083.486000000001</v>
      </c>
      <c r="U47" s="468">
        <f>+'P01 2024'!K37</f>
        <v>24727.733260000001</v>
      </c>
      <c r="V47" s="468">
        <f>+'P01 2025'!N25</f>
        <v>24582.066999999999</v>
      </c>
      <c r="W47" s="326">
        <f>+'P01 2024'!Q26</f>
        <v>24727.733260000001</v>
      </c>
      <c r="X47" s="326">
        <f>+'P01 2025'!AC32</f>
        <v>24524.521000000001</v>
      </c>
      <c r="Y47" s="249">
        <f>+'P01 2024'!AE31</f>
        <v>24828.991694</v>
      </c>
      <c r="Z47" s="249">
        <f>+'P01 2025'!AR30</f>
        <v>24695.776999999998</v>
      </c>
      <c r="AA47" s="249">
        <f>+'P01 2024'!AT26</f>
        <v>25507.694226</v>
      </c>
      <c r="AB47" s="249">
        <f>'P01 2025'!BF25</f>
        <v>24716.987000000001</v>
      </c>
      <c r="AC47" s="249">
        <f>+'P01 2024'!BI26</f>
        <v>25176.759193999998</v>
      </c>
      <c r="AD47" s="249">
        <f>+'P01 2025'!BU32</f>
        <v>25363.045999999998</v>
      </c>
      <c r="AE47" s="249">
        <f>+'P01 2024'!BX32</f>
        <v>25561.659406000002</v>
      </c>
      <c r="AF47" s="253">
        <f>+'P01 2025'!CI26</f>
        <v>25840.341</v>
      </c>
      <c r="AG47" s="249">
        <f>+'P01 2024'!CM32</f>
        <v>25205.47984</v>
      </c>
      <c r="AH47" s="249">
        <f>+'P01 2025'!CX29</f>
        <v>25876.46</v>
      </c>
      <c r="AI47" s="175">
        <f>+'P01 2024'!DB32</f>
        <v>25200.446980000001</v>
      </c>
      <c r="AJ47" s="249">
        <f>+'P01 2024'!DR32</f>
        <v>24209.991999999998</v>
      </c>
      <c r="AK47" s="249">
        <f>'P01 2024'!EG27</f>
        <v>24711.469000000001</v>
      </c>
      <c r="AL47" s="175">
        <f>+'P01 2024'!ET26</f>
        <v>23620.608</v>
      </c>
      <c r="AM47" s="253">
        <f>+'P01 2024'!FL34</f>
        <v>24021.701000000001</v>
      </c>
      <c r="AN47" s="1194"/>
      <c r="AO47" s="151"/>
      <c r="AP47" s="151"/>
      <c r="AQ47" s="151"/>
      <c r="AR47" s="151"/>
      <c r="AS47" s="151"/>
      <c r="AT47" s="151"/>
      <c r="AU47" s="151"/>
      <c r="AV47" s="151"/>
      <c r="AW47" s="1195"/>
      <c r="AX47" s="1196"/>
      <c r="AY47" s="148"/>
      <c r="AZ47" s="151"/>
      <c r="BA47" s="151"/>
      <c r="BB47" s="1172"/>
      <c r="BC47" s="151"/>
      <c r="BD47" s="151"/>
      <c r="BE47" s="1171"/>
      <c r="BF47" s="1171"/>
      <c r="BG47" s="1171"/>
      <c r="BH47" s="1171"/>
      <c r="BI47" s="151"/>
      <c r="BJ47" s="156"/>
      <c r="BK47" s="156"/>
      <c r="BL47" s="594"/>
      <c r="BM47" s="594"/>
      <c r="BN47" s="594"/>
      <c r="BO47" s="594"/>
      <c r="BP47" s="185"/>
      <c r="BQ47" s="156"/>
      <c r="BR47" s="594"/>
      <c r="BS47" s="594"/>
      <c r="BT47" s="594"/>
      <c r="BU47" s="594"/>
      <c r="BV47" s="156"/>
      <c r="BW47" s="158"/>
      <c r="BX47" s="185"/>
      <c r="BY47" s="185"/>
      <c r="BZ47" s="185"/>
      <c r="CA47" s="185"/>
      <c r="CB47" s="156"/>
      <c r="CC47" s="158"/>
      <c r="CD47" s="157"/>
      <c r="CE47" s="159"/>
      <c r="CF47" s="159"/>
    </row>
    <row r="48" spans="1:84" s="320" customFormat="1" ht="15" hidden="1" customHeight="1" x14ac:dyDescent="0.25">
      <c r="A48" s="329"/>
      <c r="B48" s="952" t="s">
        <v>533</v>
      </c>
      <c r="C48" s="955"/>
      <c r="D48" s="794"/>
      <c r="E48" s="933"/>
      <c r="F48" s="316">
        <v>6</v>
      </c>
      <c r="G48" s="315" t="str">
        <f t="shared" si="10"/>
        <v>21.02.001.006</v>
      </c>
      <c r="H48" s="501" t="s">
        <v>99</v>
      </c>
      <c r="I48" s="317">
        <v>0</v>
      </c>
      <c r="J48" s="317">
        <v>0</v>
      </c>
      <c r="K48" s="317">
        <f ca="1">SUMIF(T$3:$AM40,"ok",T48:AM48)</f>
        <v>0</v>
      </c>
      <c r="L48" s="379">
        <f t="shared" ca="1" si="3"/>
        <v>0</v>
      </c>
      <c r="M48" s="317">
        <v>0</v>
      </c>
      <c r="N48" s="379">
        <f t="shared" si="5"/>
        <v>0</v>
      </c>
      <c r="O48" s="317">
        <f t="shared" si="6"/>
        <v>0</v>
      </c>
      <c r="P48" s="445">
        <f t="shared" si="7"/>
        <v>0</v>
      </c>
      <c r="Q48" s="249">
        <v>0</v>
      </c>
      <c r="R48" s="311">
        <f ca="1">SUMIF(T$3:$AM40,"SI",T48:AM48)</f>
        <v>0</v>
      </c>
      <c r="S48" s="379" t="str">
        <f t="shared" ca="1" si="8"/>
        <v>0,00%</v>
      </c>
      <c r="T48" s="326">
        <v>0</v>
      </c>
      <c r="U48" s="468">
        <v>0</v>
      </c>
      <c r="V48" s="468">
        <v>0</v>
      </c>
      <c r="W48" s="326">
        <v>0</v>
      </c>
      <c r="X48" s="326">
        <v>0</v>
      </c>
      <c r="Y48" s="249">
        <v>0</v>
      </c>
      <c r="Z48" s="249">
        <v>0</v>
      </c>
      <c r="AA48" s="249">
        <v>0</v>
      </c>
      <c r="AB48" s="249">
        <v>0</v>
      </c>
      <c r="AC48" s="249">
        <v>0</v>
      </c>
      <c r="AD48" s="249">
        <v>0</v>
      </c>
      <c r="AE48" s="249">
        <v>0</v>
      </c>
      <c r="AF48" s="253">
        <v>0</v>
      </c>
      <c r="AG48" s="249">
        <v>0</v>
      </c>
      <c r="AH48" s="249"/>
      <c r="AI48" s="175">
        <v>0</v>
      </c>
      <c r="AJ48" s="249">
        <v>0</v>
      </c>
      <c r="AK48" s="249">
        <v>0</v>
      </c>
      <c r="AL48" s="175">
        <v>0</v>
      </c>
      <c r="AM48" s="175">
        <v>0</v>
      </c>
      <c r="AN48" s="1139"/>
      <c r="AO48" s="156"/>
      <c r="AP48" s="156"/>
      <c r="AQ48" s="156"/>
      <c r="AR48" s="156"/>
      <c r="AS48" s="156"/>
      <c r="AT48" s="156"/>
      <c r="AU48" s="156"/>
      <c r="AV48" s="156"/>
      <c r="AW48" s="1140"/>
      <c r="AX48" s="1197"/>
      <c r="AY48" s="148"/>
      <c r="AZ48" s="151"/>
      <c r="BA48" s="151"/>
      <c r="BB48" s="1172"/>
      <c r="BC48" s="151"/>
      <c r="BD48" s="151"/>
      <c r="BE48" s="1171"/>
      <c r="BF48" s="1171"/>
      <c r="BG48" s="1171"/>
      <c r="BH48" s="1171"/>
      <c r="BI48" s="151"/>
      <c r="BJ48" s="156"/>
      <c r="BK48" s="156"/>
      <c r="BL48" s="594"/>
      <c r="BM48" s="594"/>
      <c r="BN48" s="594"/>
      <c r="BO48" s="594"/>
      <c r="BP48" s="185"/>
      <c r="BQ48" s="156"/>
      <c r="BR48" s="594"/>
      <c r="BS48" s="594"/>
      <c r="BT48" s="594"/>
      <c r="BU48" s="594"/>
      <c r="BV48" s="156"/>
      <c r="BW48" s="158"/>
      <c r="BX48" s="185"/>
      <c r="BY48" s="185"/>
      <c r="BZ48" s="185"/>
      <c r="CA48" s="185"/>
      <c r="CB48" s="156"/>
      <c r="CC48" s="158"/>
      <c r="CD48" s="157"/>
      <c r="CE48" s="159"/>
      <c r="CF48" s="159"/>
    </row>
    <row r="49" spans="1:84" s="320" customFormat="1" ht="15" hidden="1" customHeight="1" x14ac:dyDescent="0.25">
      <c r="A49" s="329"/>
      <c r="B49" s="952" t="s">
        <v>534</v>
      </c>
      <c r="C49" s="955"/>
      <c r="D49" s="794"/>
      <c r="E49" s="933"/>
      <c r="F49" s="316">
        <v>7</v>
      </c>
      <c r="G49" s="315" t="str">
        <f t="shared" si="10"/>
        <v>21.02.001.007</v>
      </c>
      <c r="H49" s="501" t="s">
        <v>100</v>
      </c>
      <c r="I49" s="317">
        <f>+'P01 2025'!F38</f>
        <v>149822.50099999999</v>
      </c>
      <c r="J49" s="317">
        <f>'P01 2025'!DE38</f>
        <v>149822.50099999999</v>
      </c>
      <c r="K49" s="312">
        <f ca="1">SUMIF(T$3:$AM41,"ok",T49:AM49)</f>
        <v>83143.302000000011</v>
      </c>
      <c r="L49" s="379">
        <f t="shared" ca="1" si="3"/>
        <v>0.55494536164497754</v>
      </c>
      <c r="M49" s="317">
        <f>'P01 2025'!DG38</f>
        <v>83143.301999999996</v>
      </c>
      <c r="N49" s="379">
        <f t="shared" si="5"/>
        <v>0.55494536164497754</v>
      </c>
      <c r="O49" s="317">
        <f t="shared" si="6"/>
        <v>66679.198999999993</v>
      </c>
      <c r="P49" s="445">
        <f t="shared" si="7"/>
        <v>0.44505463835502251</v>
      </c>
      <c r="Q49" s="249">
        <f>+'P01 2024'!DJ38</f>
        <v>147557.62</v>
      </c>
      <c r="R49" s="311">
        <f ca="1">SUMIF(T$3:$AM41,"SI",T49:AM49)</f>
        <v>100750.13598000001</v>
      </c>
      <c r="S49" s="379">
        <f t="shared" ca="1" si="8"/>
        <v>0.68278504342913637</v>
      </c>
      <c r="T49" s="326">
        <f>+'P01 2025'!G38</f>
        <v>9492.8590000000004</v>
      </c>
      <c r="U49" s="468">
        <f>+'P01 2024'!K38</f>
        <v>13287.280778000002</v>
      </c>
      <c r="V49" s="468">
        <f>+'P01 2025'!N26</f>
        <v>9492.8590000000004</v>
      </c>
      <c r="W49" s="326">
        <f>+'P01 2024'!Q27</f>
        <v>13595.715904000001</v>
      </c>
      <c r="X49" s="326">
        <f>+'P01 2025'!AC33</f>
        <v>10343.364</v>
      </c>
      <c r="Y49" s="249">
        <f>+'P01 2024'!AE32</f>
        <v>12281.993564</v>
      </c>
      <c r="Z49" s="249">
        <f>+'P01 2025'!AR31</f>
        <v>10343.364</v>
      </c>
      <c r="AA49" s="249">
        <f>+'P01 2024'!AT27</f>
        <v>12281.993564</v>
      </c>
      <c r="AB49" s="249">
        <f>'P01 2025'!BF26</f>
        <v>9796.1550000000007</v>
      </c>
      <c r="AC49" s="249">
        <f>+'P01 2024'!BI27</f>
        <v>12281.993564</v>
      </c>
      <c r="AD49" s="249">
        <f>+'P01 2025'!BU33</f>
        <v>10805.133</v>
      </c>
      <c r="AE49" s="249">
        <f>+'P01 2024'!BX33</f>
        <v>12343.408002</v>
      </c>
      <c r="AF49" s="249">
        <f>+'P01 2025'!CI27</f>
        <v>11434.784</v>
      </c>
      <c r="AG49" s="249">
        <f>+'P01 2024'!CM33</f>
        <v>12341.391732</v>
      </c>
      <c r="AH49" s="249">
        <f>+'P01 2025'!CX30</f>
        <v>11434.784</v>
      </c>
      <c r="AI49" s="175">
        <f>+'P01 2024'!DB33</f>
        <v>12336.358872000001</v>
      </c>
      <c r="AJ49" s="249">
        <f>+'P01 2024'!DR33</f>
        <v>15704.370999999999</v>
      </c>
      <c r="AK49" s="249">
        <f>'P01 2024'!EG28</f>
        <v>12370.507</v>
      </c>
      <c r="AL49" s="175">
        <f>+'P01 2024'!ET27</f>
        <v>12316.456</v>
      </c>
      <c r="AM49" s="175">
        <f>+'P01 2024'!FL35</f>
        <v>12740.439</v>
      </c>
      <c r="AN49" s="1194"/>
      <c r="AO49" s="151"/>
      <c r="AP49" s="151"/>
      <c r="AQ49" s="151"/>
      <c r="AR49" s="151"/>
      <c r="AS49" s="151"/>
      <c r="AT49" s="151"/>
      <c r="AU49" s="151"/>
      <c r="AV49" s="151"/>
      <c r="AW49" s="1195"/>
      <c r="AX49" s="1196"/>
      <c r="AY49" s="148"/>
      <c r="AZ49" s="151"/>
      <c r="BA49" s="151"/>
      <c r="BB49" s="1172"/>
      <c r="BC49" s="151"/>
      <c r="BD49" s="151"/>
      <c r="BE49" s="1171"/>
      <c r="BF49" s="1171"/>
      <c r="BG49" s="1171"/>
      <c r="BH49" s="1171"/>
      <c r="BI49" s="151"/>
      <c r="BJ49" s="156"/>
      <c r="BK49" s="156"/>
      <c r="BL49" s="594"/>
      <c r="BM49" s="594"/>
      <c r="BN49" s="594"/>
      <c r="BO49" s="594"/>
      <c r="BP49" s="185"/>
      <c r="BQ49" s="156"/>
      <c r="BR49" s="594"/>
      <c r="BS49" s="594"/>
      <c r="BT49" s="594"/>
      <c r="BU49" s="594"/>
      <c r="BV49" s="156"/>
      <c r="BW49" s="158"/>
      <c r="BX49" s="185"/>
      <c r="BY49" s="185"/>
      <c r="BZ49" s="185"/>
      <c r="CA49" s="185"/>
      <c r="CB49" s="156"/>
      <c r="CC49" s="158"/>
      <c r="CD49" s="157"/>
      <c r="CE49" s="159"/>
      <c r="CF49" s="159"/>
    </row>
    <row r="50" spans="1:84" s="320" customFormat="1" ht="15" hidden="1" customHeight="1" x14ac:dyDescent="0.25">
      <c r="A50" s="329"/>
      <c r="B50" s="952" t="s">
        <v>535</v>
      </c>
      <c r="C50" s="955"/>
      <c r="D50" s="794"/>
      <c r="E50" s="933"/>
      <c r="F50" s="316">
        <v>13</v>
      </c>
      <c r="G50" s="315" t="str">
        <f t="shared" ref="G50:G56" si="11">+CONCATENATE($C$10,"",$D$42,"",$E$43,"0",F50)</f>
        <v>21.02.001.013</v>
      </c>
      <c r="H50" s="501" t="s">
        <v>24</v>
      </c>
      <c r="I50" s="248">
        <f>+'P01 2025'!F39</f>
        <v>2483515.6749999998</v>
      </c>
      <c r="J50" s="317">
        <f>'P01 2025'!DE39</f>
        <v>2483515.6749999998</v>
      </c>
      <c r="K50" s="312">
        <f ca="1">SUMIF(T$3:$AM42,"ok",T50:AM50)</f>
        <v>1713895.0390000001</v>
      </c>
      <c r="L50" s="379">
        <f t="shared" ca="1" si="3"/>
        <v>0.69010840408728258</v>
      </c>
      <c r="M50" s="317">
        <f>'P01 2025'!DG39</f>
        <v>1713895.0390000001</v>
      </c>
      <c r="N50" s="379">
        <f t="shared" si="5"/>
        <v>0.69010840408728258</v>
      </c>
      <c r="O50" s="317">
        <f t="shared" si="6"/>
        <v>769620.63599999971</v>
      </c>
      <c r="P50" s="445">
        <f t="shared" si="7"/>
        <v>0.30989159591271748</v>
      </c>
      <c r="Q50" s="249">
        <f>+'P01 2024'!DJ39</f>
        <v>2422754.2000000002</v>
      </c>
      <c r="R50" s="311">
        <f ca="1">SUMIF(T$3:$AM42,"SI",T50:AM50)</f>
        <v>1642964.2897620001</v>
      </c>
      <c r="S50" s="379">
        <f t="shared" ca="1" si="8"/>
        <v>0.67813907401832174</v>
      </c>
      <c r="T50" s="326">
        <f>+'P01 2025'!G39</f>
        <v>182584.842</v>
      </c>
      <c r="U50" s="468">
        <f>+'P01 2024'!K39</f>
        <v>178377.47711599999</v>
      </c>
      <c r="V50" s="468">
        <f>+'P01 2025'!N27</f>
        <v>186027.32</v>
      </c>
      <c r="W50" s="956">
        <f>+'P01 2024'!Q28</f>
        <v>178945.23165599999</v>
      </c>
      <c r="X50" s="326">
        <f>+'P01 2025'!AC34</f>
        <v>292338.84600000002</v>
      </c>
      <c r="Y50" s="249">
        <f>+'P01 2024'!AE33</f>
        <v>273215.98239600001</v>
      </c>
      <c r="Z50" s="249">
        <f>+'P01 2025'!AR32</f>
        <v>191904.03400000001</v>
      </c>
      <c r="AA50" s="249">
        <f>+'P01 2024'!AT28</f>
        <v>183257.02453</v>
      </c>
      <c r="AB50" s="249">
        <f>'P01 2025'!BF27</f>
        <v>186039.57500000001</v>
      </c>
      <c r="AC50" s="249">
        <f>+'P01 2024'!BI28</f>
        <v>182632.67480199999</v>
      </c>
      <c r="AD50" s="249">
        <f>+'P01 2025'!BU34</f>
        <v>297302.82500000001</v>
      </c>
      <c r="AE50" s="249">
        <f>+'P01 2024'!BX34</f>
        <v>277028.89276200003</v>
      </c>
      <c r="AF50" s="249">
        <f>+'P01 2025'!CI28</f>
        <v>189239.595</v>
      </c>
      <c r="AG50" s="249">
        <f>+'P01 2024'!CM34</f>
        <v>184949.20543800003</v>
      </c>
      <c r="AH50" s="249">
        <f>+'P01 2025'!CX31</f>
        <v>188458.00200000001</v>
      </c>
      <c r="AI50" s="175">
        <f>+'P01 2024'!DB34</f>
        <v>184557.80106199998</v>
      </c>
      <c r="AJ50" s="249">
        <f>+'P01 2024'!DR34</f>
        <v>272583.56699999998</v>
      </c>
      <c r="AK50" s="249">
        <f>'P01 2024'!EG29</f>
        <v>176622.46900000001</v>
      </c>
      <c r="AL50" s="175">
        <f>+'P01 2024'!ET28</f>
        <v>176857.49400000001</v>
      </c>
      <c r="AM50" s="175">
        <f>+'P01 2024'!FL36</f>
        <v>280618.05599999998</v>
      </c>
      <c r="AN50" s="1194"/>
      <c r="AO50" s="151"/>
      <c r="AP50" s="151"/>
      <c r="AQ50" s="151"/>
      <c r="AR50" s="151"/>
      <c r="AS50" s="151"/>
      <c r="AT50" s="151"/>
      <c r="AU50" s="151"/>
      <c r="AV50" s="151"/>
      <c r="AW50" s="1195"/>
      <c r="AX50" s="1196"/>
      <c r="AY50" s="148"/>
      <c r="AZ50" s="151"/>
      <c r="BA50" s="151"/>
      <c r="BB50" s="1172"/>
      <c r="BC50" s="151"/>
      <c r="BD50" s="151"/>
      <c r="BE50" s="1171"/>
      <c r="BF50" s="1171"/>
      <c r="BG50" s="1171"/>
      <c r="BH50" s="1171"/>
      <c r="BI50" s="151"/>
      <c r="BJ50" s="156"/>
      <c r="BK50" s="156"/>
      <c r="BL50" s="594"/>
      <c r="BM50" s="594"/>
      <c r="BN50" s="594"/>
      <c r="BO50" s="594"/>
      <c r="BP50" s="185"/>
      <c r="BQ50" s="156"/>
      <c r="BR50" s="594"/>
      <c r="BS50" s="594"/>
      <c r="BT50" s="594"/>
      <c r="BU50" s="594"/>
      <c r="BV50" s="156"/>
      <c r="BW50" s="158"/>
      <c r="BX50" s="185"/>
      <c r="BY50" s="185"/>
      <c r="BZ50" s="185"/>
      <c r="CA50" s="185"/>
      <c r="CB50" s="156"/>
      <c r="CC50" s="158"/>
      <c r="CD50" s="157"/>
      <c r="CE50" s="159"/>
      <c r="CF50" s="159"/>
    </row>
    <row r="51" spans="1:84" s="320" customFormat="1" ht="15" hidden="1" customHeight="1" x14ac:dyDescent="0.25">
      <c r="A51" s="329"/>
      <c r="B51" s="952" t="s">
        <v>536</v>
      </c>
      <c r="C51" s="955"/>
      <c r="D51" s="794"/>
      <c r="E51" s="933"/>
      <c r="F51" s="316">
        <v>14</v>
      </c>
      <c r="G51" s="315" t="str">
        <f t="shared" si="11"/>
        <v>21.02.001.014</v>
      </c>
      <c r="H51" s="501" t="s">
        <v>25</v>
      </c>
      <c r="I51" s="248">
        <f>+'P01 2025'!F40</f>
        <v>4986131.4129999997</v>
      </c>
      <c r="J51" s="317">
        <f>'P01 2025'!DE40</f>
        <v>4986131.4129999997</v>
      </c>
      <c r="K51" s="312">
        <f ca="1">SUMIF(T$3:$AM43,"ok",T51:AM51)</f>
        <v>3541280.4139999999</v>
      </c>
      <c r="L51" s="379">
        <f t="shared" ca="1" si="3"/>
        <v>0.71022604915046195</v>
      </c>
      <c r="M51" s="317">
        <f>'P01 2025'!DG40</f>
        <v>3541280.4139999999</v>
      </c>
      <c r="N51" s="379">
        <f t="shared" si="5"/>
        <v>0.71022604915046195</v>
      </c>
      <c r="O51" s="317">
        <f t="shared" si="6"/>
        <v>1444850.9989999998</v>
      </c>
      <c r="P51" s="445">
        <f t="shared" si="7"/>
        <v>0.28977395084953811</v>
      </c>
      <c r="Q51" s="249">
        <f>+'P01 2024'!DJ40</f>
        <v>4912311.0200000005</v>
      </c>
      <c r="R51" s="311">
        <f ca="1">SUMIF(T$3:$AM43,"SI",T51:AM51)</f>
        <v>3441869.520912</v>
      </c>
      <c r="S51" s="379">
        <f t="shared" ca="1" si="8"/>
        <v>0.70066197089287718</v>
      </c>
      <c r="T51" s="326">
        <f>+'P01 2025'!G40</f>
        <v>434904.14799999999</v>
      </c>
      <c r="U51" s="468">
        <f>+'P01 2024'!K40</f>
        <v>420323.28750799998</v>
      </c>
      <c r="V51" s="468">
        <f>+'P01 2025'!N28</f>
        <v>443012.88099999999</v>
      </c>
      <c r="W51" s="956">
        <f>+'P01 2024'!Q29</f>
        <v>421569.47782800003</v>
      </c>
      <c r="X51" s="326">
        <f>+'P01 2025'!AC35</f>
        <v>440451.04100000003</v>
      </c>
      <c r="Y51" s="249">
        <f>+'P01 2024'!AE34</f>
        <v>424910.14233200002</v>
      </c>
      <c r="Z51" s="249">
        <f>+'P01 2025'!AR33</f>
        <v>443500.64399999997</v>
      </c>
      <c r="AA51" s="249">
        <f>+'P01 2024'!AT29</f>
        <v>432407.48759000003</v>
      </c>
      <c r="AB51" s="249">
        <f>'P01 2025'!BF28</f>
        <v>442563.57</v>
      </c>
      <c r="AC51" s="249">
        <f>+'P01 2024'!BI29</f>
        <v>431708.05655200005</v>
      </c>
      <c r="AD51" s="249">
        <f>+'P01 2025'!BU35</f>
        <v>444564.68199999997</v>
      </c>
      <c r="AE51" s="249">
        <f>+'P01 2024'!BX35</f>
        <v>436515.27353600005</v>
      </c>
      <c r="AF51" s="249">
        <f>+'P01 2025'!CI29</f>
        <v>446925.79</v>
      </c>
      <c r="AG51" s="249">
        <f>+'P01 2024'!CM35</f>
        <v>437467.70009000006</v>
      </c>
      <c r="AH51" s="249">
        <f>+'P01 2025'!CX32</f>
        <v>445357.658</v>
      </c>
      <c r="AI51" s="175">
        <f>+'P01 2024'!DB35</f>
        <v>436968.09547600005</v>
      </c>
      <c r="AJ51" s="249">
        <f>+'P01 2024'!DR35</f>
        <v>417825.99300000002</v>
      </c>
      <c r="AK51" s="249">
        <f>'P01 2024'!EG30</f>
        <v>417336.84899999999</v>
      </c>
      <c r="AL51" s="175">
        <f>+'P01 2024'!ET29</f>
        <v>418168.33500000002</v>
      </c>
      <c r="AM51" s="175">
        <f>+'P01 2024'!FL37</f>
        <v>429506.30200000003</v>
      </c>
      <c r="AN51" s="1194"/>
      <c r="AO51" s="151"/>
      <c r="AP51" s="151"/>
      <c r="AQ51" s="151"/>
      <c r="AR51" s="151"/>
      <c r="AS51" s="151"/>
      <c r="AT51" s="151"/>
      <c r="AU51" s="151"/>
      <c r="AV51" s="151"/>
      <c r="AW51" s="1195"/>
      <c r="AX51" s="1196"/>
      <c r="AY51" s="148"/>
      <c r="AZ51" s="151"/>
      <c r="BA51" s="151"/>
      <c r="BB51" s="1172"/>
      <c r="BC51" s="151"/>
      <c r="BD51" s="151"/>
      <c r="BE51" s="1171"/>
      <c r="BF51" s="1171"/>
      <c r="BG51" s="1171"/>
      <c r="BH51" s="1171"/>
      <c r="BI51" s="151"/>
      <c r="BJ51" s="156"/>
      <c r="BK51" s="156"/>
      <c r="BL51" s="594"/>
      <c r="BM51" s="594"/>
      <c r="BN51" s="594"/>
      <c r="BO51" s="594"/>
      <c r="BP51" s="185"/>
      <c r="BQ51" s="156"/>
      <c r="BR51" s="594"/>
      <c r="BS51" s="594"/>
      <c r="BT51" s="594"/>
      <c r="BU51" s="594"/>
      <c r="BV51" s="156"/>
      <c r="BW51" s="158"/>
      <c r="BX51" s="185"/>
      <c r="BY51" s="185"/>
      <c r="BZ51" s="185"/>
      <c r="CA51" s="185"/>
      <c r="CB51" s="156"/>
      <c r="CC51" s="158"/>
      <c r="CD51" s="157"/>
      <c r="CE51" s="159"/>
      <c r="CF51" s="159"/>
    </row>
    <row r="52" spans="1:84" s="320" customFormat="1" ht="15" hidden="1" customHeight="1" x14ac:dyDescent="0.25">
      <c r="A52" s="329"/>
      <c r="B52" s="952" t="s">
        <v>537</v>
      </c>
      <c r="C52" s="955"/>
      <c r="D52" s="794"/>
      <c r="E52" s="933"/>
      <c r="F52" s="316">
        <v>21</v>
      </c>
      <c r="G52" s="315" t="str">
        <f t="shared" si="11"/>
        <v>21.02.001.021</v>
      </c>
      <c r="H52" s="501" t="s">
        <v>26</v>
      </c>
      <c r="I52" s="248">
        <f>+'P01 2025'!F41</f>
        <v>1569726.9240000001</v>
      </c>
      <c r="J52" s="317">
        <f>'P01 2025'!DE41</f>
        <v>1569726.9240000001</v>
      </c>
      <c r="K52" s="312">
        <f ca="1">SUMIF(T$3:$AM44,"ok",T52:AM52)</f>
        <v>827336.58</v>
      </c>
      <c r="L52" s="379">
        <f t="shared" ca="1" si="3"/>
        <v>0.52705764763960938</v>
      </c>
      <c r="M52" s="317">
        <f>'P01 2025'!DG41</f>
        <v>827336.58</v>
      </c>
      <c r="N52" s="379">
        <f t="shared" si="5"/>
        <v>0.52705764763960938</v>
      </c>
      <c r="O52" s="317">
        <f t="shared" si="6"/>
        <v>742390.34400000016</v>
      </c>
      <c r="P52" s="445">
        <f t="shared" si="7"/>
        <v>0.47294235236039062</v>
      </c>
      <c r="Q52" s="249">
        <f>+'P01 2024'!DJ41</f>
        <v>1546578.08</v>
      </c>
      <c r="R52" s="311">
        <f ca="1">SUMIF(T$3:$AM44,"SI",T52:AM52)</f>
        <v>809409.60009000008</v>
      </c>
      <c r="S52" s="379">
        <f t="shared" ca="1" si="8"/>
        <v>0.52335514808925787</v>
      </c>
      <c r="T52" s="326">
        <f>+'P01 2025'!G41</f>
        <v>0</v>
      </c>
      <c r="U52" s="468">
        <f>+'P01 2024'!K41</f>
        <v>0</v>
      </c>
      <c r="V52" s="468">
        <v>0</v>
      </c>
      <c r="W52" s="956">
        <v>0</v>
      </c>
      <c r="X52" s="326">
        <f>+'P01 2025'!AC36</f>
        <v>410829.57699999999</v>
      </c>
      <c r="Y52" s="249">
        <f>+'P01 2024'!AE35</f>
        <v>400034.14393400005</v>
      </c>
      <c r="Z52" s="249">
        <f>+'P01 2025'!AR34</f>
        <v>251.49700000000001</v>
      </c>
      <c r="AA52" s="249">
        <f>+'P01 2024'!AT30</f>
        <v>1116.3571199999999</v>
      </c>
      <c r="AB52" s="249">
        <v>0</v>
      </c>
      <c r="AC52" s="249">
        <v>0</v>
      </c>
      <c r="AD52" s="249">
        <f>+'P01 2025'!BU36</f>
        <v>416255.50599999999</v>
      </c>
      <c r="AE52" s="249">
        <f>+'P01 2024'!BX36</f>
        <v>407826.49189600005</v>
      </c>
      <c r="AF52" s="249">
        <v>0</v>
      </c>
      <c r="AG52" s="249">
        <f>+'P01 2024'!CM36</f>
        <v>439.65627000000001</v>
      </c>
      <c r="AH52" s="249">
        <v>0</v>
      </c>
      <c r="AI52" s="175">
        <f>+'P01 2024'!DB36</f>
        <v>-7.0491299999999999</v>
      </c>
      <c r="AJ52" s="249">
        <f>+'P01 2024'!DR36</f>
        <v>395310.93800000002</v>
      </c>
      <c r="AK52" s="249">
        <f>'P01 2024'!EG31</f>
        <v>173.06800000000001</v>
      </c>
      <c r="AL52" s="249">
        <v>0</v>
      </c>
      <c r="AM52" s="175">
        <f>+'P01 2024'!FL38</f>
        <v>397316.13500000001</v>
      </c>
      <c r="AN52" s="1194"/>
      <c r="AO52" s="151"/>
      <c r="AP52" s="151"/>
      <c r="AQ52" s="151"/>
      <c r="AR52" s="151"/>
      <c r="AS52" s="151"/>
      <c r="AT52" s="151"/>
      <c r="AU52" s="151"/>
      <c r="AV52" s="151"/>
      <c r="AW52" s="1195"/>
      <c r="AX52" s="1196"/>
      <c r="AY52" s="148"/>
      <c r="AZ52" s="151"/>
      <c r="BA52" s="151"/>
      <c r="BB52" s="1172"/>
      <c r="BC52" s="151"/>
      <c r="BD52" s="151"/>
      <c r="BE52" s="1171"/>
      <c r="BF52" s="1171"/>
      <c r="BG52" s="1171"/>
      <c r="BH52" s="1171"/>
      <c r="BI52" s="151"/>
      <c r="BJ52" s="156"/>
      <c r="BK52" s="156"/>
      <c r="BL52" s="594"/>
      <c r="BM52" s="594"/>
      <c r="BN52" s="594"/>
      <c r="BO52" s="594"/>
      <c r="BP52" s="185"/>
      <c r="BQ52" s="156"/>
      <c r="BR52" s="594"/>
      <c r="BS52" s="594"/>
      <c r="BT52" s="594"/>
      <c r="BU52" s="594"/>
      <c r="BV52" s="156"/>
      <c r="BW52" s="158"/>
      <c r="BX52" s="185"/>
      <c r="BY52" s="185"/>
      <c r="BZ52" s="185"/>
      <c r="CA52" s="185"/>
      <c r="CB52" s="156"/>
      <c r="CC52" s="158"/>
      <c r="CD52" s="157"/>
      <c r="CE52" s="159"/>
      <c r="CF52" s="159"/>
    </row>
    <row r="53" spans="1:84" s="329" customFormat="1" ht="15" hidden="1" customHeight="1" x14ac:dyDescent="0.25">
      <c r="B53" s="952" t="s">
        <v>538</v>
      </c>
      <c r="C53" s="955"/>
      <c r="D53" s="794"/>
      <c r="E53" s="33"/>
      <c r="F53" s="254">
        <v>37</v>
      </c>
      <c r="G53" s="255" t="str">
        <f t="shared" si="11"/>
        <v>21.02.001.037</v>
      </c>
      <c r="H53" s="422" t="s">
        <v>40</v>
      </c>
      <c r="I53" s="248">
        <f>+'P01 2025'!F42</f>
        <v>52034.044999999998</v>
      </c>
      <c r="J53" s="317">
        <f>'P01 2025'!DE42</f>
        <v>52034.044999999998</v>
      </c>
      <c r="K53" s="317">
        <f ca="1">SUMIF(T$3:$AM45,"ok",T53:AM53)</f>
        <v>26252.654999999999</v>
      </c>
      <c r="L53" s="379">
        <f t="shared" ca="1" si="3"/>
        <v>0.50452842941577958</v>
      </c>
      <c r="M53" s="317">
        <f>'P01 2025'!DG42</f>
        <v>26252.654999999999</v>
      </c>
      <c r="N53" s="379">
        <f t="shared" si="5"/>
        <v>0.50452842941577958</v>
      </c>
      <c r="O53" s="317">
        <f t="shared" si="6"/>
        <v>25781.39</v>
      </c>
      <c r="P53" s="445">
        <f t="shared" si="7"/>
        <v>0.49547157058422037</v>
      </c>
      <c r="Q53" s="249">
        <f>+'P01 2024'!DJ42</f>
        <v>27385.948199999999</v>
      </c>
      <c r="R53" s="144">
        <f ca="1">SUMIF(T$3:$AM45,"SI",T53:AM53)</f>
        <v>27376.057536000004</v>
      </c>
      <c r="S53" s="379">
        <f t="shared" ca="1" si="8"/>
        <v>0.99963884164507422</v>
      </c>
      <c r="T53" s="326">
        <f>+'P01 2025'!G42</f>
        <v>0</v>
      </c>
      <c r="U53" s="279">
        <v>0</v>
      </c>
      <c r="V53" s="279">
        <v>0</v>
      </c>
      <c r="W53" s="956">
        <v>0</v>
      </c>
      <c r="X53" s="326">
        <f>+'P01 2025'!AC37</f>
        <v>13148.183000000001</v>
      </c>
      <c r="Y53" s="175">
        <f>+'P01 2024'!AE36</f>
        <v>13657.709694000001</v>
      </c>
      <c r="Z53" s="175">
        <v>0</v>
      </c>
      <c r="AA53" s="175">
        <v>0</v>
      </c>
      <c r="AB53" s="175">
        <v>0</v>
      </c>
      <c r="AC53" s="175">
        <v>0</v>
      </c>
      <c r="AD53" s="249">
        <f>+'P01 2025'!BU37</f>
        <v>13104.472</v>
      </c>
      <c r="AE53" s="249">
        <f>+'P01 2024'!BX37</f>
        <v>13727.412200000001</v>
      </c>
      <c r="AF53" s="249">
        <v>0</v>
      </c>
      <c r="AG53" s="249">
        <f>+'P01 2024'!CM37</f>
        <v>-2.01627</v>
      </c>
      <c r="AH53" s="249">
        <v>0</v>
      </c>
      <c r="AI53" s="175">
        <f>+'P01 2024'!DB37</f>
        <v>-7.0480880000000008</v>
      </c>
      <c r="AJ53" s="249">
        <f>+'P01 2024'!DR37</f>
        <v>13032.195</v>
      </c>
      <c r="AK53" s="175">
        <v>0</v>
      </c>
      <c r="AL53" s="175">
        <v>0</v>
      </c>
      <c r="AM53" s="175">
        <f>+'P01 2024'!FL39</f>
        <v>12727.705</v>
      </c>
      <c r="AN53" s="1194"/>
      <c r="AO53" s="151"/>
      <c r="AP53" s="151"/>
      <c r="AQ53" s="151"/>
      <c r="AR53" s="151"/>
      <c r="AS53" s="151"/>
      <c r="AT53" s="151"/>
      <c r="AU53" s="151"/>
      <c r="AV53" s="151"/>
      <c r="AW53" s="1195"/>
      <c r="AX53" s="1196"/>
      <c r="AY53" s="148"/>
      <c r="AZ53" s="151"/>
      <c r="BA53" s="151"/>
      <c r="BB53" s="1172"/>
      <c r="BC53" s="151"/>
      <c r="BD53" s="151"/>
      <c r="BE53" s="1171"/>
      <c r="BF53" s="1171"/>
      <c r="BG53" s="1171"/>
      <c r="BH53" s="1171"/>
      <c r="BI53" s="151"/>
      <c r="BJ53" s="156"/>
      <c r="BK53" s="156"/>
      <c r="BL53" s="594"/>
      <c r="BM53" s="594"/>
      <c r="BN53" s="594"/>
      <c r="BO53" s="594"/>
      <c r="BP53" s="185"/>
      <c r="BQ53" s="156"/>
      <c r="BR53" s="594"/>
      <c r="BS53" s="594"/>
      <c r="BT53" s="594"/>
      <c r="BU53" s="594"/>
      <c r="BV53" s="156"/>
      <c r="BW53" s="158"/>
      <c r="BX53" s="185"/>
      <c r="BY53" s="185"/>
      <c r="BZ53" s="185"/>
      <c r="CA53" s="185"/>
      <c r="CB53" s="957"/>
      <c r="CC53" s="958"/>
      <c r="CD53" s="959"/>
      <c r="CE53" s="241"/>
      <c r="CF53" s="241"/>
    </row>
    <row r="54" spans="1:84" s="320" customFormat="1" ht="15" hidden="1" customHeight="1" x14ac:dyDescent="0.25">
      <c r="A54" s="329"/>
      <c r="B54" s="952" t="s">
        <v>539</v>
      </c>
      <c r="C54" s="955"/>
      <c r="D54" s="794"/>
      <c r="E54" s="933"/>
      <c r="F54" s="316">
        <v>38</v>
      </c>
      <c r="G54" s="315" t="str">
        <f t="shared" si="11"/>
        <v>21.02.001.038</v>
      </c>
      <c r="H54" s="501" t="s">
        <v>101</v>
      </c>
      <c r="I54" s="248">
        <f>+'P01 2025'!F43</f>
        <v>4188.01</v>
      </c>
      <c r="J54" s="317">
        <f>'P01 2025'!DE43</f>
        <v>9188.01</v>
      </c>
      <c r="K54" s="312">
        <f ca="1">SUMIF(T$3:$AM46,"ok",T54:AM54)</f>
        <v>5844.6219999999994</v>
      </c>
      <c r="L54" s="379">
        <f t="shared" ca="1" si="3"/>
        <v>0.6361140225141243</v>
      </c>
      <c r="M54" s="317">
        <f>'P01 2025'!DG43</f>
        <v>5844.6220000000003</v>
      </c>
      <c r="N54" s="379">
        <f t="shared" si="5"/>
        <v>0.63611402251412441</v>
      </c>
      <c r="O54" s="317">
        <f t="shared" si="6"/>
        <v>3343.3879999999999</v>
      </c>
      <c r="P54" s="445">
        <f t="shared" si="7"/>
        <v>0.36388597748587559</v>
      </c>
      <c r="Q54" s="249">
        <f>+'P01 2024'!DJ43</f>
        <v>3829.2749760000002</v>
      </c>
      <c r="R54" s="311">
        <f ca="1">SUMIF(T$3:$AM46,"SI",T54:AM54)</f>
        <v>2896.1827320000002</v>
      </c>
      <c r="S54" s="379">
        <f t="shared" ca="1" si="8"/>
        <v>0.75632665456302817</v>
      </c>
      <c r="T54" s="326">
        <f>+'P01 2025'!G43</f>
        <v>728.82799999999997</v>
      </c>
      <c r="U54" s="468">
        <f>+'P01 2024'!K42</f>
        <v>362.47637200000003</v>
      </c>
      <c r="V54" s="468">
        <f>+'P01 2025'!N29</f>
        <v>728.82799999999997</v>
      </c>
      <c r="W54" s="956">
        <f>+'P01 2024'!Q30</f>
        <v>362.47637200000003</v>
      </c>
      <c r="X54" s="326">
        <f>+'P01 2025'!AC38</f>
        <v>728.82799999999997</v>
      </c>
      <c r="Y54" s="249">
        <f>+'P01 2024'!AE37</f>
        <v>362.47637200000003</v>
      </c>
      <c r="Z54" s="249">
        <f>+'P01 2025'!AR35</f>
        <v>728.82799999999997</v>
      </c>
      <c r="AA54" s="249">
        <f>+'P01 2024'!AT31</f>
        <v>362.47637200000003</v>
      </c>
      <c r="AB54" s="249">
        <f>'P01 2025'!BF29</f>
        <v>728.82799999999997</v>
      </c>
      <c r="AC54" s="249">
        <f>+'P01 2024'!BI30</f>
        <v>362.47637200000003</v>
      </c>
      <c r="AD54" s="249">
        <f>+'P01 2025'!BU38</f>
        <v>733.49400000000003</v>
      </c>
      <c r="AE54" s="249">
        <f>+'P01 2024'!BX38</f>
        <v>364.28841000000006</v>
      </c>
      <c r="AF54" s="249">
        <f>+'P01 2025'!CI30</f>
        <v>733.49400000000003</v>
      </c>
      <c r="AG54" s="249">
        <f>+'P01 2024'!CM38</f>
        <v>362.27318200000002</v>
      </c>
      <c r="AH54" s="249">
        <f>+'P01 2025'!CX33</f>
        <v>733.49400000000003</v>
      </c>
      <c r="AI54" s="175">
        <f>+'P01 2024'!DB38</f>
        <v>357.23928000000001</v>
      </c>
      <c r="AJ54" s="960">
        <f>+'P01 2024'!DR38</f>
        <v>349.60500000000002</v>
      </c>
      <c r="AK54" s="249">
        <f>'P01 2024'!EG32</f>
        <v>349.26100000000002</v>
      </c>
      <c r="AL54" s="175">
        <f>+'P01 2024'!ET30</f>
        <v>349.60500000000002</v>
      </c>
      <c r="AM54" s="175">
        <f>+'P01 2024'!FL40</f>
        <v>358.55599999999998</v>
      </c>
      <c r="AN54" s="1194"/>
      <c r="AO54" s="151"/>
      <c r="AP54" s="151"/>
      <c r="AQ54" s="151"/>
      <c r="AR54" s="151"/>
      <c r="AS54" s="151"/>
      <c r="AT54" s="151"/>
      <c r="AU54" s="151"/>
      <c r="AV54" s="151"/>
      <c r="AW54" s="1195"/>
      <c r="AX54" s="1196"/>
      <c r="AY54" s="148"/>
      <c r="AZ54" s="151"/>
      <c r="BA54" s="151"/>
      <c r="BB54" s="1172"/>
      <c r="BC54" s="151"/>
      <c r="BD54" s="151"/>
      <c r="BE54" s="1171"/>
      <c r="BF54" s="1171"/>
      <c r="BG54" s="1171"/>
      <c r="BH54" s="1171"/>
      <c r="BI54" s="151"/>
      <c r="BJ54" s="156"/>
      <c r="BK54" s="156"/>
      <c r="BL54" s="594"/>
      <c r="BM54" s="594"/>
      <c r="BN54" s="594"/>
      <c r="BO54" s="594"/>
      <c r="BP54" s="185"/>
      <c r="BQ54" s="156"/>
      <c r="BR54" s="594"/>
      <c r="BS54" s="594"/>
      <c r="BT54" s="594"/>
      <c r="BU54" s="594"/>
      <c r="BV54" s="156"/>
      <c r="BW54" s="158"/>
      <c r="BX54" s="185"/>
      <c r="BY54" s="185"/>
      <c r="BZ54" s="185"/>
      <c r="CA54" s="185"/>
      <c r="CB54" s="156"/>
      <c r="CC54" s="158"/>
      <c r="CD54" s="157"/>
      <c r="CE54" s="159"/>
      <c r="CF54" s="159"/>
    </row>
    <row r="55" spans="1:84" s="320" customFormat="1" ht="15" hidden="1" customHeight="1" x14ac:dyDescent="0.25">
      <c r="A55" s="329"/>
      <c r="B55" s="952" t="s">
        <v>819</v>
      </c>
      <c r="C55" s="955"/>
      <c r="D55" s="794"/>
      <c r="E55" s="933"/>
      <c r="F55" s="316">
        <v>998</v>
      </c>
      <c r="G55" s="315" t="str">
        <f t="shared" si="11"/>
        <v>21.02.001.0998</v>
      </c>
      <c r="H55" s="501" t="s">
        <v>825</v>
      </c>
      <c r="I55" s="248">
        <v>0</v>
      </c>
      <c r="J55" s="317">
        <v>0</v>
      </c>
      <c r="K55" s="312">
        <f ca="1">SUMIF(T$3:$AM47,"ok",T55:AM55)</f>
        <v>0</v>
      </c>
      <c r="L55" s="379">
        <f t="shared" ca="1" si="3"/>
        <v>0</v>
      </c>
      <c r="M55" s="317">
        <v>0</v>
      </c>
      <c r="N55" s="379">
        <f t="shared" si="5"/>
        <v>0</v>
      </c>
      <c r="O55" s="317">
        <f t="shared" si="6"/>
        <v>0</v>
      </c>
      <c r="P55" s="445">
        <f t="shared" si="7"/>
        <v>0</v>
      </c>
      <c r="Q55" s="249">
        <f>+'P01 2024'!DJ44</f>
        <v>114692.94</v>
      </c>
      <c r="R55" s="311">
        <f ca="1">SUMIF(T$3:$AM47,"SI",T55:AM55)</f>
        <v>0</v>
      </c>
      <c r="S55" s="379">
        <f t="shared" ca="1" si="8"/>
        <v>0</v>
      </c>
      <c r="T55" s="326">
        <v>0</v>
      </c>
      <c r="U55" s="468">
        <v>0</v>
      </c>
      <c r="V55" s="468">
        <v>0</v>
      </c>
      <c r="W55" s="956">
        <v>0</v>
      </c>
      <c r="X55" s="956">
        <v>0</v>
      </c>
      <c r="Y55" s="249">
        <v>0</v>
      </c>
      <c r="Z55" s="249">
        <v>0</v>
      </c>
      <c r="AA55" s="249">
        <v>0</v>
      </c>
      <c r="AB55" s="249">
        <v>0</v>
      </c>
      <c r="AC55" s="249">
        <v>0</v>
      </c>
      <c r="AD55" s="249">
        <v>0</v>
      </c>
      <c r="AE55" s="249">
        <v>0</v>
      </c>
      <c r="AF55" s="249">
        <v>0</v>
      </c>
      <c r="AG55" s="249">
        <v>0</v>
      </c>
      <c r="AH55" s="249">
        <v>0</v>
      </c>
      <c r="AI55" s="175">
        <v>0</v>
      </c>
      <c r="AJ55" s="249">
        <v>0</v>
      </c>
      <c r="AK55" s="249">
        <v>0</v>
      </c>
      <c r="AL55" s="175">
        <v>0</v>
      </c>
      <c r="AM55" s="175">
        <v>0</v>
      </c>
      <c r="AN55" s="1139"/>
      <c r="AO55" s="156"/>
      <c r="AP55" s="156"/>
      <c r="AQ55" s="156"/>
      <c r="AR55" s="156"/>
      <c r="AS55" s="156"/>
      <c r="AT55" s="156"/>
      <c r="AU55" s="156"/>
      <c r="AV55" s="156"/>
      <c r="AW55" s="1140"/>
      <c r="AX55" s="1197"/>
      <c r="AY55" s="148"/>
      <c r="AZ55" s="151"/>
      <c r="BA55" s="151"/>
      <c r="BB55" s="1172"/>
      <c r="BC55" s="151"/>
      <c r="BD55" s="151"/>
      <c r="BE55" s="1171"/>
      <c r="BF55" s="1171"/>
      <c r="BG55" s="1171"/>
      <c r="BH55" s="1171"/>
      <c r="BI55" s="151"/>
      <c r="BJ55" s="156"/>
      <c r="BK55" s="156"/>
      <c r="BL55" s="594"/>
      <c r="BM55" s="594"/>
      <c r="BN55" s="594"/>
      <c r="BO55" s="594"/>
      <c r="BP55" s="185"/>
      <c r="BQ55" s="156"/>
      <c r="BR55" s="594"/>
      <c r="BS55" s="594"/>
      <c r="BT55" s="594"/>
      <c r="BU55" s="594"/>
      <c r="BV55" s="156"/>
      <c r="BW55" s="158"/>
      <c r="BX55" s="185"/>
      <c r="BY55" s="185"/>
      <c r="BZ55" s="185"/>
      <c r="CA55" s="185"/>
      <c r="CB55" s="156"/>
      <c r="CC55" s="158"/>
      <c r="CD55" s="157"/>
      <c r="CE55" s="159"/>
      <c r="CF55" s="159"/>
    </row>
    <row r="56" spans="1:84" s="320" customFormat="1" ht="15" hidden="1" customHeight="1" x14ac:dyDescent="0.25">
      <c r="A56" s="329"/>
      <c r="B56" s="952" t="s">
        <v>767</v>
      </c>
      <c r="C56" s="955"/>
      <c r="D56" s="794"/>
      <c r="E56" s="933"/>
      <c r="F56" s="316">
        <v>999</v>
      </c>
      <c r="G56" s="315" t="str">
        <f t="shared" si="11"/>
        <v>21.02.001.0999</v>
      </c>
      <c r="H56" s="501" t="s">
        <v>769</v>
      </c>
      <c r="I56" s="246">
        <v>0</v>
      </c>
      <c r="J56" s="317">
        <v>0</v>
      </c>
      <c r="K56" s="317">
        <f ca="1">SUMIF(T$3:$AM48,"ok",T56:AM56)</f>
        <v>0</v>
      </c>
      <c r="L56" s="379">
        <f t="shared" ca="1" si="3"/>
        <v>0</v>
      </c>
      <c r="M56" s="317">
        <v>0</v>
      </c>
      <c r="N56" s="379">
        <f t="shared" si="5"/>
        <v>0</v>
      </c>
      <c r="O56" s="317">
        <f t="shared" si="6"/>
        <v>0</v>
      </c>
      <c r="P56" s="445">
        <f t="shared" si="7"/>
        <v>0</v>
      </c>
      <c r="Q56" s="249">
        <v>0</v>
      </c>
      <c r="R56" s="311">
        <f ca="1">SUMIF(T$3:$AM48,"SI",T56:AM56)</f>
        <v>0</v>
      </c>
      <c r="S56" s="379" t="str">
        <f t="shared" ca="1" si="8"/>
        <v>0,00%</v>
      </c>
      <c r="T56" s="326">
        <v>0</v>
      </c>
      <c r="U56" s="468">
        <v>0</v>
      </c>
      <c r="V56" s="468">
        <v>0</v>
      </c>
      <c r="W56" s="956">
        <v>0</v>
      </c>
      <c r="X56" s="956">
        <v>0</v>
      </c>
      <c r="Y56" s="249">
        <v>0</v>
      </c>
      <c r="Z56" s="249">
        <v>0</v>
      </c>
      <c r="AA56" s="249">
        <v>0</v>
      </c>
      <c r="AB56" s="249">
        <v>0</v>
      </c>
      <c r="AC56" s="249">
        <v>0</v>
      </c>
      <c r="AD56" s="249">
        <v>0</v>
      </c>
      <c r="AE56" s="249">
        <v>0</v>
      </c>
      <c r="AF56" s="249">
        <v>0</v>
      </c>
      <c r="AG56" s="249">
        <v>0</v>
      </c>
      <c r="AH56" s="249">
        <v>0</v>
      </c>
      <c r="AI56" s="175">
        <v>0</v>
      </c>
      <c r="AJ56" s="249">
        <v>0</v>
      </c>
      <c r="AK56" s="249">
        <v>0</v>
      </c>
      <c r="AL56" s="175">
        <v>0</v>
      </c>
      <c r="AM56" s="249">
        <v>0</v>
      </c>
      <c r="AN56" s="1139"/>
      <c r="AO56" s="156"/>
      <c r="AP56" s="156"/>
      <c r="AQ56" s="156"/>
      <c r="AR56" s="156"/>
      <c r="AS56" s="156"/>
      <c r="AT56" s="156"/>
      <c r="AU56" s="156"/>
      <c r="AV56" s="156"/>
      <c r="AW56" s="1140"/>
      <c r="AX56" s="1197"/>
      <c r="AY56" s="148"/>
      <c r="AZ56" s="151"/>
      <c r="BA56" s="151"/>
      <c r="BB56" s="1172"/>
      <c r="BC56" s="151"/>
      <c r="BD56" s="151"/>
      <c r="BE56" s="1171"/>
      <c r="BF56" s="1171"/>
      <c r="BG56" s="1171"/>
      <c r="BH56" s="1171"/>
      <c r="BI56" s="151"/>
      <c r="BJ56" s="156"/>
      <c r="BK56" s="156"/>
      <c r="BL56" s="594"/>
      <c r="BM56" s="594"/>
      <c r="BN56" s="594"/>
      <c r="BO56" s="594"/>
      <c r="BP56" s="185"/>
      <c r="BQ56" s="156"/>
      <c r="BR56" s="594"/>
      <c r="BS56" s="594"/>
      <c r="BT56" s="594"/>
      <c r="BU56" s="594"/>
      <c r="BV56" s="156"/>
      <c r="BW56" s="158"/>
      <c r="BX56" s="185"/>
      <c r="BY56" s="185"/>
      <c r="BZ56" s="185"/>
      <c r="CA56" s="185"/>
      <c r="CB56" s="156"/>
      <c r="CC56" s="158"/>
      <c r="CD56" s="157"/>
      <c r="CE56" s="159"/>
      <c r="CF56" s="159"/>
    </row>
    <row r="57" spans="1:84" s="308" customFormat="1" ht="15" hidden="1" customHeight="1" x14ac:dyDescent="0.25">
      <c r="A57" s="84"/>
      <c r="B57" s="169" t="s">
        <v>352</v>
      </c>
      <c r="C57" s="508"/>
      <c r="D57" s="172"/>
      <c r="E57" s="309" t="s">
        <v>154</v>
      </c>
      <c r="F57" s="309"/>
      <c r="G57" s="309"/>
      <c r="H57" s="512" t="s">
        <v>28</v>
      </c>
      <c r="I57" s="145">
        <f>+'P01 2025'!F44</f>
        <v>611349.11</v>
      </c>
      <c r="J57" s="313">
        <f>+'P01 2025'!DE44</f>
        <v>611349.11</v>
      </c>
      <c r="K57" s="306">
        <f ca="1">SUMIF(T$3:$AM49,"ok",T57:AM57)</f>
        <v>440172.97399999999</v>
      </c>
      <c r="L57" s="378">
        <f t="shared" ca="1" si="3"/>
        <v>0.72000264137131076</v>
      </c>
      <c r="M57" s="313">
        <f>SUM(M58:M59)</f>
        <v>440172.97399999999</v>
      </c>
      <c r="N57" s="378">
        <f t="shared" si="5"/>
        <v>0.72000264137131076</v>
      </c>
      <c r="O57" s="306">
        <f t="shared" si="6"/>
        <v>171176.136</v>
      </c>
      <c r="P57" s="443">
        <f t="shared" si="7"/>
        <v>0.27999735862868924</v>
      </c>
      <c r="Q57" s="86">
        <f>+'P01 2024'!DJ45</f>
        <v>602880.36</v>
      </c>
      <c r="R57" s="86">
        <f ca="1">SUMIF(T$3:$AM49,"SI",T57:AM57)</f>
        <v>405428.80508999998</v>
      </c>
      <c r="S57" s="378">
        <f t="shared" ca="1" si="8"/>
        <v>0.67248633723944828</v>
      </c>
      <c r="T57" s="509">
        <f>+'P01 2025'!G44</f>
        <v>44439.514000000003</v>
      </c>
      <c r="U57" s="467">
        <f>+'P01 2024'!K44</f>
        <v>40118.997514000002</v>
      </c>
      <c r="V57" s="467">
        <f>+'P01 2025'!N30</f>
        <v>40988.815999999999</v>
      </c>
      <c r="W57" s="86">
        <f>+'P01 2024'!Q31</f>
        <v>48793.617296000004</v>
      </c>
      <c r="X57" s="86">
        <f>+'P01 2025'!AC39</f>
        <v>68955.682000000001</v>
      </c>
      <c r="Y57" s="86">
        <f>+'P01 2024'!AE38</f>
        <v>58155.798694000005</v>
      </c>
      <c r="Z57" s="86">
        <f>+'P01 2025'!AR36</f>
        <v>49916.144</v>
      </c>
      <c r="AA57" s="88">
        <f>+'P01 2024'!AT32</f>
        <v>45486.642736000002</v>
      </c>
      <c r="AB57" s="88">
        <f>SUM(AB58:AB59)</f>
        <v>45404.146000000001</v>
      </c>
      <c r="AC57" s="165">
        <f>+'P01 2024'!BI31</f>
        <v>45451.590898000002</v>
      </c>
      <c r="AD57" s="165">
        <f>+'P01 2025'!BU39</f>
        <v>76738.489000000001</v>
      </c>
      <c r="AE57" s="165">
        <f>+'P01 2024'!BX39</f>
        <v>64235.494616000004</v>
      </c>
      <c r="AF57" s="165">
        <f>+'P01 2025'!CI31</f>
        <v>51558.483</v>
      </c>
      <c r="AG57" s="88">
        <f>+'P01 2024'!CM39</f>
        <v>51611.028996000001</v>
      </c>
      <c r="AH57" s="88">
        <f>+'P01 2025'!CX34</f>
        <v>62171.7</v>
      </c>
      <c r="AI57" s="86">
        <f>+'P01 2024'!DB39</f>
        <v>51575.634339999997</v>
      </c>
      <c r="AJ57" s="165">
        <f>+'P01 2024'!DR39</f>
        <v>69934.89</v>
      </c>
      <c r="AK57" s="165">
        <f>SUM(AK58:AK59)</f>
        <v>44273.945</v>
      </c>
      <c r="AL57" s="165">
        <f>+'P01 2024'!ET31</f>
        <v>44389.373</v>
      </c>
      <c r="AM57" s="165">
        <f>+'P01 2024'!FL41</f>
        <v>63655.188999999998</v>
      </c>
      <c r="AN57" s="1194"/>
      <c r="AO57" s="151"/>
      <c r="AP57" s="151"/>
      <c r="AQ57" s="151"/>
      <c r="AR57" s="151"/>
      <c r="AS57" s="151"/>
      <c r="AT57" s="151"/>
      <c r="AU57" s="151"/>
      <c r="AV57" s="151"/>
      <c r="AW57" s="1195"/>
      <c r="AX57" s="1196"/>
      <c r="AY57" s="148"/>
      <c r="AZ57" s="151"/>
      <c r="BA57" s="151"/>
      <c r="BB57" s="1172"/>
      <c r="BC57" s="151"/>
      <c r="BD57" s="151"/>
      <c r="BE57" s="1171"/>
      <c r="BF57" s="1171"/>
      <c r="BG57" s="1171"/>
      <c r="BH57" s="1171"/>
      <c r="BI57" s="1171"/>
      <c r="BJ57" s="932"/>
      <c r="BK57" s="156"/>
      <c r="BL57" s="594"/>
      <c r="BM57" s="594"/>
      <c r="BN57" s="594"/>
      <c r="BO57" s="594"/>
      <c r="BP57" s="185"/>
      <c r="BQ57" s="156"/>
      <c r="BR57" s="594"/>
      <c r="BS57" s="594"/>
      <c r="BT57" s="594"/>
      <c r="BU57" s="594"/>
      <c r="BV57" s="156"/>
      <c r="BW57" s="158"/>
      <c r="BX57" s="185"/>
      <c r="BY57" s="185"/>
      <c r="BZ57" s="185"/>
      <c r="CA57" s="185"/>
      <c r="CB57" s="151"/>
      <c r="CC57" s="148"/>
      <c r="CD57" s="123"/>
      <c r="CE57" s="152"/>
      <c r="CF57" s="152"/>
    </row>
    <row r="58" spans="1:84" s="320" customFormat="1" ht="15" hidden="1" customHeight="1" x14ac:dyDescent="0.25">
      <c r="A58" s="329"/>
      <c r="B58" s="952" t="s">
        <v>540</v>
      </c>
      <c r="C58" s="955"/>
      <c r="D58" s="794"/>
      <c r="E58" s="933"/>
      <c r="F58" s="316">
        <v>1</v>
      </c>
      <c r="G58" s="315" t="str">
        <f>+CONCATENATE($C$10,"",$D$42,"",$E$57,"00",F58)</f>
        <v>21.02.002.001</v>
      </c>
      <c r="H58" s="501" t="s">
        <v>29</v>
      </c>
      <c r="I58" s="317">
        <f>+'P01 2025'!F45</f>
        <v>45228.618999999999</v>
      </c>
      <c r="J58" s="317">
        <f>+'P01 2025'!DE45</f>
        <v>45228.618999999999</v>
      </c>
      <c r="K58" s="312">
        <f ca="1">SUMIF(T$3:$AM50,"ok",T58:AM58)</f>
        <v>35193.464</v>
      </c>
      <c r="L58" s="379">
        <f t="shared" ca="1" si="3"/>
        <v>0.77812378043203134</v>
      </c>
      <c r="M58" s="317">
        <f>'P01 2025'!DG45</f>
        <v>35193.464</v>
      </c>
      <c r="N58" s="379">
        <f t="shared" si="5"/>
        <v>0.77812378043203134</v>
      </c>
      <c r="O58" s="317">
        <f t="shared" si="6"/>
        <v>10035.154999999999</v>
      </c>
      <c r="P58" s="445">
        <f t="shared" si="7"/>
        <v>0.22187621956796866</v>
      </c>
      <c r="Q58" s="249">
        <f>+'P01 2024'!DJ46</f>
        <v>43930.720000000001</v>
      </c>
      <c r="R58" s="311">
        <f ca="1">SUMIF(T$3:$AM50,"SI",T58:AM58)</f>
        <v>29721.452614000002</v>
      </c>
      <c r="S58" s="379">
        <f t="shared" ca="1" si="8"/>
        <v>0.6765528225806452</v>
      </c>
      <c r="T58" s="326">
        <f>+'P01 2025'!G45</f>
        <v>4263.2939999999999</v>
      </c>
      <c r="U58" s="468">
        <f>+'P01 2024'!K45</f>
        <v>0</v>
      </c>
      <c r="V58" s="468">
        <v>0</v>
      </c>
      <c r="W58" s="326">
        <f>+'P01 2024'!Q32</f>
        <v>8355.8532260000011</v>
      </c>
      <c r="X58" s="326">
        <f>+'P01 2025'!AC40</f>
        <v>8688.25</v>
      </c>
      <c r="Y58" s="249">
        <v>0</v>
      </c>
      <c r="Z58" s="249">
        <f>+'P01 2025'!AR37</f>
        <v>4381.8999999999996</v>
      </c>
      <c r="AA58" s="249">
        <f>+'P01 2024'!AT33</f>
        <v>4261.0318440000001</v>
      </c>
      <c r="AB58" s="249">
        <v>0</v>
      </c>
      <c r="AC58" s="249">
        <f>+'P01 2024'!BI32</f>
        <v>4261.0318440000001</v>
      </c>
      <c r="AD58" s="249">
        <f>+'P01 2025'!BU40</f>
        <v>8914.9</v>
      </c>
      <c r="AE58" s="249">
        <f>+'P01 2024'!BX40</f>
        <v>4230.8117600000005</v>
      </c>
      <c r="AF58" s="249">
        <f>+'P01 2025'!CI32</f>
        <v>4457.45</v>
      </c>
      <c r="AG58" s="249">
        <f>+'P01 2024'!CM40</f>
        <v>4306.3619699999999</v>
      </c>
      <c r="AH58" s="249">
        <f>+'P01 2025'!CX35</f>
        <v>4487.67</v>
      </c>
      <c r="AI58" s="175">
        <f>+'P01 2024'!DB40</f>
        <v>4306.3619699999999</v>
      </c>
      <c r="AJ58" s="249">
        <f>+'P01 2024'!DR40</f>
        <v>4118.2839999999997</v>
      </c>
      <c r="AK58" s="249">
        <f>'P01 2024'!EG34</f>
        <v>4176.2879999999996</v>
      </c>
      <c r="AL58" s="175">
        <f>+'P01 2024'!ET32</f>
        <v>4190.7889999999998</v>
      </c>
      <c r="AM58" s="175">
        <f>+'P01 2024'!FL42</f>
        <v>4219.7910000000002</v>
      </c>
      <c r="AN58" s="1194"/>
      <c r="AO58" s="151"/>
      <c r="AP58" s="151"/>
      <c r="AQ58" s="151"/>
      <c r="AR58" s="151"/>
      <c r="AS58" s="151"/>
      <c r="AT58" s="151"/>
      <c r="AU58" s="151"/>
      <c r="AV58" s="151"/>
      <c r="AW58" s="1195"/>
      <c r="AX58" s="1196"/>
      <c r="AY58" s="148"/>
      <c r="AZ58" s="151"/>
      <c r="BA58" s="151"/>
      <c r="BB58" s="1172"/>
      <c r="BC58" s="151"/>
      <c r="BD58" s="151"/>
      <c r="BE58" s="1171"/>
      <c r="BF58" s="1171"/>
      <c r="BG58" s="1171"/>
      <c r="BH58" s="1171"/>
      <c r="BI58" s="151"/>
      <c r="BJ58" s="156"/>
      <c r="BK58" s="156"/>
      <c r="BL58" s="594"/>
      <c r="BM58" s="594"/>
      <c r="BN58" s="594"/>
      <c r="BO58" s="594"/>
      <c r="BP58" s="185"/>
      <c r="BQ58" s="156"/>
      <c r="BR58" s="594"/>
      <c r="BS58" s="594"/>
      <c r="BT58" s="594"/>
      <c r="BU58" s="594"/>
      <c r="BV58" s="156"/>
      <c r="BW58" s="158"/>
      <c r="BX58" s="185"/>
      <c r="BY58" s="185"/>
      <c r="BZ58" s="185"/>
      <c r="CA58" s="185"/>
      <c r="CB58" s="156"/>
      <c r="CC58" s="158"/>
      <c r="CD58" s="157"/>
      <c r="CE58" s="159"/>
      <c r="CF58" s="159"/>
    </row>
    <row r="59" spans="1:84" s="320" customFormat="1" ht="15" hidden="1" customHeight="1" x14ac:dyDescent="0.25">
      <c r="A59" s="329"/>
      <c r="B59" s="952" t="s">
        <v>541</v>
      </c>
      <c r="C59" s="955"/>
      <c r="D59" s="794"/>
      <c r="E59" s="933"/>
      <c r="F59" s="316">
        <v>2</v>
      </c>
      <c r="G59" s="315" t="str">
        <f>+CONCATENATE($C$10,"",$D$42,"",$E$57,"00",F59)</f>
        <v>21.02.002.002</v>
      </c>
      <c r="H59" s="501" t="s">
        <v>30</v>
      </c>
      <c r="I59" s="317">
        <f>+'P01 2025'!F46</f>
        <v>566120.49100000004</v>
      </c>
      <c r="J59" s="317">
        <f>+'P01 2025'!DE46</f>
        <v>566120.49100000004</v>
      </c>
      <c r="K59" s="312">
        <f ca="1">SUMIF(T$3:$AM51,"ok",T59:AM59)</f>
        <v>404979.51</v>
      </c>
      <c r="L59" s="379">
        <f t="shared" ca="1" si="3"/>
        <v>0.71535921493433452</v>
      </c>
      <c r="M59" s="317">
        <f>'P01 2025'!DG46</f>
        <v>404979.51</v>
      </c>
      <c r="N59" s="379">
        <f t="shared" si="5"/>
        <v>0.71535921493433452</v>
      </c>
      <c r="O59" s="317">
        <f t="shared" si="6"/>
        <v>161140.98100000003</v>
      </c>
      <c r="P59" s="445">
        <f t="shared" si="7"/>
        <v>0.28464078506566548</v>
      </c>
      <c r="Q59" s="249">
        <f>+'P01 2024'!DJ47</f>
        <v>558949.64</v>
      </c>
      <c r="R59" s="311">
        <f ca="1">SUMIF(T$3:$AM51,"SI",T59:AM59)</f>
        <v>375707.35247599997</v>
      </c>
      <c r="S59" s="379">
        <f t="shared" ca="1" si="8"/>
        <v>0.6721667312926437</v>
      </c>
      <c r="T59" s="326">
        <f>+'P01 2025'!G46</f>
        <v>40176.22</v>
      </c>
      <c r="U59" s="468">
        <f>+'P01 2024'!K46</f>
        <v>40118.997514000002</v>
      </c>
      <c r="V59" s="468">
        <f>+'P01 2025'!N31</f>
        <v>40988.815999999999</v>
      </c>
      <c r="W59" s="326">
        <f>+'P01 2024'!Q33</f>
        <v>40437.764069999997</v>
      </c>
      <c r="X59" s="326">
        <f>+'P01 2025'!AC41</f>
        <v>60267.432000000001</v>
      </c>
      <c r="Y59" s="249">
        <f>+'P01 2024'!AE39</f>
        <v>58155.798694000005</v>
      </c>
      <c r="Z59" s="249">
        <f>+'P01 2025'!AR38</f>
        <v>45534.243999999999</v>
      </c>
      <c r="AA59" s="249">
        <f>+'P01 2024'!AT34</f>
        <v>41225.610892000004</v>
      </c>
      <c r="AB59" s="249">
        <f>'P01 2025'!BF31</f>
        <v>45404.146000000001</v>
      </c>
      <c r="AC59" s="249">
        <f>+'P01 2024'!BI33</f>
        <v>41190.559053999998</v>
      </c>
      <c r="AD59" s="249">
        <f>+'P01 2025'!BU41</f>
        <v>67823.589000000007</v>
      </c>
      <c r="AE59" s="249">
        <f>+'P01 2024'!BX41</f>
        <v>60004.682855999999</v>
      </c>
      <c r="AF59" s="249">
        <f>+'P01 2025'!CI33</f>
        <v>47101.033000000003</v>
      </c>
      <c r="AG59" s="249">
        <f>+'P01 2024'!CM41</f>
        <v>47304.667026000003</v>
      </c>
      <c r="AH59" s="249">
        <f>+'P01 2025'!CX36</f>
        <v>57684.03</v>
      </c>
      <c r="AI59" s="175">
        <f>+'P01 2024'!DB41</f>
        <v>47269.272369999999</v>
      </c>
      <c r="AJ59" s="249">
        <f>+'P01 2024'!DR41</f>
        <v>65816.606</v>
      </c>
      <c r="AK59" s="249">
        <f>'P01 2024'!EG35</f>
        <v>40097.656999999999</v>
      </c>
      <c r="AL59" s="175">
        <f>+'P01 2024'!ET33</f>
        <v>40198.584000000003</v>
      </c>
      <c r="AM59" s="175">
        <f>+'P01 2024'!FL43</f>
        <v>59435.398000000001</v>
      </c>
      <c r="AN59" s="1194"/>
      <c r="AO59" s="151"/>
      <c r="AP59" s="151"/>
      <c r="AQ59" s="151"/>
      <c r="AR59" s="151"/>
      <c r="AS59" s="151"/>
      <c r="AT59" s="151"/>
      <c r="AU59" s="151"/>
      <c r="AV59" s="151"/>
      <c r="AW59" s="1195"/>
      <c r="AX59" s="1196"/>
      <c r="AY59" s="148"/>
      <c r="AZ59" s="151"/>
      <c r="BA59" s="151"/>
      <c r="BB59" s="1172"/>
      <c r="BC59" s="151"/>
      <c r="BD59" s="151"/>
      <c r="BE59" s="1171"/>
      <c r="BF59" s="1171"/>
      <c r="BG59" s="1171"/>
      <c r="BH59" s="1171"/>
      <c r="BI59" s="151"/>
      <c r="BJ59" s="156"/>
      <c r="BK59" s="156"/>
      <c r="BL59" s="594"/>
      <c r="BM59" s="594"/>
      <c r="BN59" s="594"/>
      <c r="BO59" s="594"/>
      <c r="BP59" s="185"/>
      <c r="BQ59" s="156"/>
      <c r="BR59" s="594"/>
      <c r="BS59" s="594"/>
      <c r="BT59" s="594"/>
      <c r="BU59" s="594"/>
      <c r="BV59" s="156"/>
      <c r="BW59" s="158"/>
      <c r="BX59" s="185"/>
      <c r="BY59" s="185"/>
      <c r="BZ59" s="185"/>
      <c r="CA59" s="185"/>
      <c r="CB59" s="156"/>
      <c r="CC59" s="158"/>
      <c r="CD59" s="157"/>
      <c r="CE59" s="159"/>
      <c r="CF59" s="159"/>
    </row>
    <row r="60" spans="1:84" s="308" customFormat="1" ht="15" hidden="1" customHeight="1" x14ac:dyDescent="0.25">
      <c r="A60" s="84"/>
      <c r="B60" s="169" t="s">
        <v>542</v>
      </c>
      <c r="C60" s="508"/>
      <c r="D60" s="172"/>
      <c r="E60" s="309" t="s">
        <v>155</v>
      </c>
      <c r="F60" s="309"/>
      <c r="G60" s="309"/>
      <c r="H60" s="512" t="s">
        <v>31</v>
      </c>
      <c r="I60" s="145">
        <f>+'P01 2025'!F47</f>
        <v>1544483.2579999999</v>
      </c>
      <c r="J60" s="313">
        <f>+'P01 2025'!DE47</f>
        <v>1544483.2579999999</v>
      </c>
      <c r="K60" s="306">
        <f ca="1">SUMIF(T$3:$AM52,"ok",T60:AM60)</f>
        <v>826001.53700000001</v>
      </c>
      <c r="L60" s="378">
        <f t="shared" ca="1" si="3"/>
        <v>0.53480769877014755</v>
      </c>
      <c r="M60" s="313">
        <f>+'P01 2025'!DG47</f>
        <v>826001.53700000001</v>
      </c>
      <c r="N60" s="378">
        <f t="shared" si="5"/>
        <v>0.53480769877014755</v>
      </c>
      <c r="O60" s="306">
        <f t="shared" si="6"/>
        <v>718481.7209999999</v>
      </c>
      <c r="P60" s="443">
        <f t="shared" si="7"/>
        <v>0.46519230122985245</v>
      </c>
      <c r="Q60" s="86">
        <f>+'P01 2024'!DJ48</f>
        <v>1485141.76</v>
      </c>
      <c r="R60" s="86">
        <f ca="1">SUMIF(T$3:$AM52,"SI",T60:AM60)</f>
        <v>803147.31763400009</v>
      </c>
      <c r="S60" s="378">
        <f t="shared" ca="1" si="8"/>
        <v>0.54078832018971712</v>
      </c>
      <c r="T60" s="509">
        <f>+'P01 2025'!G47</f>
        <v>0</v>
      </c>
      <c r="U60" s="467">
        <f>+'P01 2024'!K47</f>
        <v>0</v>
      </c>
      <c r="V60" s="467">
        <v>0</v>
      </c>
      <c r="W60" s="86">
        <v>0</v>
      </c>
      <c r="X60" s="86">
        <f>+'P01 2025'!AC42</f>
        <v>412650.63199999998</v>
      </c>
      <c r="Y60" s="86">
        <f>+'P01 2024'!AE40</f>
        <v>399623.69700799999</v>
      </c>
      <c r="Z60" s="86">
        <f>+'P01 2025'!AR39</f>
        <v>127.425</v>
      </c>
      <c r="AA60" s="88">
        <f>+'P01 2024'!AT35</f>
        <v>1104.8388520000001</v>
      </c>
      <c r="AB60" s="88">
        <f>SUM(AB61:AB63)</f>
        <v>0</v>
      </c>
      <c r="AC60" s="155">
        <v>0</v>
      </c>
      <c r="AD60" s="165">
        <f>+'P01 2025'!BU42</f>
        <v>413223.48</v>
      </c>
      <c r="AE60" s="165">
        <f>+'P01 2024'!BX42</f>
        <v>401977.57292400004</v>
      </c>
      <c r="AF60" s="165">
        <v>0</v>
      </c>
      <c r="AG60" s="88">
        <f>+'P01 2024'!CM42</f>
        <v>455.30711000000002</v>
      </c>
      <c r="AH60" s="155">
        <v>0</v>
      </c>
      <c r="AI60" s="86">
        <f>+'P01 2024'!DB42</f>
        <v>-14.09826</v>
      </c>
      <c r="AJ60" s="165">
        <f>+'P01 2024'!DR42</f>
        <v>386347.43900000001</v>
      </c>
      <c r="AK60" s="165">
        <f>SUM(AK61:AK63)</f>
        <v>109.22499999999999</v>
      </c>
      <c r="AL60" s="165">
        <v>0</v>
      </c>
      <c r="AM60" s="165">
        <f>+'P01 2024'!FL44</f>
        <v>387130.96500000003</v>
      </c>
      <c r="AN60" s="1194"/>
      <c r="AO60" s="151"/>
      <c r="AP60" s="151"/>
      <c r="AQ60" s="151"/>
      <c r="AR60" s="151"/>
      <c r="AS60" s="151"/>
      <c r="AT60" s="151"/>
      <c r="AU60" s="151"/>
      <c r="AV60" s="151"/>
      <c r="AW60" s="1195"/>
      <c r="AX60" s="1196"/>
      <c r="AY60" s="148"/>
      <c r="AZ60" s="151"/>
      <c r="BA60" s="151"/>
      <c r="BB60" s="1172"/>
      <c r="BC60" s="151"/>
      <c r="BD60" s="151"/>
      <c r="BE60" s="1171"/>
      <c r="BF60" s="1171"/>
      <c r="BG60" s="1171"/>
      <c r="BH60" s="1171"/>
      <c r="BI60" s="1171"/>
      <c r="BJ60" s="932"/>
      <c r="BK60" s="156"/>
      <c r="BL60" s="594"/>
      <c r="BM60" s="594"/>
      <c r="BN60" s="594"/>
      <c r="BO60" s="594"/>
      <c r="BP60" s="185"/>
      <c r="BQ60" s="156"/>
      <c r="BR60" s="594"/>
      <c r="BS60" s="594"/>
      <c r="BT60" s="594"/>
      <c r="BU60" s="594"/>
      <c r="BV60" s="156"/>
      <c r="BW60" s="158"/>
      <c r="BX60" s="185"/>
      <c r="BY60" s="185"/>
      <c r="BZ60" s="185"/>
      <c r="CA60" s="185"/>
      <c r="CB60" s="151"/>
      <c r="CC60" s="148"/>
      <c r="CD60" s="123"/>
      <c r="CE60" s="152"/>
      <c r="CF60" s="152"/>
    </row>
    <row r="61" spans="1:84" s="320" customFormat="1" ht="15" hidden="1" customHeight="1" x14ac:dyDescent="0.25">
      <c r="A61" s="329"/>
      <c r="B61" s="952" t="s">
        <v>543</v>
      </c>
      <c r="C61" s="955"/>
      <c r="D61" s="794"/>
      <c r="E61" s="933"/>
      <c r="F61" s="316">
        <v>1</v>
      </c>
      <c r="G61" s="315" t="str">
        <f>+CONCATENATE($C$10,"",$D$42,"",$E$60,"00",F61)</f>
        <v>21.02.003.001</v>
      </c>
      <c r="H61" s="501" t="s">
        <v>32</v>
      </c>
      <c r="I61" s="317">
        <f>+'P01 2025'!F48</f>
        <v>795328.06599999999</v>
      </c>
      <c r="J61" s="317">
        <f>+'P01 2025'!DE48</f>
        <v>795328.06599999999</v>
      </c>
      <c r="K61" s="312">
        <f ca="1">SUMIF(T$3:$AM53,"ok",T61:AM61)</f>
        <v>419064.11300000001</v>
      </c>
      <c r="L61" s="379">
        <f t="shared" ca="1" si="3"/>
        <v>0.52690723603861855</v>
      </c>
      <c r="M61" s="317">
        <f>+'P01 2025'!DG48</f>
        <v>419064.11300000001</v>
      </c>
      <c r="N61" s="379">
        <f t="shared" si="5"/>
        <v>0.52690723603861855</v>
      </c>
      <c r="O61" s="317">
        <f t="shared" si="6"/>
        <v>376263.95299999998</v>
      </c>
      <c r="P61" s="445">
        <f t="shared" si="7"/>
        <v>0.47309276396138145</v>
      </c>
      <c r="Q61" s="249">
        <f>+'P01 2024'!DJ49</f>
        <v>783604.84000000008</v>
      </c>
      <c r="R61" s="311">
        <f ca="1">SUMIF(T$3:$AM53,"SI",T61:AM61)</f>
        <v>410096.37114999996</v>
      </c>
      <c r="S61" s="379">
        <f t="shared" ca="1" si="8"/>
        <v>0.52334588840722307</v>
      </c>
      <c r="T61" s="326">
        <f>+'P01 2025'!G48</f>
        <v>0</v>
      </c>
      <c r="U61" s="468">
        <f>+'P01 2024'!K48</f>
        <v>0</v>
      </c>
      <c r="V61" s="468">
        <v>0</v>
      </c>
      <c r="W61" s="956">
        <v>0</v>
      </c>
      <c r="X61" s="326">
        <f>+'P01 2025'!AC43</f>
        <v>208153.772</v>
      </c>
      <c r="Y61" s="249">
        <f>+'P01 2024'!AE41</f>
        <v>202683.93498600001</v>
      </c>
      <c r="Z61" s="249">
        <f>+'P01 2025'!AR40</f>
        <v>127.425</v>
      </c>
      <c r="AA61" s="249">
        <f>+'P01 2024'!AT36</f>
        <v>565.63198599999998</v>
      </c>
      <c r="AB61" s="249">
        <v>0</v>
      </c>
      <c r="AC61" s="249">
        <v>0</v>
      </c>
      <c r="AD61" s="249">
        <f>+'P01 2025'!BU43</f>
        <v>210782.916</v>
      </c>
      <c r="AE61" s="249">
        <f>+'P01 2024'!BX43</f>
        <v>206632.08861599999</v>
      </c>
      <c r="AF61" s="249">
        <v>0</v>
      </c>
      <c r="AG61" s="249">
        <f>+'P01 2024'!CM43</f>
        <v>221.764692</v>
      </c>
      <c r="AH61" s="249">
        <v>0</v>
      </c>
      <c r="AI61" s="175">
        <f>+'P01 2024'!DB43</f>
        <v>-7.0491299999999999</v>
      </c>
      <c r="AJ61" s="249">
        <f>+'P01 2024'!DR43</f>
        <v>200290.87599999999</v>
      </c>
      <c r="AK61" s="249">
        <f>'P01 2024'!EG37</f>
        <v>87.686999999999998</v>
      </c>
      <c r="AL61" s="249">
        <v>0</v>
      </c>
      <c r="AM61" s="175">
        <f>+'P01 2024'!FL45</f>
        <v>201318.12</v>
      </c>
      <c r="AN61" s="1194"/>
      <c r="AO61" s="151"/>
      <c r="AP61" s="151"/>
      <c r="AQ61" s="151"/>
      <c r="AR61" s="151"/>
      <c r="AS61" s="151"/>
      <c r="AT61" s="151"/>
      <c r="AU61" s="151"/>
      <c r="AV61" s="151"/>
      <c r="AW61" s="1195"/>
      <c r="AX61" s="1196"/>
      <c r="AY61" s="148"/>
      <c r="AZ61" s="151"/>
      <c r="BA61" s="151"/>
      <c r="BB61" s="1172"/>
      <c r="BC61" s="151"/>
      <c r="BD61" s="151"/>
      <c r="BE61" s="1171"/>
      <c r="BF61" s="1171"/>
      <c r="BG61" s="1171"/>
      <c r="BH61" s="1171"/>
      <c r="BI61" s="151"/>
      <c r="BJ61" s="156"/>
      <c r="BK61" s="156"/>
      <c r="BL61" s="594"/>
      <c r="BM61" s="594"/>
      <c r="BN61" s="594"/>
      <c r="BO61" s="594"/>
      <c r="BP61" s="185"/>
      <c r="BQ61" s="156"/>
      <c r="BR61" s="594"/>
      <c r="BS61" s="594"/>
      <c r="BT61" s="594"/>
      <c r="BU61" s="594"/>
      <c r="BV61" s="156"/>
      <c r="BW61" s="158"/>
      <c r="BX61" s="185"/>
      <c r="BY61" s="185"/>
      <c r="BZ61" s="185"/>
      <c r="CA61" s="185"/>
      <c r="CB61" s="156"/>
      <c r="CC61" s="158"/>
      <c r="CD61" s="157"/>
      <c r="CE61" s="159"/>
      <c r="CF61" s="159"/>
    </row>
    <row r="62" spans="1:84" s="320" customFormat="1" ht="15" hidden="1" customHeight="1" x14ac:dyDescent="0.25">
      <c r="A62" s="329"/>
      <c r="B62" s="952" t="s">
        <v>353</v>
      </c>
      <c r="C62" s="955"/>
      <c r="D62" s="794"/>
      <c r="E62" s="933"/>
      <c r="F62" s="316">
        <v>2</v>
      </c>
      <c r="G62" s="315" t="str">
        <f>+CONCATENATE($C$10,"",$D$42,"",$E$60,"00",F62)</f>
        <v>21.02.003.002</v>
      </c>
      <c r="H62" s="501" t="s">
        <v>33</v>
      </c>
      <c r="I62" s="317">
        <f>+'P01 2025'!F49</f>
        <v>749155.19200000004</v>
      </c>
      <c r="J62" s="317">
        <f>+'P01 2025'!DE49</f>
        <v>749155.19200000004</v>
      </c>
      <c r="K62" s="312">
        <f ca="1">SUMIF(T$3:$AM54,"ok",T62:AM62)</f>
        <v>406937.424</v>
      </c>
      <c r="L62" s="379">
        <f t="shared" ca="1" si="3"/>
        <v>0.54319509274655065</v>
      </c>
      <c r="M62" s="317">
        <f>+'P01 2025'!DG49</f>
        <v>406937.424</v>
      </c>
      <c r="N62" s="379">
        <f t="shared" si="5"/>
        <v>0.54319509274655065</v>
      </c>
      <c r="O62" s="317">
        <f t="shared" si="6"/>
        <v>342217.76800000004</v>
      </c>
      <c r="P62" s="445">
        <f t="shared" si="7"/>
        <v>0.4568049072534493</v>
      </c>
      <c r="Q62" s="249">
        <f>+'P01 2024'!DJ50</f>
        <v>701536.92</v>
      </c>
      <c r="R62" s="311">
        <f ca="1">SUMIF(T$3:$AM54,"SI",T62:AM62)</f>
        <v>393050.94648400001</v>
      </c>
      <c r="S62" s="379">
        <f t="shared" ca="1" si="8"/>
        <v>0.56027122062798917</v>
      </c>
      <c r="T62" s="326">
        <f>+'P01 2025'!G49</f>
        <v>0</v>
      </c>
      <c r="U62" s="468">
        <f>+'P01 2024'!K49</f>
        <v>0</v>
      </c>
      <c r="V62" s="468">
        <v>0</v>
      </c>
      <c r="W62" s="956">
        <v>0</v>
      </c>
      <c r="X62" s="326">
        <f>+'P01 2025'!AC44</f>
        <v>204496.86</v>
      </c>
      <c r="Y62" s="249">
        <f>+'P01 2024'!AE42</f>
        <v>196939.76202200001</v>
      </c>
      <c r="Z62" s="249">
        <v>0</v>
      </c>
      <c r="AA62" s="249">
        <f>+'P01 2024'!AT37</f>
        <v>539.20686599999999</v>
      </c>
      <c r="AB62" s="249">
        <v>0</v>
      </c>
      <c r="AC62" s="249">
        <v>0</v>
      </c>
      <c r="AD62" s="249">
        <f>+'P01 2025'!BU44</f>
        <v>202440.56400000001</v>
      </c>
      <c r="AE62" s="249">
        <f>+'P01 2024'!BX44</f>
        <v>195345.48430800001</v>
      </c>
      <c r="AF62" s="249">
        <v>0</v>
      </c>
      <c r="AG62" s="249">
        <f>+'P01 2024'!CM44</f>
        <v>233.542418</v>
      </c>
      <c r="AH62" s="249">
        <v>0</v>
      </c>
      <c r="AI62" s="175">
        <f>+'P01 2024'!DB44</f>
        <v>-7.0491299999999999</v>
      </c>
      <c r="AJ62" s="249">
        <f>+'P01 2024'!DR44</f>
        <v>186056.56299999999</v>
      </c>
      <c r="AK62" s="249">
        <f>'P01 2024'!EG38</f>
        <v>21.538</v>
      </c>
      <c r="AL62" s="249">
        <v>0</v>
      </c>
      <c r="AM62" s="175">
        <f>+'P01 2024'!FL46</f>
        <v>185811.111</v>
      </c>
      <c r="AN62" s="1194"/>
      <c r="AO62" s="151"/>
      <c r="AP62" s="151"/>
      <c r="AQ62" s="151"/>
      <c r="AR62" s="151"/>
      <c r="AS62" s="151"/>
      <c r="AT62" s="151"/>
      <c r="AU62" s="151"/>
      <c r="AV62" s="151"/>
      <c r="AW62" s="1195"/>
      <c r="AX62" s="1196"/>
      <c r="AY62" s="148"/>
      <c r="AZ62" s="151"/>
      <c r="BA62" s="151"/>
      <c r="BB62" s="1172"/>
      <c r="BC62" s="151"/>
      <c r="BD62" s="151"/>
      <c r="BE62" s="1171"/>
      <c r="BF62" s="1171"/>
      <c r="BG62" s="1171"/>
      <c r="BH62" s="1171"/>
      <c r="BI62" s="151"/>
      <c r="BJ62" s="156"/>
      <c r="BK62" s="156"/>
      <c r="BL62" s="594"/>
      <c r="BM62" s="594"/>
      <c r="BN62" s="594"/>
      <c r="BO62" s="594"/>
      <c r="BP62" s="185"/>
      <c r="BQ62" s="156"/>
      <c r="BR62" s="594"/>
      <c r="BS62" s="594"/>
      <c r="BT62" s="594"/>
      <c r="BU62" s="594"/>
      <c r="BV62" s="156"/>
      <c r="BW62" s="158"/>
      <c r="BX62" s="185"/>
      <c r="BY62" s="185"/>
      <c r="BZ62" s="185"/>
      <c r="CA62" s="185"/>
      <c r="CB62" s="156"/>
      <c r="CC62" s="158"/>
      <c r="CD62" s="157"/>
      <c r="CE62" s="159"/>
      <c r="CF62" s="159"/>
    </row>
    <row r="63" spans="1:84" s="320" customFormat="1" ht="15" hidden="1" customHeight="1" x14ac:dyDescent="0.25">
      <c r="A63" s="329"/>
      <c r="B63" s="952" t="s">
        <v>940</v>
      </c>
      <c r="C63" s="955"/>
      <c r="D63" s="794"/>
      <c r="E63" s="933"/>
      <c r="F63" s="316">
        <v>3</v>
      </c>
      <c r="G63" s="315" t="str">
        <f>+CONCATENATE($C$10,"",$D$42,"",$E$60,"00",F63)</f>
        <v>21.02.003.003</v>
      </c>
      <c r="H63" s="501" t="s">
        <v>770</v>
      </c>
      <c r="I63" s="246">
        <v>0</v>
      </c>
      <c r="J63" s="317">
        <v>0</v>
      </c>
      <c r="K63" s="317">
        <f ca="1">SUMIF(T$3:$AM55,"ok",T63:AM63)</f>
        <v>0</v>
      </c>
      <c r="L63" s="379">
        <f t="shared" ca="1" si="3"/>
        <v>0</v>
      </c>
      <c r="M63" s="317">
        <v>0</v>
      </c>
      <c r="N63" s="379">
        <f t="shared" si="5"/>
        <v>0</v>
      </c>
      <c r="O63" s="317">
        <f t="shared" si="6"/>
        <v>0</v>
      </c>
      <c r="P63" s="445">
        <f t="shared" si="7"/>
        <v>0</v>
      </c>
      <c r="Q63" s="249">
        <v>0</v>
      </c>
      <c r="R63" s="311">
        <f ca="1">SUMIF(T$3:$AM53,"SI",T63:AM63)</f>
        <v>0</v>
      </c>
      <c r="S63" s="379" t="str">
        <f t="shared" ca="1" si="8"/>
        <v>0,00%</v>
      </c>
      <c r="T63" s="326">
        <v>0</v>
      </c>
      <c r="U63" s="468">
        <v>0</v>
      </c>
      <c r="V63" s="468">
        <v>0</v>
      </c>
      <c r="W63" s="319">
        <v>0</v>
      </c>
      <c r="X63" s="326">
        <v>0</v>
      </c>
      <c r="Y63" s="249">
        <v>0</v>
      </c>
      <c r="Z63" s="249">
        <v>0</v>
      </c>
      <c r="AA63" s="249">
        <v>0</v>
      </c>
      <c r="AB63" s="249">
        <v>0</v>
      </c>
      <c r="AC63" s="249">
        <v>0</v>
      </c>
      <c r="AD63" s="249">
        <v>0</v>
      </c>
      <c r="AE63" s="249">
        <v>0</v>
      </c>
      <c r="AF63" s="249">
        <v>0</v>
      </c>
      <c r="AG63" s="249"/>
      <c r="AH63" s="249">
        <v>0</v>
      </c>
      <c r="AI63" s="175">
        <v>0</v>
      </c>
      <c r="AJ63" s="249">
        <v>0</v>
      </c>
      <c r="AK63" s="249">
        <v>0</v>
      </c>
      <c r="AL63" s="175">
        <v>0</v>
      </c>
      <c r="AM63" s="175">
        <f>+'P01 2024'!FL47</f>
        <v>1.734</v>
      </c>
      <c r="AN63" s="1139"/>
      <c r="AO63" s="156"/>
      <c r="AP63" s="156"/>
      <c r="AQ63" s="156"/>
      <c r="AR63" s="156"/>
      <c r="AS63" s="156"/>
      <c r="AT63" s="156"/>
      <c r="AU63" s="156"/>
      <c r="AV63" s="156"/>
      <c r="AW63" s="1140"/>
      <c r="AX63" s="1197"/>
      <c r="AY63" s="148"/>
      <c r="AZ63" s="151"/>
      <c r="BA63" s="151"/>
      <c r="BB63" s="1172"/>
      <c r="BC63" s="151"/>
      <c r="BD63" s="151"/>
      <c r="BE63" s="1171"/>
      <c r="BF63" s="1171"/>
      <c r="BG63" s="1171"/>
      <c r="BH63" s="1171"/>
      <c r="BI63" s="151"/>
      <c r="BJ63" s="156"/>
      <c r="BK63" s="156"/>
      <c r="BL63" s="594"/>
      <c r="BM63" s="594"/>
      <c r="BN63" s="594"/>
      <c r="BO63" s="594"/>
      <c r="BP63" s="185"/>
      <c r="BQ63" s="156"/>
      <c r="BR63" s="594"/>
      <c r="BS63" s="594"/>
      <c r="BT63" s="594"/>
      <c r="BU63" s="594"/>
      <c r="BV63" s="156"/>
      <c r="BW63" s="158"/>
      <c r="BX63" s="185"/>
      <c r="BY63" s="185"/>
      <c r="BZ63" s="185"/>
      <c r="CA63" s="185"/>
      <c r="CB63" s="156"/>
      <c r="CC63" s="158"/>
      <c r="CD63" s="157"/>
      <c r="CE63" s="159"/>
      <c r="CF63" s="159"/>
    </row>
    <row r="64" spans="1:84" s="308" customFormat="1" ht="15" hidden="1" customHeight="1" x14ac:dyDescent="0.25">
      <c r="A64" s="84"/>
      <c r="B64" s="169" t="s">
        <v>354</v>
      </c>
      <c r="C64" s="508"/>
      <c r="D64" s="172"/>
      <c r="E64" s="309" t="s">
        <v>156</v>
      </c>
      <c r="F64" s="309"/>
      <c r="G64" s="309"/>
      <c r="H64" s="512" t="s">
        <v>34</v>
      </c>
      <c r="I64" s="145">
        <f>+'P01 2025'!F50</f>
        <v>471035.58399999997</v>
      </c>
      <c r="J64" s="313">
        <f>+'P01 2025'!DE50</f>
        <v>471912.57799999998</v>
      </c>
      <c r="K64" s="306">
        <f ca="1">SUMIF(T$3:$AM56,"ok",T64:AM64)</f>
        <v>263062.67799999996</v>
      </c>
      <c r="L64" s="378">
        <f t="shared" ca="1" si="3"/>
        <v>0.55743942896135301</v>
      </c>
      <c r="M64" s="313">
        <f>SUM(M65:M68)</f>
        <v>263062.67800000001</v>
      </c>
      <c r="N64" s="378">
        <f t="shared" si="5"/>
        <v>0.55743942896135312</v>
      </c>
      <c r="O64" s="306">
        <f t="shared" si="6"/>
        <v>208849.89999999997</v>
      </c>
      <c r="P64" s="443">
        <f t="shared" si="7"/>
        <v>0.44256057103864688</v>
      </c>
      <c r="Q64" s="86">
        <f>+'P01 2024'!DJ51</f>
        <v>388945.777</v>
      </c>
      <c r="R64" s="155">
        <f ca="1">SUM(R65:R68)</f>
        <v>283153.109176</v>
      </c>
      <c r="S64" s="378">
        <f t="shared" ca="1" si="8"/>
        <v>0.72800150026053634</v>
      </c>
      <c r="T64" s="509">
        <f>+'P01 2025'!G50</f>
        <v>33517.370999999999</v>
      </c>
      <c r="U64" s="467">
        <f>+'P01 2024'!K50</f>
        <v>28558.196116000003</v>
      </c>
      <c r="V64" s="467">
        <f>+'P01 2025'!N32</f>
        <v>29558.672999999999</v>
      </c>
      <c r="W64" s="155">
        <f>+'P01 2024'!Q34</f>
        <v>31656.804020000003</v>
      </c>
      <c r="X64" s="155">
        <f>+'P01 2025'!AC45</f>
        <v>32673.397000000001</v>
      </c>
      <c r="Y64" s="86">
        <f>+'P01 2024'!AE43</f>
        <v>33296.946406000003</v>
      </c>
      <c r="Z64" s="86">
        <f>+'P01 2025'!AR41</f>
        <v>38922.883999999998</v>
      </c>
      <c r="AA64" s="88">
        <f>+'P01 2024'!AT38</f>
        <v>38974.482428000003</v>
      </c>
      <c r="AB64" s="88">
        <f>SUM(AB65:AB68)</f>
        <v>31466.870999999999</v>
      </c>
      <c r="AC64" s="155">
        <f>+'P01 2024'!BI34</f>
        <v>34591.441762000002</v>
      </c>
      <c r="AD64" s="155">
        <f>+'P01 2025'!BU45</f>
        <v>33306.571000000004</v>
      </c>
      <c r="AE64" s="155">
        <f>+'P01 2024'!BX45</f>
        <v>40042.032267999995</v>
      </c>
      <c r="AF64" s="155">
        <f>+'P01 2025'!CI34</f>
        <v>30648.492999999999</v>
      </c>
      <c r="AG64" s="88">
        <f>+'P01 2024'!CM45</f>
        <v>35839.752552000005</v>
      </c>
      <c r="AH64" s="88">
        <f>+'P01 2025'!CX37</f>
        <v>32968.417999999998</v>
      </c>
      <c r="AI64" s="86">
        <f>+'P01 2024'!DB45</f>
        <v>40193.453624000002</v>
      </c>
      <c r="AJ64" s="155">
        <f>+'P01 2024'!DR45</f>
        <v>31388.014999999999</v>
      </c>
      <c r="AK64" s="155">
        <f>SUM(AK65:AK68)</f>
        <v>32069.205000000002</v>
      </c>
      <c r="AL64" s="155">
        <f>+'P01 2024'!ET34</f>
        <v>37373.436000000002</v>
      </c>
      <c r="AM64" s="165">
        <f>+'P01 2024'!FL48</f>
        <v>45691.453000000001</v>
      </c>
      <c r="AN64" s="1194"/>
      <c r="AO64" s="151"/>
      <c r="AP64" s="151"/>
      <c r="AQ64" s="151"/>
      <c r="AR64" s="151"/>
      <c r="AS64" s="151"/>
      <c r="AT64" s="151"/>
      <c r="AU64" s="151"/>
      <c r="AV64" s="151"/>
      <c r="AW64" s="1195"/>
      <c r="AX64" s="1196"/>
      <c r="AY64" s="148"/>
      <c r="AZ64" s="151"/>
      <c r="BA64" s="151"/>
      <c r="BB64" s="1172"/>
      <c r="BC64" s="151"/>
      <c r="BD64" s="151"/>
      <c r="BE64" s="1171"/>
      <c r="BF64" s="1171"/>
      <c r="BG64" s="1171"/>
      <c r="BH64" s="1171"/>
      <c r="BI64" s="1171"/>
      <c r="BJ64" s="932"/>
      <c r="BK64" s="156"/>
      <c r="BL64" s="594"/>
      <c r="BM64" s="594"/>
      <c r="BN64" s="594"/>
      <c r="BO64" s="594"/>
      <c r="BP64" s="185"/>
      <c r="BQ64" s="156"/>
      <c r="BR64" s="594"/>
      <c r="BS64" s="594"/>
      <c r="BT64" s="594"/>
      <c r="BU64" s="594"/>
      <c r="BV64" s="156"/>
      <c r="BW64" s="158"/>
      <c r="BX64" s="185"/>
      <c r="BY64" s="185"/>
      <c r="BZ64" s="185"/>
      <c r="CA64" s="185"/>
      <c r="CB64" s="151"/>
      <c r="CC64" s="148"/>
      <c r="CD64" s="123"/>
      <c r="CE64" s="152"/>
      <c r="CF64" s="152"/>
    </row>
    <row r="65" spans="1:84" s="320" customFormat="1" ht="15" hidden="1" customHeight="1" x14ac:dyDescent="0.25">
      <c r="A65" s="329"/>
      <c r="B65" s="952" t="s">
        <v>544</v>
      </c>
      <c r="C65" s="955"/>
      <c r="D65" s="794"/>
      <c r="E65" s="933"/>
      <c r="F65" s="316">
        <v>4</v>
      </c>
      <c r="G65" s="315" t="str">
        <f>+CONCATENATE($C$10,"",$D$42,"",$E$64,"00",F65)</f>
        <v>21.02.004.004</v>
      </c>
      <c r="H65" s="501" t="s">
        <v>35</v>
      </c>
      <c r="I65" s="317">
        <f>+'P01 2025'!F51</f>
        <v>338878.78399999999</v>
      </c>
      <c r="J65" s="317">
        <f>+'P01 2025'!DE51</f>
        <v>338878.78399999999</v>
      </c>
      <c r="K65" s="317">
        <f ca="1">SUMIF(T$3:$AM57,"ok",T65:AM65)</f>
        <v>160693.40600000002</v>
      </c>
      <c r="L65" s="379">
        <f t="shared" ca="1" si="3"/>
        <v>0.47419140290588396</v>
      </c>
      <c r="M65" s="317">
        <f>'P01 2025'!DG51</f>
        <v>160693.40599999999</v>
      </c>
      <c r="N65" s="379">
        <f t="shared" si="5"/>
        <v>0.47419140290588385</v>
      </c>
      <c r="O65" s="317">
        <f t="shared" si="6"/>
        <v>178185.378</v>
      </c>
      <c r="P65" s="445">
        <f t="shared" si="7"/>
        <v>0.52580859709411609</v>
      </c>
      <c r="Q65" s="249">
        <f>+'P01 2024'!DJ52</f>
        <v>211675.527</v>
      </c>
      <c r="R65" s="311">
        <f ca="1">SUMIF(T$3:$AM53,"SI",T65:AM65)</f>
        <v>165342.11859400003</v>
      </c>
      <c r="S65" s="379">
        <f t="shared" ca="1" si="8"/>
        <v>0.7811111701826543</v>
      </c>
      <c r="T65" s="326">
        <f>+'P01 2025'!G51</f>
        <v>18724.327000000001</v>
      </c>
      <c r="U65" s="468">
        <f>+'P01 2024'!K51</f>
        <v>19224.067442000003</v>
      </c>
      <c r="V65" s="468">
        <f>+'P01 2025'!N33</f>
        <v>18554.16</v>
      </c>
      <c r="W65" s="326">
        <f>+'P01 2024'!Q35</f>
        <v>19224.067442000003</v>
      </c>
      <c r="X65" s="326">
        <f>+'P01 2025'!AC46</f>
        <v>21020.258000000002</v>
      </c>
      <c r="Y65" s="249">
        <f>+'P01 2024'!AE44</f>
        <v>20776.853758000001</v>
      </c>
      <c r="Z65" s="249">
        <f>+'P01 2025'!AR42</f>
        <v>21252.538</v>
      </c>
      <c r="AA65" s="249">
        <f>+'P01 2024'!AT39</f>
        <v>19655.914964</v>
      </c>
      <c r="AB65" s="249">
        <f>'P01 2025'!BF33</f>
        <v>20708.314999999999</v>
      </c>
      <c r="AC65" s="249">
        <f>+'P01 2024'!BI35</f>
        <v>19655.914964</v>
      </c>
      <c r="AD65" s="249">
        <f>+'P01 2025'!BU46</f>
        <v>19750.91</v>
      </c>
      <c r="AE65" s="249">
        <f>+'P01 2024'!BX46</f>
        <v>22924.018756000001</v>
      </c>
      <c r="AF65" s="249">
        <f>+'P01 2025'!CI35</f>
        <v>19708.391</v>
      </c>
      <c r="AG65" s="249">
        <f>+'P01 2024'!CM46</f>
        <v>22051.313538000002</v>
      </c>
      <c r="AH65" s="249">
        <f>+'P01 2025'!CX38</f>
        <v>20974.507000000001</v>
      </c>
      <c r="AI65" s="175">
        <f>+'P01 2024'!DB46</f>
        <v>21829.96773</v>
      </c>
      <c r="AJ65" s="249">
        <f>+'P01 2024'!DR46</f>
        <v>20756.830000000002</v>
      </c>
      <c r="AK65" s="249">
        <f>'P01 2024'!EG40</f>
        <v>20933.36</v>
      </c>
      <c r="AL65" s="175">
        <f>+'P01 2024'!ET35</f>
        <v>20756.830000000002</v>
      </c>
      <c r="AM65" s="175">
        <f>+'P01 2024'!FL49</f>
        <v>20243.231</v>
      </c>
      <c r="AN65" s="1194"/>
      <c r="AO65" s="151"/>
      <c r="AP65" s="151"/>
      <c r="AQ65" s="151"/>
      <c r="AR65" s="151"/>
      <c r="AS65" s="151"/>
      <c r="AT65" s="151"/>
      <c r="AU65" s="151"/>
      <c r="AV65" s="151"/>
      <c r="AW65" s="1195"/>
      <c r="AX65" s="1196"/>
      <c r="AY65" s="148"/>
      <c r="AZ65" s="151"/>
      <c r="BA65" s="151"/>
      <c r="BB65" s="1172"/>
      <c r="BC65" s="151"/>
      <c r="BD65" s="151"/>
      <c r="BE65" s="1171"/>
      <c r="BF65" s="1171"/>
      <c r="BG65" s="1171"/>
      <c r="BH65" s="1171"/>
      <c r="BI65" s="151"/>
      <c r="BJ65" s="156"/>
      <c r="BK65" s="156"/>
      <c r="BL65" s="594"/>
      <c r="BM65" s="594"/>
      <c r="BN65" s="594"/>
      <c r="BO65" s="594"/>
      <c r="BP65" s="185"/>
      <c r="BQ65" s="156"/>
      <c r="BR65" s="594"/>
      <c r="BS65" s="594"/>
      <c r="BT65" s="594"/>
      <c r="BU65" s="594"/>
      <c r="BV65" s="156"/>
      <c r="BW65" s="158"/>
      <c r="BX65" s="185"/>
      <c r="BY65" s="185"/>
      <c r="BZ65" s="185"/>
      <c r="CA65" s="185"/>
      <c r="CB65" s="156"/>
      <c r="CC65" s="158"/>
      <c r="CD65" s="157"/>
      <c r="CE65" s="159"/>
      <c r="CF65" s="159"/>
    </row>
    <row r="66" spans="1:84" s="320" customFormat="1" ht="15" hidden="1" customHeight="1" x14ac:dyDescent="0.25">
      <c r="A66" s="329"/>
      <c r="B66" s="952" t="s">
        <v>545</v>
      </c>
      <c r="C66" s="955"/>
      <c r="D66" s="794"/>
      <c r="E66" s="933"/>
      <c r="F66" s="316">
        <v>5</v>
      </c>
      <c r="G66" s="315" t="str">
        <f>+CONCATENATE($C$10,"",$D$42,"",$E$64,"00",F66)</f>
        <v>21.02.004.005</v>
      </c>
      <c r="H66" s="501" t="s">
        <v>708</v>
      </c>
      <c r="I66" s="317">
        <f>+'P01 2025'!F52</f>
        <v>56627.8</v>
      </c>
      <c r="J66" s="317">
        <f>+'P01 2025'!DE52</f>
        <v>56627.8</v>
      </c>
      <c r="K66" s="317">
        <f ca="1">SUMIF(T$3:$AM58,"ok",T66:AM66)</f>
        <v>29079.485000000001</v>
      </c>
      <c r="L66" s="379">
        <f t="shared" ca="1" si="3"/>
        <v>0.51351959638198907</v>
      </c>
      <c r="M66" s="317">
        <f>'P01 2025'!DG52</f>
        <v>29079.485000000001</v>
      </c>
      <c r="N66" s="379">
        <f t="shared" si="5"/>
        <v>0.51351959638198907</v>
      </c>
      <c r="O66" s="317">
        <f t="shared" si="6"/>
        <v>27548.315000000002</v>
      </c>
      <c r="P66" s="445">
        <f t="shared" si="7"/>
        <v>0.48648040361801098</v>
      </c>
      <c r="Q66" s="249">
        <f>+'P01 2024'!DJ53</f>
        <v>58387.428</v>
      </c>
      <c r="R66" s="311">
        <f ca="1">SUMIF(T$3:$AM54,"SI",T66:AM66)</f>
        <v>27001.164691999998</v>
      </c>
      <c r="S66" s="379">
        <f t="shared" ca="1" si="8"/>
        <v>0.4624482635542706</v>
      </c>
      <c r="T66" s="326">
        <f>+'P01 2025'!G52</f>
        <v>5115.1379999999999</v>
      </c>
      <c r="U66" s="468">
        <f>+'P01 2024'!K52</f>
        <v>1050.030694</v>
      </c>
      <c r="V66" s="468">
        <f>+'P01 2025'!N34</f>
        <v>3793.7950000000001</v>
      </c>
      <c r="W66" s="326">
        <f>+'P01 2024'!Q36</f>
        <v>5113.2565519999998</v>
      </c>
      <c r="X66" s="326">
        <f>+'P01 2025'!AC47</f>
        <v>3013.547</v>
      </c>
      <c r="Y66" s="249">
        <f>+'P01 2024'!AE45</f>
        <v>3574.8821380000004</v>
      </c>
      <c r="Z66" s="249">
        <f>+'P01 2025'!AR43</f>
        <v>3448.2020000000002</v>
      </c>
      <c r="AA66" s="249">
        <f>+'P01 2024'!AT40</f>
        <v>3298.7198359999998</v>
      </c>
      <c r="AB66" s="249">
        <f>'P01 2025'!BF34</f>
        <v>3138.4369999999999</v>
      </c>
      <c r="AC66" s="249">
        <f>+'P01 2024'!BI36</f>
        <v>3689.537566</v>
      </c>
      <c r="AD66" s="249">
        <f>+'P01 2025'!BU47</f>
        <v>3864.3249999999998</v>
      </c>
      <c r="AE66" s="249">
        <f>+'P01 2024'!BX47</f>
        <v>3439.4054660000002</v>
      </c>
      <c r="AF66" s="249">
        <f>+'P01 2025'!CI36</f>
        <v>3232.04</v>
      </c>
      <c r="AG66" s="249">
        <f>+'P01 2024'!CM47</f>
        <v>2984.1264900000001</v>
      </c>
      <c r="AH66" s="249">
        <f>+'P01 2025'!CX39</f>
        <v>3474.0010000000002</v>
      </c>
      <c r="AI66" s="175">
        <f>+'P01 2024'!DB47</f>
        <v>3851.20595</v>
      </c>
      <c r="AJ66" s="249">
        <f>+'P01 2024'!DR47</f>
        <v>3843.7469999999998</v>
      </c>
      <c r="AK66" s="249">
        <f>'P01 2024'!EG41</f>
        <v>3476.1770000000001</v>
      </c>
      <c r="AL66" s="175">
        <f>+'P01 2024'!ET36</f>
        <v>6580.9070000000002</v>
      </c>
      <c r="AM66" s="175">
        <f>+'P01 2024'!FL50</f>
        <v>15666.178</v>
      </c>
      <c r="AN66" s="1194"/>
      <c r="AO66" s="151"/>
      <c r="AP66" s="151"/>
      <c r="AQ66" s="151"/>
      <c r="AR66" s="151"/>
      <c r="AS66" s="151"/>
      <c r="AT66" s="151"/>
      <c r="AU66" s="151"/>
      <c r="AV66" s="151"/>
      <c r="AW66" s="1195"/>
      <c r="AX66" s="1196"/>
      <c r="AY66" s="148"/>
      <c r="AZ66" s="151"/>
      <c r="BA66" s="151"/>
      <c r="BB66" s="1172"/>
      <c r="BC66" s="151"/>
      <c r="BD66" s="151"/>
      <c r="BE66" s="1171"/>
      <c r="BF66" s="1171"/>
      <c r="BG66" s="1171"/>
      <c r="BH66" s="1171"/>
      <c r="BI66" s="151"/>
      <c r="BJ66" s="156"/>
      <c r="BK66" s="156"/>
      <c r="BL66" s="594"/>
      <c r="BM66" s="594"/>
      <c r="BN66" s="594"/>
      <c r="BO66" s="594"/>
      <c r="BP66" s="185"/>
      <c r="BQ66" s="156"/>
      <c r="BR66" s="594"/>
      <c r="BS66" s="594"/>
      <c r="BT66" s="594"/>
      <c r="BU66" s="594"/>
      <c r="BV66" s="156"/>
      <c r="BW66" s="158"/>
      <c r="BX66" s="185"/>
      <c r="BY66" s="185"/>
      <c r="BZ66" s="185"/>
      <c r="CA66" s="185"/>
      <c r="CB66" s="156"/>
      <c r="CC66" s="158"/>
      <c r="CD66" s="157"/>
      <c r="CE66" s="159"/>
      <c r="CF66" s="159"/>
    </row>
    <row r="67" spans="1:84" s="320" customFormat="1" ht="15" hidden="1" customHeight="1" x14ac:dyDescent="0.25">
      <c r="A67" s="329"/>
      <c r="B67" s="952" t="s">
        <v>582</v>
      </c>
      <c r="C67" s="955"/>
      <c r="D67" s="794"/>
      <c r="E67" s="933"/>
      <c r="F67" s="316">
        <v>6</v>
      </c>
      <c r="G67" s="315" t="str">
        <f>+CONCATENATE($C$10,"",$D$42,"",$E$64,"00",F67)</f>
        <v>21.02.004.006</v>
      </c>
      <c r="H67" s="501" t="s">
        <v>37</v>
      </c>
      <c r="I67" s="317">
        <f>+'P01 2025'!F53</f>
        <v>75029</v>
      </c>
      <c r="J67" s="317">
        <f>+'P01 2025'!DE53</f>
        <v>74905.994000000006</v>
      </c>
      <c r="K67" s="317">
        <f ca="1">SUMIF(T$3:$AM59,"ok",T67:AM67)</f>
        <v>73289.786999999997</v>
      </c>
      <c r="L67" s="379">
        <f t="shared" ca="1" si="3"/>
        <v>0.97842352909701713</v>
      </c>
      <c r="M67" s="317">
        <f>'P01 2025'!DG53</f>
        <v>73289.786999999997</v>
      </c>
      <c r="N67" s="379">
        <f t="shared" si="5"/>
        <v>0.97842352909701713</v>
      </c>
      <c r="O67" s="317">
        <f t="shared" si="6"/>
        <v>1616.2070000000094</v>
      </c>
      <c r="P67" s="445">
        <f t="shared" si="7"/>
        <v>2.1576470902982869E-2</v>
      </c>
      <c r="Q67" s="249">
        <f>+'P01 2024'!DJ54</f>
        <v>118153.42200000001</v>
      </c>
      <c r="R67" s="311">
        <f ca="1">SUMIF(T$3:$AM55,"SI",T67:AM67)</f>
        <v>90809.825890000007</v>
      </c>
      <c r="S67" s="379">
        <f t="shared" ca="1" si="8"/>
        <v>0.76857550422873067</v>
      </c>
      <c r="T67" s="326">
        <f>+'P01 2025'!G53</f>
        <v>9677.9060000000009</v>
      </c>
      <c r="U67" s="468">
        <f>+'P01 2024'!K53</f>
        <v>8284.0979800000005</v>
      </c>
      <c r="V67" s="468">
        <f>+'P01 2025'!N35</f>
        <v>7210.7179999999998</v>
      </c>
      <c r="W67" s="326">
        <f>+'P01 2024'!Q37</f>
        <v>7319.4800260000011</v>
      </c>
      <c r="X67" s="326">
        <f>+'P01 2025'!AC48</f>
        <v>8639.5920000000006</v>
      </c>
      <c r="Y67" s="249">
        <f>+'P01 2024'!AE46</f>
        <v>8945.2105100000008</v>
      </c>
      <c r="Z67" s="249">
        <f>+'P01 2025'!AR44</f>
        <v>14222.144</v>
      </c>
      <c r="AA67" s="249">
        <f>+'P01 2024'!AT41</f>
        <v>16019.847628000001</v>
      </c>
      <c r="AB67" s="249">
        <f>'P01 2025'!BF35</f>
        <v>7620.1189999999997</v>
      </c>
      <c r="AC67" s="249">
        <f>+'P01 2024'!BI37</f>
        <v>11245.989232</v>
      </c>
      <c r="AD67" s="249">
        <f>+'P01 2025'!BU48</f>
        <v>9691.3359999999993</v>
      </c>
      <c r="AE67" s="249">
        <f>+'P01 2024'!BX48</f>
        <v>13678.608046000001</v>
      </c>
      <c r="AF67" s="249">
        <f>+'P01 2025'!CI37</f>
        <v>7708.0619999999999</v>
      </c>
      <c r="AG67" s="249">
        <f>+'P01 2024'!CM48</f>
        <v>10804.312524000001</v>
      </c>
      <c r="AH67" s="249">
        <f>+'P01 2025'!CX40</f>
        <v>8519.91</v>
      </c>
      <c r="AI67" s="175">
        <f>+'P01 2024'!DB48</f>
        <v>14512.279944000002</v>
      </c>
      <c r="AJ67" s="249">
        <f>+'P01 2024'!DR48</f>
        <v>6787.4380000000001</v>
      </c>
      <c r="AK67" s="249">
        <f>'P01 2024'!EG42</f>
        <v>7659.6679999999997</v>
      </c>
      <c r="AL67" s="175">
        <f>+'P01 2024'!ET37</f>
        <v>10035.699000000001</v>
      </c>
      <c r="AM67" s="175">
        <f>+'P01 2024'!FL51</f>
        <v>9782.0439999999999</v>
      </c>
      <c r="AN67" s="1194"/>
      <c r="AO67" s="151"/>
      <c r="AP67" s="151"/>
      <c r="AQ67" s="151"/>
      <c r="AR67" s="151"/>
      <c r="AS67" s="151"/>
      <c r="AT67" s="151"/>
      <c r="AU67" s="151"/>
      <c r="AV67" s="151"/>
      <c r="AW67" s="1195"/>
      <c r="AX67" s="1196"/>
      <c r="AY67" s="148"/>
      <c r="AZ67" s="151"/>
      <c r="BA67" s="151"/>
      <c r="BB67" s="1172"/>
      <c r="BC67" s="151"/>
      <c r="BD67" s="151"/>
      <c r="BE67" s="1171"/>
      <c r="BF67" s="1171"/>
      <c r="BG67" s="1171"/>
      <c r="BH67" s="1171"/>
      <c r="BI67" s="151"/>
      <c r="BJ67" s="156"/>
      <c r="BK67" s="156"/>
      <c r="BL67" s="594"/>
      <c r="BM67" s="594"/>
      <c r="BN67" s="594"/>
      <c r="BO67" s="594"/>
      <c r="BP67" s="185"/>
      <c r="BQ67" s="156"/>
      <c r="BR67" s="594"/>
      <c r="BS67" s="594"/>
      <c r="BT67" s="594"/>
      <c r="BU67" s="594"/>
      <c r="BV67" s="156"/>
      <c r="BW67" s="158"/>
      <c r="BX67" s="185"/>
      <c r="BY67" s="185"/>
      <c r="BZ67" s="185"/>
      <c r="CA67" s="185"/>
      <c r="CB67" s="156"/>
      <c r="CC67" s="158"/>
      <c r="CD67" s="157"/>
      <c r="CE67" s="159"/>
      <c r="CF67" s="159"/>
    </row>
    <row r="68" spans="1:84" s="320" customFormat="1" ht="15" hidden="1" customHeight="1" x14ac:dyDescent="0.25">
      <c r="A68" s="329"/>
      <c r="B68" s="952" t="s">
        <v>820</v>
      </c>
      <c r="C68" s="955"/>
      <c r="D68" s="794"/>
      <c r="E68" s="933"/>
      <c r="F68" s="316">
        <v>7</v>
      </c>
      <c r="G68" s="315" t="str">
        <f>+CONCATENATE($C$10,"",$D$42,"",$E$64,"00",F68)</f>
        <v>21.02.004.007</v>
      </c>
      <c r="H68" s="501" t="s">
        <v>38</v>
      </c>
      <c r="I68" s="317">
        <f>+'P01 2025'!F54</f>
        <v>500</v>
      </c>
      <c r="J68" s="317">
        <f>+'P01 2025'!DE54</f>
        <v>1500</v>
      </c>
      <c r="K68" s="317">
        <f ca="1">SUMIF(T$3:$AM60,"ok",T68:AM68)</f>
        <v>0</v>
      </c>
      <c r="L68" s="379">
        <f t="shared" ca="1" si="3"/>
        <v>0</v>
      </c>
      <c r="M68" s="317">
        <f>'P01 2025'!DG54</f>
        <v>0</v>
      </c>
      <c r="N68" s="379">
        <f t="shared" si="5"/>
        <v>0</v>
      </c>
      <c r="O68" s="317">
        <f t="shared" si="6"/>
        <v>1500</v>
      </c>
      <c r="P68" s="445">
        <f t="shared" si="7"/>
        <v>1</v>
      </c>
      <c r="Q68" s="249">
        <f>+'P01 2024'!DJ55</f>
        <v>729.4</v>
      </c>
      <c r="R68" s="311">
        <f ca="1">SUMIF(T$3:$AM56,"SI",T68:AM68)</f>
        <v>0</v>
      </c>
      <c r="S68" s="379">
        <f t="shared" ca="1" si="8"/>
        <v>0</v>
      </c>
      <c r="T68" s="326">
        <f>+'P01 2025'!G54</f>
        <v>0</v>
      </c>
      <c r="U68" s="468">
        <f>+'P01 2024'!K54</f>
        <v>0</v>
      </c>
      <c r="V68" s="468">
        <v>0</v>
      </c>
      <c r="W68" s="956">
        <v>0</v>
      </c>
      <c r="X68" s="956">
        <v>0</v>
      </c>
      <c r="Y68" s="249">
        <v>0</v>
      </c>
      <c r="Z68" s="249">
        <v>0</v>
      </c>
      <c r="AA68" s="249">
        <v>0</v>
      </c>
      <c r="AB68" s="249">
        <v>0</v>
      </c>
      <c r="AC68" s="249">
        <v>0</v>
      </c>
      <c r="AD68" s="249">
        <v>0</v>
      </c>
      <c r="AE68" s="249">
        <v>0</v>
      </c>
      <c r="AF68" s="249">
        <v>0</v>
      </c>
      <c r="AG68" s="249">
        <v>0</v>
      </c>
      <c r="AH68" s="249">
        <v>0</v>
      </c>
      <c r="AI68" s="175">
        <v>0</v>
      </c>
      <c r="AJ68" s="249">
        <v>0</v>
      </c>
      <c r="AK68" s="249">
        <v>0</v>
      </c>
      <c r="AL68" s="175">
        <v>0</v>
      </c>
      <c r="AM68" s="175">
        <v>0</v>
      </c>
      <c r="AN68" s="1194"/>
      <c r="AO68" s="151"/>
      <c r="AP68" s="151"/>
      <c r="AQ68" s="151"/>
      <c r="AR68" s="151"/>
      <c r="AS68" s="151"/>
      <c r="AT68" s="151"/>
      <c r="AU68" s="151"/>
      <c r="AV68" s="151"/>
      <c r="AW68" s="1195"/>
      <c r="AX68" s="1196"/>
      <c r="AY68" s="148"/>
      <c r="AZ68" s="151"/>
      <c r="BA68" s="151"/>
      <c r="BB68" s="1172"/>
      <c r="BC68" s="151"/>
      <c r="BD68" s="151"/>
      <c r="BE68" s="1171"/>
      <c r="BF68" s="1171"/>
      <c r="BG68" s="1171"/>
      <c r="BH68" s="1171"/>
      <c r="BI68" s="151"/>
      <c r="BJ68" s="156"/>
      <c r="BK68" s="156"/>
      <c r="BL68" s="594"/>
      <c r="BM68" s="594"/>
      <c r="BN68" s="594"/>
      <c r="BO68" s="594"/>
      <c r="BP68" s="185"/>
      <c r="BQ68" s="156"/>
      <c r="BR68" s="594"/>
      <c r="BS68" s="594"/>
      <c r="BT68" s="594"/>
      <c r="BU68" s="594"/>
      <c r="BV68" s="156"/>
      <c r="BW68" s="158"/>
      <c r="BX68" s="185"/>
      <c r="BY68" s="185"/>
      <c r="BZ68" s="185"/>
      <c r="CA68" s="185"/>
      <c r="CB68" s="156"/>
      <c r="CC68" s="158"/>
      <c r="CD68" s="157"/>
      <c r="CE68" s="159"/>
      <c r="CF68" s="159"/>
    </row>
    <row r="69" spans="1:84" s="308" customFormat="1" ht="15" hidden="1" customHeight="1" x14ac:dyDescent="0.25">
      <c r="A69" s="84"/>
      <c r="B69" s="169" t="s">
        <v>355</v>
      </c>
      <c r="C69" s="508"/>
      <c r="D69" s="172"/>
      <c r="E69" s="309" t="s">
        <v>157</v>
      </c>
      <c r="F69" s="309"/>
      <c r="G69" s="309"/>
      <c r="H69" s="512" t="s">
        <v>964</v>
      </c>
      <c r="I69" s="145">
        <f>+'P01 2025'!F55</f>
        <v>119357.391</v>
      </c>
      <c r="J69" s="313">
        <f>+'P01 2025'!DE55</f>
        <v>119357.391</v>
      </c>
      <c r="K69" s="306">
        <f ca="1">SUMIF(T$3:$AM61,"ok",T69:AM69)</f>
        <v>42230.877</v>
      </c>
      <c r="L69" s="378">
        <f t="shared" ca="1" si="3"/>
        <v>0.3538187006785361</v>
      </c>
      <c r="M69" s="313">
        <f>+'P01 2025'!DG55</f>
        <v>42230.877</v>
      </c>
      <c r="N69" s="378">
        <f t="shared" si="5"/>
        <v>0.3538187006785361</v>
      </c>
      <c r="O69" s="306">
        <f t="shared" si="6"/>
        <v>77126.513999999996</v>
      </c>
      <c r="P69" s="443">
        <f t="shared" si="7"/>
        <v>0.64618129932146384</v>
      </c>
      <c r="Q69" s="86">
        <f>+'P01 2024'!DJ56</f>
        <v>99979.583232000005</v>
      </c>
      <c r="R69" s="155">
        <f ca="1">SUM(R70:R72)</f>
        <v>19220.615296</v>
      </c>
      <c r="S69" s="378">
        <f t="shared" ca="1" si="8"/>
        <v>0.19224540325797385</v>
      </c>
      <c r="T69" s="509">
        <f>+'P01 2025'!G55</f>
        <v>24079.041000000001</v>
      </c>
      <c r="U69" s="467">
        <f>+'P01 2024'!K55</f>
        <v>0</v>
      </c>
      <c r="V69" s="467">
        <v>0</v>
      </c>
      <c r="W69" s="155">
        <v>0</v>
      </c>
      <c r="X69" s="155">
        <f>+'P01 2025'!AC49</f>
        <v>8623.2000000000007</v>
      </c>
      <c r="Y69" s="86">
        <f>+'P01 2024'!AE47</f>
        <v>9226.7974639999993</v>
      </c>
      <c r="Z69" s="86">
        <v>0</v>
      </c>
      <c r="AA69" s="88">
        <v>0</v>
      </c>
      <c r="AB69" s="88">
        <f>SUM(AB70:AB72)</f>
        <v>0</v>
      </c>
      <c r="AC69" s="155">
        <v>0</v>
      </c>
      <c r="AD69" s="155">
        <f>+'P01 2025'!BU49</f>
        <v>9528.6360000000004</v>
      </c>
      <c r="AE69" s="155">
        <f>+'P01 2024'!BX49</f>
        <v>10002.883232</v>
      </c>
      <c r="AF69" s="155">
        <v>0</v>
      </c>
      <c r="AG69" s="155">
        <f>+'P01 2024'!CM49</f>
        <v>-2.01627</v>
      </c>
      <c r="AH69" s="155">
        <v>0</v>
      </c>
      <c r="AI69" s="86">
        <f>+'P01 2024'!DB49</f>
        <v>-7.0491299999999999</v>
      </c>
      <c r="AJ69" s="155">
        <f>+'P01 2024'!DR49</f>
        <v>22760.012999999999</v>
      </c>
      <c r="AK69" s="155">
        <f>SUM(AK70:AK72)</f>
        <v>0</v>
      </c>
      <c r="AL69" s="155">
        <v>0</v>
      </c>
      <c r="AM69" s="155">
        <f>+'P01 2024'!FL52</f>
        <v>78149.952999999994</v>
      </c>
      <c r="AN69" s="1194"/>
      <c r="AO69" s="151"/>
      <c r="AP69" s="151"/>
      <c r="AQ69" s="151"/>
      <c r="AR69" s="151"/>
      <c r="AS69" s="151"/>
      <c r="AT69" s="151"/>
      <c r="AU69" s="151"/>
      <c r="AV69" s="151"/>
      <c r="AW69" s="1195"/>
      <c r="AX69" s="1196"/>
      <c r="AY69" s="148"/>
      <c r="AZ69" s="151"/>
      <c r="BA69" s="151"/>
      <c r="BB69" s="1172"/>
      <c r="BC69" s="151"/>
      <c r="BD69" s="151"/>
      <c r="BE69" s="1171"/>
      <c r="BF69" s="1171"/>
      <c r="BG69" s="1171"/>
      <c r="BH69" s="1171"/>
      <c r="BI69" s="1171"/>
      <c r="BJ69" s="932"/>
      <c r="BK69" s="156"/>
      <c r="BL69" s="594"/>
      <c r="BM69" s="594"/>
      <c r="BN69" s="594"/>
      <c r="BO69" s="594"/>
      <c r="BP69" s="185"/>
      <c r="BQ69" s="156"/>
      <c r="BR69" s="594"/>
      <c r="BS69" s="594"/>
      <c r="BT69" s="594"/>
      <c r="BU69" s="594"/>
      <c r="BV69" s="156"/>
      <c r="BW69" s="158"/>
      <c r="BX69" s="185"/>
      <c r="BY69" s="185"/>
      <c r="BZ69" s="185"/>
      <c r="CA69" s="185"/>
      <c r="CB69" s="151"/>
      <c r="CC69" s="148"/>
      <c r="CD69" s="123"/>
      <c r="CE69" s="152"/>
      <c r="CF69" s="152"/>
    </row>
    <row r="70" spans="1:84" s="320" customFormat="1" ht="15" hidden="1" customHeight="1" x14ac:dyDescent="0.25">
      <c r="A70" s="329"/>
      <c r="B70" s="952" t="s">
        <v>356</v>
      </c>
      <c r="C70" s="955"/>
      <c r="D70" s="794"/>
      <c r="E70" s="933"/>
      <c r="F70" s="316">
        <v>1</v>
      </c>
      <c r="G70" s="315" t="str">
        <f>+CONCATENATE($C$10,"",$D$42,"",$E$69,"00",F70)</f>
        <v>21.02.005.001</v>
      </c>
      <c r="H70" s="501" t="s">
        <v>95</v>
      </c>
      <c r="I70" s="317">
        <f>+'P01 2025'!F56</f>
        <v>38806.478999999999</v>
      </c>
      <c r="J70" s="317">
        <f>+'P01 2025'!DE56</f>
        <v>38806.478999999999</v>
      </c>
      <c r="K70" s="317">
        <f ca="1">SUMIF(T$3:$AM62,"ok",T70:AM70)</f>
        <v>0</v>
      </c>
      <c r="L70" s="379">
        <f t="shared" ca="1" si="3"/>
        <v>0</v>
      </c>
      <c r="M70" s="317">
        <f>+'P01 2025'!DG56</f>
        <v>0</v>
      </c>
      <c r="N70" s="379">
        <f t="shared" si="5"/>
        <v>0</v>
      </c>
      <c r="O70" s="317">
        <f t="shared" si="6"/>
        <v>38806.478999999999</v>
      </c>
      <c r="P70" s="445">
        <f t="shared" si="7"/>
        <v>1</v>
      </c>
      <c r="Q70" s="249">
        <f>+'P01 2024'!DJ57</f>
        <v>10.42</v>
      </c>
      <c r="R70" s="311">
        <f ca="1">SUMIF(T$3:$AM60,"SI",T70:AM70)</f>
        <v>0</v>
      </c>
      <c r="S70" s="379">
        <f t="shared" ca="1" si="8"/>
        <v>0</v>
      </c>
      <c r="T70" s="326">
        <f>+'P01 2025'!G56</f>
        <v>0</v>
      </c>
      <c r="U70" s="468">
        <f>+'P01 2024'!K56</f>
        <v>0</v>
      </c>
      <c r="V70" s="468">
        <v>0</v>
      </c>
      <c r="W70" s="956">
        <v>0</v>
      </c>
      <c r="X70" s="956">
        <v>0</v>
      </c>
      <c r="Y70" s="249">
        <v>0</v>
      </c>
      <c r="Z70" s="249">
        <v>0</v>
      </c>
      <c r="AA70" s="249">
        <v>0</v>
      </c>
      <c r="AB70" s="249">
        <v>0</v>
      </c>
      <c r="AC70" s="253">
        <v>0</v>
      </c>
      <c r="AD70" s="253">
        <v>0</v>
      </c>
      <c r="AE70" s="249">
        <v>0</v>
      </c>
      <c r="AF70" s="249">
        <v>0</v>
      </c>
      <c r="AG70" s="249">
        <v>0</v>
      </c>
      <c r="AH70" s="249">
        <v>0</v>
      </c>
      <c r="AI70" s="175">
        <v>0</v>
      </c>
      <c r="AJ70" s="249">
        <f>+'P01 2024'!DR50</f>
        <v>22760.012999999999</v>
      </c>
      <c r="AK70" s="249">
        <v>0</v>
      </c>
      <c r="AL70" s="249">
        <v>0</v>
      </c>
      <c r="AM70" s="175">
        <f>+'P01 2024'!FL53</f>
        <v>16044.929</v>
      </c>
      <c r="AN70" s="1194"/>
      <c r="AO70" s="151"/>
      <c r="AP70" s="151"/>
      <c r="AQ70" s="151"/>
      <c r="AR70" s="151"/>
      <c r="AS70" s="151"/>
      <c r="AT70" s="151"/>
      <c r="AU70" s="151"/>
      <c r="AV70" s="151"/>
      <c r="AW70" s="1195"/>
      <c r="AX70" s="1196"/>
      <c r="AY70" s="148"/>
      <c r="AZ70" s="151"/>
      <c r="BA70" s="151"/>
      <c r="BB70" s="1172"/>
      <c r="BC70" s="151"/>
      <c r="BD70" s="151"/>
      <c r="BE70" s="1171"/>
      <c r="BF70" s="1171"/>
      <c r="BG70" s="1171"/>
      <c r="BH70" s="1171"/>
      <c r="BI70" s="151"/>
      <c r="BJ70" s="156"/>
      <c r="BK70" s="156"/>
      <c r="BL70" s="594"/>
      <c r="BM70" s="594"/>
      <c r="BN70" s="594"/>
      <c r="BO70" s="594"/>
      <c r="BP70" s="185"/>
      <c r="BQ70" s="156"/>
      <c r="BR70" s="594"/>
      <c r="BS70" s="594"/>
      <c r="BT70" s="594"/>
      <c r="BU70" s="594"/>
      <c r="BV70" s="156"/>
      <c r="BW70" s="158"/>
      <c r="BX70" s="185"/>
      <c r="BY70" s="185"/>
      <c r="BZ70" s="185"/>
      <c r="CA70" s="185"/>
      <c r="CB70" s="156"/>
      <c r="CC70" s="158"/>
      <c r="CD70" s="157"/>
      <c r="CE70" s="159"/>
      <c r="CF70" s="159"/>
    </row>
    <row r="71" spans="1:84" s="320" customFormat="1" ht="15" hidden="1" customHeight="1" x14ac:dyDescent="0.25">
      <c r="A71" s="329"/>
      <c r="B71" s="952" t="s">
        <v>458</v>
      </c>
      <c r="C71" s="955"/>
      <c r="D71" s="794"/>
      <c r="E71" s="933"/>
      <c r="F71" s="316">
        <v>2</v>
      </c>
      <c r="G71" s="315" t="str">
        <f>+CONCATENATE($C$10,"",$D$42,"",$E$69,"00",F71)</f>
        <v>21.02.005.002</v>
      </c>
      <c r="H71" s="501" t="s">
        <v>96</v>
      </c>
      <c r="I71" s="317">
        <f>+'P01 2025'!F57</f>
        <v>18445.887999999999</v>
      </c>
      <c r="J71" s="317">
        <f>+'P01 2025'!DE57</f>
        <v>18445.887999999999</v>
      </c>
      <c r="K71" s="317">
        <f ca="1">SUMIF(T$3:$AM63,"ok",T71:AM71)</f>
        <v>18151.836000000003</v>
      </c>
      <c r="L71" s="379">
        <f t="shared" ca="1" si="3"/>
        <v>0.98405866933595199</v>
      </c>
      <c r="M71" s="317">
        <f>+'P01 2025'!DG57</f>
        <v>18151.835999999999</v>
      </c>
      <c r="N71" s="379">
        <f t="shared" si="5"/>
        <v>0.98405866933595176</v>
      </c>
      <c r="O71" s="317">
        <f t="shared" si="6"/>
        <v>294.05199999999968</v>
      </c>
      <c r="P71" s="445">
        <f t="shared" si="7"/>
        <v>1.5941330664048254E-2</v>
      </c>
      <c r="Q71" s="249">
        <f>+'P01 2024'!DJ58</f>
        <v>28300.403232000001</v>
      </c>
      <c r="R71" s="311">
        <f ca="1">SUMIF(T$3:$AM61,"SI",T71:AM71)</f>
        <v>19220.615296</v>
      </c>
      <c r="S71" s="379">
        <f t="shared" ca="1" si="8"/>
        <v>0.67916400831585155</v>
      </c>
      <c r="T71" s="326">
        <f>+'P01 2025'!G57</f>
        <v>0</v>
      </c>
      <c r="U71" s="468">
        <f>+'P01 2024'!K57</f>
        <v>0</v>
      </c>
      <c r="V71" s="468">
        <v>0</v>
      </c>
      <c r="W71" s="956">
        <v>0</v>
      </c>
      <c r="X71" s="956">
        <f>+'P01 2025'!AC50</f>
        <v>8623.2000000000007</v>
      </c>
      <c r="Y71" s="249">
        <f>+'P01 2024'!AE48</f>
        <v>9226.7974639999993</v>
      </c>
      <c r="Z71" s="249">
        <v>0</v>
      </c>
      <c r="AA71" s="249">
        <v>0</v>
      </c>
      <c r="AB71" s="249">
        <v>0</v>
      </c>
      <c r="AC71" s="249">
        <v>0</v>
      </c>
      <c r="AD71" s="249">
        <f>+'P01 2025'!BU50</f>
        <v>9528.6360000000004</v>
      </c>
      <c r="AE71" s="253">
        <f>+'P01 2024'!BX50</f>
        <v>10002.883232</v>
      </c>
      <c r="AF71" s="253">
        <v>0</v>
      </c>
      <c r="AG71" s="249">
        <f>+'P01 2024'!CM50</f>
        <v>-2.01627</v>
      </c>
      <c r="AH71" s="249">
        <v>0</v>
      </c>
      <c r="AI71" s="175">
        <f>+'P01 2024'!DB50</f>
        <v>-7.0491299999999999</v>
      </c>
      <c r="AJ71" s="249">
        <v>0</v>
      </c>
      <c r="AK71" s="249">
        <v>0</v>
      </c>
      <c r="AL71" s="175">
        <v>0</v>
      </c>
      <c r="AM71" s="175">
        <v>0</v>
      </c>
      <c r="AN71" s="1194"/>
      <c r="AO71" s="151"/>
      <c r="AP71" s="151"/>
      <c r="AQ71" s="151"/>
      <c r="AR71" s="151"/>
      <c r="AS71" s="151"/>
      <c r="AT71" s="151"/>
      <c r="AU71" s="151"/>
      <c r="AV71" s="151"/>
      <c r="AW71" s="1195"/>
      <c r="AX71" s="1196"/>
      <c r="AY71" s="148"/>
      <c r="AZ71" s="151"/>
      <c r="BA71" s="151"/>
      <c r="BB71" s="1172"/>
      <c r="BC71" s="151"/>
      <c r="BD71" s="151"/>
      <c r="BE71" s="1171"/>
      <c r="BF71" s="1171"/>
      <c r="BG71" s="1171"/>
      <c r="BH71" s="1171"/>
      <c r="BI71" s="151"/>
      <c r="BJ71" s="156"/>
      <c r="BK71" s="156"/>
      <c r="BL71" s="594"/>
      <c r="BM71" s="594"/>
      <c r="BN71" s="594"/>
      <c r="BO71" s="594"/>
      <c r="BP71" s="185"/>
      <c r="BQ71" s="156"/>
      <c r="BR71" s="594"/>
      <c r="BS71" s="594"/>
      <c r="BT71" s="594"/>
      <c r="BU71" s="594"/>
      <c r="BV71" s="156"/>
      <c r="BW71" s="158"/>
      <c r="BX71" s="185"/>
      <c r="BY71" s="185"/>
      <c r="BZ71" s="185"/>
      <c r="CA71" s="185"/>
      <c r="CB71" s="156"/>
      <c r="CC71" s="158"/>
      <c r="CD71" s="157"/>
      <c r="CE71" s="159"/>
      <c r="CF71" s="159"/>
    </row>
    <row r="72" spans="1:84" s="320" customFormat="1" ht="15" hidden="1" customHeight="1" x14ac:dyDescent="0.25">
      <c r="A72" s="329"/>
      <c r="B72" s="952" t="s">
        <v>357</v>
      </c>
      <c r="C72" s="955"/>
      <c r="D72" s="794"/>
      <c r="E72" s="933"/>
      <c r="F72" s="316">
        <v>3</v>
      </c>
      <c r="G72" s="315" t="str">
        <f>+CONCATENATE($C$10,"",$D$42,"",$E$69,"00",F72)</f>
        <v>21.02.005.003</v>
      </c>
      <c r="H72" s="501" t="s">
        <v>97</v>
      </c>
      <c r="I72" s="317">
        <f>+'P01 2025'!F58</f>
        <v>62105.023999999998</v>
      </c>
      <c r="J72" s="317">
        <f>+'P01 2025'!DE58</f>
        <v>62105.023999999998</v>
      </c>
      <c r="K72" s="317">
        <f ca="1">SUMIF(T$3:$AM64,"ok",T72:AM72)</f>
        <v>24079.041000000001</v>
      </c>
      <c r="L72" s="379">
        <f t="shared" ca="1" si="3"/>
        <v>0.38771486506470076</v>
      </c>
      <c r="M72" s="317">
        <f>+'P01 2025'!DG58</f>
        <v>24079.041000000001</v>
      </c>
      <c r="N72" s="379">
        <f t="shared" si="5"/>
        <v>0.38771486506470076</v>
      </c>
      <c r="O72" s="317">
        <f t="shared" si="6"/>
        <v>38025.982999999993</v>
      </c>
      <c r="P72" s="445">
        <f t="shared" si="7"/>
        <v>0.61228513493529924</v>
      </c>
      <c r="Q72" s="249">
        <f>+'P01 2024'!DJ59</f>
        <v>71668.760000000009</v>
      </c>
      <c r="R72" s="311">
        <f ca="1">SUMIF(T$3:$AM62,"SI",T72:AM72)</f>
        <v>0</v>
      </c>
      <c r="S72" s="379">
        <f t="shared" ca="1" si="8"/>
        <v>0</v>
      </c>
      <c r="T72" s="326">
        <f>+'P01 2025'!G58</f>
        <v>24079.041000000001</v>
      </c>
      <c r="U72" s="468">
        <f>+'P01 2024'!K58</f>
        <v>0</v>
      </c>
      <c r="V72" s="468">
        <v>0</v>
      </c>
      <c r="W72" s="956">
        <v>0</v>
      </c>
      <c r="X72" s="956">
        <v>0</v>
      </c>
      <c r="Y72" s="249">
        <v>0</v>
      </c>
      <c r="Z72" s="249">
        <v>0</v>
      </c>
      <c r="AA72" s="249">
        <v>0</v>
      </c>
      <c r="AB72" s="249">
        <v>0</v>
      </c>
      <c r="AC72" s="249">
        <v>0</v>
      </c>
      <c r="AD72" s="249">
        <v>0</v>
      </c>
      <c r="AE72" s="253">
        <v>0</v>
      </c>
      <c r="AF72" s="253">
        <v>0</v>
      </c>
      <c r="AG72" s="249">
        <v>0</v>
      </c>
      <c r="AH72" s="249">
        <v>0</v>
      </c>
      <c r="AI72" s="175">
        <v>0</v>
      </c>
      <c r="AJ72" s="249">
        <v>0</v>
      </c>
      <c r="AK72" s="249">
        <v>0</v>
      </c>
      <c r="AL72" s="175">
        <v>0</v>
      </c>
      <c r="AM72" s="175">
        <f>+'P01 2024'!FL54</f>
        <v>62105.023999999998</v>
      </c>
      <c r="AN72" s="1194"/>
      <c r="AO72" s="151"/>
      <c r="AP72" s="151"/>
      <c r="AQ72" s="151"/>
      <c r="AR72" s="151"/>
      <c r="AS72" s="151"/>
      <c r="AT72" s="151"/>
      <c r="AU72" s="151"/>
      <c r="AV72" s="151"/>
      <c r="AW72" s="1195"/>
      <c r="AX72" s="1196"/>
      <c r="AY72" s="148"/>
      <c r="AZ72" s="151"/>
      <c r="BA72" s="151"/>
      <c r="BB72" s="1172"/>
      <c r="BC72" s="151"/>
      <c r="BD72" s="151"/>
      <c r="BE72" s="1171"/>
      <c r="BF72" s="1171"/>
      <c r="BG72" s="1171"/>
      <c r="BH72" s="1171"/>
      <c r="BI72" s="151"/>
      <c r="BJ72" s="156"/>
      <c r="BK72" s="156"/>
      <c r="BL72" s="594"/>
      <c r="BM72" s="594"/>
      <c r="BN72" s="594"/>
      <c r="BO72" s="594"/>
      <c r="BP72" s="185"/>
      <c r="BQ72" s="156"/>
      <c r="BR72" s="594"/>
      <c r="BS72" s="594"/>
      <c r="BT72" s="594"/>
      <c r="BU72" s="594"/>
      <c r="BV72" s="156"/>
      <c r="BW72" s="158"/>
      <c r="BX72" s="185"/>
      <c r="BY72" s="185"/>
      <c r="BZ72" s="185"/>
      <c r="CA72" s="185"/>
      <c r="CB72" s="156"/>
      <c r="CC72" s="158"/>
      <c r="CD72" s="157"/>
      <c r="CE72" s="159"/>
      <c r="CF72" s="159"/>
    </row>
    <row r="73" spans="1:84" s="308" customFormat="1" ht="15" hidden="1" customHeight="1" x14ac:dyDescent="0.25">
      <c r="A73" s="84"/>
      <c r="B73" s="169" t="s">
        <v>358</v>
      </c>
      <c r="C73" s="508"/>
      <c r="D73" s="172" t="s">
        <v>159</v>
      </c>
      <c r="E73" s="309"/>
      <c r="F73" s="309"/>
      <c r="G73" s="309"/>
      <c r="H73" s="512" t="s">
        <v>102</v>
      </c>
      <c r="I73" s="145">
        <f>+'P01 2025'!F59</f>
        <v>1131969.5630000001</v>
      </c>
      <c r="J73" s="313">
        <f>J74+J79+J77</f>
        <v>1181272.081</v>
      </c>
      <c r="K73" s="306">
        <f ca="1">SUMIF(T$3:$AM65,"ok",T73:AM73)</f>
        <v>629636.35200000007</v>
      </c>
      <c r="L73" s="378">
        <f t="shared" ca="1" si="3"/>
        <v>0.53301551956343918</v>
      </c>
      <c r="M73" s="313">
        <f>M74+M77+M79</f>
        <v>629636.35200000007</v>
      </c>
      <c r="N73" s="378">
        <f t="shared" si="5"/>
        <v>0.53301551956343918</v>
      </c>
      <c r="O73" s="306">
        <f t="shared" si="6"/>
        <v>551635.72899999993</v>
      </c>
      <c r="P73" s="443">
        <f t="shared" si="7"/>
        <v>0.46698448043656077</v>
      </c>
      <c r="Q73" s="86">
        <f>+'P01 2024'!DJ60</f>
        <v>1152167.1369980001</v>
      </c>
      <c r="R73" s="155">
        <f ca="1">+R74+R77+R78</f>
        <v>777891.64465400006</v>
      </c>
      <c r="S73" s="378">
        <f t="shared" ca="1" si="8"/>
        <v>0.67515520940895424</v>
      </c>
      <c r="T73" s="509">
        <f>+'P01 2025'!G59</f>
        <v>79652.243000000002</v>
      </c>
      <c r="U73" s="467">
        <f>+'P01 2024'!K59</f>
        <v>92215.083761999995</v>
      </c>
      <c r="V73" s="467">
        <f>+'P01 2025'!N36</f>
        <v>77517.740000000005</v>
      </c>
      <c r="W73" s="314">
        <f>+'P01 2024'!Q38</f>
        <v>96759.515639999998</v>
      </c>
      <c r="X73" s="314">
        <f>+'P01 2025'!AC51</f>
        <v>79301.400999999998</v>
      </c>
      <c r="Y73" s="86">
        <f>+'P01 2024'!AE49</f>
        <v>102477.15094799999</v>
      </c>
      <c r="Z73" s="86">
        <f>+'P01 2025'!AR45</f>
        <v>74358.122000000003</v>
      </c>
      <c r="AA73" s="88">
        <f>+'P01 2024'!AT42</f>
        <v>104513.30022400001</v>
      </c>
      <c r="AB73" s="88">
        <f>SUM(AB74+AB79)</f>
        <v>75546.648000000001</v>
      </c>
      <c r="AC73" s="165">
        <f>+'P01 2024'!BI38</f>
        <v>104781.49747799999</v>
      </c>
      <c r="AD73" s="165">
        <f>+'P01 2025'!BU51</f>
        <v>73017.847999999998</v>
      </c>
      <c r="AE73" s="165">
        <f>+'P01 2024'!BX51</f>
        <v>100390.44279</v>
      </c>
      <c r="AF73" s="165">
        <f>+'P01 2025'!CI38</f>
        <v>84416.972999999998</v>
      </c>
      <c r="AG73" s="165">
        <f>+'P01 2024'!CM51</f>
        <v>91158.957368000003</v>
      </c>
      <c r="AH73" s="165">
        <f>+'P01 2025'!CX41</f>
        <v>85825.376999999993</v>
      </c>
      <c r="AI73" s="86">
        <f>+'P01 2024'!DB51</f>
        <v>85595.696444000001</v>
      </c>
      <c r="AJ73" s="165">
        <f>+'P01 2024'!DR51</f>
        <v>81564.013000000006</v>
      </c>
      <c r="AK73" s="165">
        <f>AK74+AK77</f>
        <v>79453.722999999998</v>
      </c>
      <c r="AL73" s="165">
        <f>+'P01 2024'!ET38</f>
        <v>79852.831000000006</v>
      </c>
      <c r="AM73" s="86">
        <f>+'P01 2024'!FL55</f>
        <v>97810.804000000004</v>
      </c>
      <c r="AN73" s="1194"/>
      <c r="AO73" s="151"/>
      <c r="AP73" s="151"/>
      <c r="AQ73" s="151"/>
      <c r="AR73" s="151"/>
      <c r="AS73" s="151"/>
      <c r="AT73" s="151"/>
      <c r="AU73" s="151"/>
      <c r="AV73" s="151"/>
      <c r="AW73" s="1195"/>
      <c r="AX73" s="1196"/>
      <c r="AY73" s="148"/>
      <c r="AZ73" s="151"/>
      <c r="BA73" s="151"/>
      <c r="BB73" s="1172"/>
      <c r="BC73" s="151"/>
      <c r="BD73" s="151"/>
      <c r="BE73" s="1171"/>
      <c r="BF73" s="1171"/>
      <c r="BG73" s="1171"/>
      <c r="BH73" s="1171"/>
      <c r="BI73" s="1171"/>
      <c r="BJ73" s="932"/>
      <c r="BK73" s="156"/>
      <c r="BL73" s="594"/>
      <c r="BM73" s="594"/>
      <c r="BN73" s="594"/>
      <c r="BO73" s="594"/>
      <c r="BP73" s="185"/>
      <c r="BQ73" s="156"/>
      <c r="BR73" s="594"/>
      <c r="BS73" s="594"/>
      <c r="BT73" s="594"/>
      <c r="BU73" s="594"/>
      <c r="BV73" s="156"/>
      <c r="BW73" s="158"/>
      <c r="BX73" s="185"/>
      <c r="BY73" s="185"/>
      <c r="BZ73" s="185"/>
      <c r="CA73" s="185"/>
      <c r="CB73" s="151"/>
      <c r="CC73" s="148"/>
      <c r="CD73" s="123"/>
      <c r="CE73" s="152"/>
      <c r="CF73" s="152"/>
    </row>
    <row r="74" spans="1:84" s="308" customFormat="1" ht="15" hidden="1" customHeight="1" x14ac:dyDescent="0.25">
      <c r="A74" s="84"/>
      <c r="B74" s="169" t="s">
        <v>546</v>
      </c>
      <c r="C74" s="508"/>
      <c r="D74" s="172"/>
      <c r="E74" s="309" t="s">
        <v>152</v>
      </c>
      <c r="F74" s="309"/>
      <c r="G74" s="309"/>
      <c r="H74" s="512" t="s">
        <v>41</v>
      </c>
      <c r="I74" s="145">
        <f>+'P01 2025'!F60</f>
        <v>1038046</v>
      </c>
      <c r="J74" s="313">
        <f>+'P01 2025'!DE60</f>
        <v>1085046</v>
      </c>
      <c r="K74" s="306">
        <f ca="1">SUMIF(T$3:$AM66,"ok",T74:AM74)</f>
        <v>617369.76699999999</v>
      </c>
      <c r="L74" s="378">
        <f t="shared" ref="L74:L88" ca="1" si="12">IFERROR(K74/J74,0)</f>
        <v>0.56898027088252479</v>
      </c>
      <c r="M74" s="313">
        <f>SUM(M75:M76)</f>
        <v>617369.76699999999</v>
      </c>
      <c r="N74" s="378">
        <f t="shared" si="5"/>
        <v>0.56898027088252479</v>
      </c>
      <c r="O74" s="306">
        <f t="shared" si="6"/>
        <v>467676.23300000001</v>
      </c>
      <c r="P74" s="443">
        <f t="shared" si="7"/>
        <v>0.43101972911747521</v>
      </c>
      <c r="Q74" s="86">
        <f>+'P01 2024'!DJ61</f>
        <v>1070860.4469719999</v>
      </c>
      <c r="R74" s="155">
        <f ca="1">SUM(R75:R76)</f>
        <v>697443.27086800011</v>
      </c>
      <c r="S74" s="378">
        <f t="shared" ca="1" si="8"/>
        <v>0.65129240027504376</v>
      </c>
      <c r="T74" s="509">
        <f>+'P01 2025'!G60</f>
        <v>75001.527000000002</v>
      </c>
      <c r="U74" s="467">
        <f>+'P01 2024'!K60</f>
        <v>81874.106958000004</v>
      </c>
      <c r="V74" s="467">
        <f>+'P01 2025'!N37</f>
        <v>75192.381999999998</v>
      </c>
      <c r="W74" s="314">
        <f>+'P01 2024'!Q39</f>
        <v>87253.616392000011</v>
      </c>
      <c r="X74" s="314">
        <f>+'P01 2025'!AC52</f>
        <v>76313.407999999996</v>
      </c>
      <c r="Y74" s="86">
        <f>+'P01 2024'!AE50</f>
        <v>86371.412302000012</v>
      </c>
      <c r="Z74" s="86">
        <f>+'P01 2025'!AR46</f>
        <v>74358.122000000003</v>
      </c>
      <c r="AA74" s="88">
        <f>+'P01 2024'!AT43</f>
        <v>93053.542608000003</v>
      </c>
      <c r="AB74" s="88">
        <f>SUM(AB75:AB78)</f>
        <v>73244.13</v>
      </c>
      <c r="AC74" s="165">
        <f>+'P01 2024'!BI39</f>
        <v>95241.692592000007</v>
      </c>
      <c r="AD74" s="165">
        <f>+'P01 2025'!BU52</f>
        <v>73017.847999999998</v>
      </c>
      <c r="AE74" s="165">
        <f>+'P01 2024'!BX52</f>
        <v>86998.186763999998</v>
      </c>
      <c r="AF74" s="165">
        <f>+'P01 2025'!CI39</f>
        <v>84416.972999999998</v>
      </c>
      <c r="AG74" s="165">
        <f>+'P01 2024'!CM52</f>
        <v>85011.269904000001</v>
      </c>
      <c r="AH74" s="165">
        <f>+'P01 2025'!CX42</f>
        <v>85825.376999999993</v>
      </c>
      <c r="AI74" s="86">
        <f>+'P01 2024'!DB52</f>
        <v>81639.443348000001</v>
      </c>
      <c r="AJ74" s="165">
        <f>+'P01 2024'!DR52</f>
        <v>80125.384999999995</v>
      </c>
      <c r="AK74" s="165">
        <f>SUM(AK75:AK76)</f>
        <v>76103.906999999992</v>
      </c>
      <c r="AL74" s="165">
        <f>+'P01 2024'!ET39</f>
        <v>76726.013000000006</v>
      </c>
      <c r="AM74" s="86">
        <f>+'P01 2024'!FL56</f>
        <v>88584.472999999998</v>
      </c>
      <c r="AN74" s="1194"/>
      <c r="AO74" s="151"/>
      <c r="AP74" s="151"/>
      <c r="AQ74" s="151"/>
      <c r="AR74" s="151"/>
      <c r="AS74" s="151"/>
      <c r="AT74" s="151"/>
      <c r="AU74" s="151"/>
      <c r="AV74" s="151"/>
      <c r="AW74" s="1195"/>
      <c r="AX74" s="1196"/>
      <c r="AY74" s="148"/>
      <c r="AZ74" s="151"/>
      <c r="BA74" s="151"/>
      <c r="BB74" s="1172"/>
      <c r="BC74" s="151"/>
      <c r="BD74" s="151"/>
      <c r="BE74" s="1171"/>
      <c r="BF74" s="1171"/>
      <c r="BG74" s="1171"/>
      <c r="BH74" s="1171"/>
      <c r="BI74" s="1171"/>
      <c r="BJ74" s="932"/>
      <c r="BK74" s="156"/>
      <c r="BL74" s="594"/>
      <c r="BM74" s="594"/>
      <c r="BN74" s="594"/>
      <c r="BO74" s="594"/>
      <c r="BP74" s="185"/>
      <c r="BQ74" s="156"/>
      <c r="BR74" s="594"/>
      <c r="BS74" s="594"/>
      <c r="BT74" s="594"/>
      <c r="BU74" s="594"/>
      <c r="BV74" s="156"/>
      <c r="BW74" s="158"/>
      <c r="BX74" s="185"/>
      <c r="BY74" s="185"/>
      <c r="BZ74" s="185"/>
      <c r="CA74" s="185"/>
      <c r="CB74" s="151"/>
      <c r="CC74" s="148"/>
      <c r="CD74" s="123"/>
      <c r="CE74" s="152"/>
      <c r="CF74" s="152"/>
    </row>
    <row r="75" spans="1:84" s="320" customFormat="1" ht="15" hidden="1" customHeight="1" x14ac:dyDescent="0.25">
      <c r="A75" s="329"/>
      <c r="B75" s="952" t="s">
        <v>547</v>
      </c>
      <c r="C75" s="955"/>
      <c r="D75" s="794"/>
      <c r="E75" s="933"/>
      <c r="F75" s="316">
        <v>1</v>
      </c>
      <c r="G75" s="315" t="str">
        <f>+CONCATENATE($C$10,"",$D$73,"",$E$74,"00",F75)</f>
        <v>21.03.001.001</v>
      </c>
      <c r="H75" s="501" t="s">
        <v>42</v>
      </c>
      <c r="I75" s="317">
        <f>+'P01 2025'!F61</f>
        <v>1018733</v>
      </c>
      <c r="J75" s="317">
        <f>'P01 2025'!DE61</f>
        <v>1065733</v>
      </c>
      <c r="K75" s="317">
        <f ca="1">SUMIF(T$3:$AM67,"ok",T75:AM75)</f>
        <v>611227.24900000007</v>
      </c>
      <c r="L75" s="379">
        <f t="shared" ca="1" si="12"/>
        <v>0.57352756178142184</v>
      </c>
      <c r="M75" s="317">
        <f>'P01 2025'!DG61</f>
        <v>611227.24899999995</v>
      </c>
      <c r="N75" s="379">
        <f t="shared" ref="N75:N139" si="13">+IFERROR(M75/J75,0%)</f>
        <v>0.57352756178142172</v>
      </c>
      <c r="O75" s="317">
        <f t="shared" ref="O75:O139" si="14">J75-M75</f>
        <v>454505.75100000005</v>
      </c>
      <c r="P75" s="445">
        <f t="shared" ref="P75:P139" si="15">+IFERROR(O75/J75,0)</f>
        <v>0.42647243821857822</v>
      </c>
      <c r="Q75" s="249">
        <f>+'P01 2024'!DJ62</f>
        <v>1055054.8157879999</v>
      </c>
      <c r="R75" s="311">
        <f ca="1">SUMIF(T$3:$AM67,"SI",T75:AM75)</f>
        <v>684242.69074200012</v>
      </c>
      <c r="S75" s="379">
        <f t="shared" ref="S75:S139" ca="1" si="16">IFERROR(R75/Q75,"0,00%")</f>
        <v>0.64853757406998103</v>
      </c>
      <c r="T75" s="326">
        <f>+'P01 2025'!G61</f>
        <v>74008.732000000004</v>
      </c>
      <c r="U75" s="468">
        <f>+'P01 2024'!K61</f>
        <v>80879.776374000008</v>
      </c>
      <c r="V75" s="468">
        <f>+'P01 2025'!N38</f>
        <v>74379.513999999996</v>
      </c>
      <c r="W75" s="326">
        <f>+'P01 2024'!Q40</f>
        <v>84661.664316000009</v>
      </c>
      <c r="X75" s="326">
        <f>+'P01 2025'!AC53</f>
        <v>75067.876000000004</v>
      </c>
      <c r="Y75" s="249">
        <f>+'P01 2024'!AE51</f>
        <v>84982.841018000006</v>
      </c>
      <c r="Z75" s="249">
        <f>+'P01 2025'!AR47</f>
        <v>73151.53</v>
      </c>
      <c r="AA75" s="249">
        <f>+'P01 2024'!AT44</f>
        <v>89462.503217999998</v>
      </c>
      <c r="AB75" s="249">
        <f>'P01 2025'!BF38</f>
        <v>72415.634000000005</v>
      </c>
      <c r="AC75" s="249">
        <f>+'P01 2024'!BI40</f>
        <v>94291.858533999999</v>
      </c>
      <c r="AD75" s="249">
        <f>+'P01 2025'!BU53</f>
        <v>72564.459000000003</v>
      </c>
      <c r="AE75" s="249">
        <f>+'P01 2024'!BX53</f>
        <v>85488.329806000009</v>
      </c>
      <c r="AF75" s="249">
        <f>+'P01 2025'!CI40</f>
        <v>83839.941999999995</v>
      </c>
      <c r="AG75" s="249">
        <f>+'P01 2024'!CM53</f>
        <v>83919.697796000008</v>
      </c>
      <c r="AH75" s="249">
        <f>+'P01 2025'!CX43</f>
        <v>85799.562000000005</v>
      </c>
      <c r="AI75" s="175">
        <f>+'P01 2024'!DB53</f>
        <v>80556.019679999998</v>
      </c>
      <c r="AJ75" s="249">
        <f>+'P01 2024'!DR53</f>
        <v>79602.876999999993</v>
      </c>
      <c r="AK75" s="249">
        <f>'P01 2024'!EG45</f>
        <v>75269.108999999997</v>
      </c>
      <c r="AL75" s="175">
        <f>+'P01 2024'!ET40</f>
        <v>75805.513000000006</v>
      </c>
      <c r="AM75" s="175">
        <f>+'P01 2024'!FL57</f>
        <v>88270.688999999998</v>
      </c>
      <c r="AN75" s="1194"/>
      <c r="AO75" s="151"/>
      <c r="AP75" s="151"/>
      <c r="AQ75" s="151"/>
      <c r="AR75" s="151"/>
      <c r="AS75" s="151"/>
      <c r="AT75" s="151"/>
      <c r="AU75" s="151"/>
      <c r="AV75" s="151"/>
      <c r="AW75" s="1195"/>
      <c r="AX75" s="1196"/>
      <c r="AY75" s="148"/>
      <c r="AZ75" s="151"/>
      <c r="BA75" s="151"/>
      <c r="BB75" s="1172"/>
      <c r="BC75" s="151"/>
      <c r="BD75" s="151"/>
      <c r="BE75" s="1171"/>
      <c r="BF75" s="1171"/>
      <c r="BG75" s="1171"/>
      <c r="BH75" s="1171"/>
      <c r="BI75" s="151"/>
      <c r="BJ75" s="156"/>
      <c r="BK75" s="156"/>
      <c r="BL75" s="594"/>
      <c r="BM75" s="594"/>
      <c r="BN75" s="594"/>
      <c r="BO75" s="594"/>
      <c r="BP75" s="185"/>
      <c r="BQ75" s="156"/>
      <c r="BR75" s="594"/>
      <c r="BS75" s="594"/>
      <c r="BT75" s="594"/>
      <c r="BU75" s="594"/>
      <c r="BV75" s="156"/>
      <c r="BW75" s="158"/>
      <c r="BX75" s="185"/>
      <c r="BY75" s="185"/>
      <c r="BZ75" s="185"/>
      <c r="CA75" s="185"/>
      <c r="CB75" s="156"/>
      <c r="CC75" s="158"/>
      <c r="CD75" s="157"/>
      <c r="CE75" s="159"/>
      <c r="CF75" s="159"/>
    </row>
    <row r="76" spans="1:84" s="320" customFormat="1" ht="15" hidden="1" customHeight="1" x14ac:dyDescent="0.25">
      <c r="A76" s="329"/>
      <c r="B76" s="952" t="s">
        <v>548</v>
      </c>
      <c r="C76" s="955"/>
      <c r="D76" s="794"/>
      <c r="E76" s="933"/>
      <c r="F76" s="316">
        <v>2</v>
      </c>
      <c r="G76" s="315" t="str">
        <f>+CONCATENATE($C$10,"",$D$73,"",$E$74,"00",F76)</f>
        <v>21.03.001.002</v>
      </c>
      <c r="H76" s="501" t="s">
        <v>43</v>
      </c>
      <c r="I76" s="317">
        <f>+'P01 2025'!F62</f>
        <v>19313</v>
      </c>
      <c r="J76" s="317">
        <f>'P01 2025'!DE62</f>
        <v>19313</v>
      </c>
      <c r="K76" s="317">
        <f ca="1">SUMIF(T$3:$AM68,"ok",T76:AM76)</f>
        <v>6142.518</v>
      </c>
      <c r="L76" s="379">
        <f t="shared" ca="1" si="12"/>
        <v>0.3180509501372133</v>
      </c>
      <c r="M76" s="317">
        <f>'P01 2025'!DG62</f>
        <v>6142.518</v>
      </c>
      <c r="N76" s="379">
        <f t="shared" si="13"/>
        <v>0.3180509501372133</v>
      </c>
      <c r="O76" s="317">
        <f t="shared" si="14"/>
        <v>13170.482</v>
      </c>
      <c r="P76" s="445">
        <f t="shared" si="15"/>
        <v>0.6819490498627867</v>
      </c>
      <c r="Q76" s="249">
        <f>+'P01 2024'!DJ63</f>
        <v>15805.631184</v>
      </c>
      <c r="R76" s="311">
        <f ca="1">SUMIF(T$3:$AM69,"SI",T76:AM76)</f>
        <v>13200.580126000001</v>
      </c>
      <c r="S76" s="379">
        <f t="shared" ca="1" si="16"/>
        <v>0.83518209252933306</v>
      </c>
      <c r="T76" s="326">
        <f>+'P01 2025'!G62</f>
        <v>992.79499999999996</v>
      </c>
      <c r="U76" s="468">
        <f>+'P01 2024'!K62</f>
        <v>994.33058399999993</v>
      </c>
      <c r="V76" s="468">
        <f>+'P01 2025'!N39</f>
        <v>812.86800000000005</v>
      </c>
      <c r="W76" s="326">
        <f>+'P01 2024'!Q41</f>
        <v>2591.952076</v>
      </c>
      <c r="X76" s="326">
        <f>+'P01 2025'!AC54</f>
        <v>1245.5319999999999</v>
      </c>
      <c r="Y76" s="249">
        <f>+'P01 2024'!AE52</f>
        <v>1388.5712840000001</v>
      </c>
      <c r="Z76" s="249">
        <f>+'P01 2025'!AR48</f>
        <v>1206.5920000000001</v>
      </c>
      <c r="AA76" s="249">
        <f>+'P01 2024'!AT45</f>
        <v>3591.0393900000004</v>
      </c>
      <c r="AB76" s="249">
        <f>'P01 2025'!BF39</f>
        <v>828.49599999999998</v>
      </c>
      <c r="AC76" s="249">
        <f>+'P01 2024'!BI41</f>
        <v>949.83405800000003</v>
      </c>
      <c r="AD76" s="249">
        <f>+'P01 2025'!BU54</f>
        <v>453.38900000000001</v>
      </c>
      <c r="AE76" s="249">
        <f>+'P01 2024'!BX54</f>
        <v>1509.8569580000001</v>
      </c>
      <c r="AF76" s="249">
        <f>+'P01 2025'!CI41</f>
        <v>577.03099999999995</v>
      </c>
      <c r="AG76" s="249">
        <f>+'P01 2024'!CM54</f>
        <v>1091.5721080000001</v>
      </c>
      <c r="AH76" s="249">
        <f>+'P01 2025'!CX44</f>
        <v>25.815000000000001</v>
      </c>
      <c r="AI76" s="175">
        <f>+'P01 2024'!DB54</f>
        <v>1083.4236679999999</v>
      </c>
      <c r="AJ76" s="249">
        <f>+'P01 2024'!DR54</f>
        <v>522.50800000000004</v>
      </c>
      <c r="AK76" s="249">
        <f>'P01 2024'!EG46</f>
        <v>834.798</v>
      </c>
      <c r="AL76" s="175">
        <f>+'P01 2024'!ET41</f>
        <v>920.5</v>
      </c>
      <c r="AM76" s="175">
        <f>+'P01 2024'!FL58</f>
        <v>313.78399999999999</v>
      </c>
      <c r="AN76" s="1194"/>
      <c r="AO76" s="151"/>
      <c r="AP76" s="151"/>
      <c r="AQ76" s="151"/>
      <c r="AR76" s="151"/>
      <c r="AS76" s="151"/>
      <c r="AT76" s="151"/>
      <c r="AU76" s="151"/>
      <c r="AV76" s="151"/>
      <c r="AW76" s="1195"/>
      <c r="AX76" s="1196"/>
      <c r="AY76" s="148"/>
      <c r="AZ76" s="151"/>
      <c r="BA76" s="151"/>
      <c r="BB76" s="1172"/>
      <c r="BC76" s="151"/>
      <c r="BD76" s="151"/>
      <c r="BE76" s="1171"/>
      <c r="BF76" s="1171"/>
      <c r="BG76" s="1171"/>
      <c r="BH76" s="1171"/>
      <c r="BI76" s="151"/>
      <c r="BJ76" s="156"/>
      <c r="BK76" s="156"/>
      <c r="BL76" s="594"/>
      <c r="BM76" s="594"/>
      <c r="BN76" s="594"/>
      <c r="BO76" s="594"/>
      <c r="BP76" s="185"/>
      <c r="BQ76" s="156"/>
      <c r="BR76" s="594"/>
      <c r="BS76" s="594"/>
      <c r="BT76" s="594"/>
      <c r="BU76" s="594"/>
      <c r="BV76" s="156"/>
      <c r="BW76" s="158"/>
      <c r="BX76" s="185"/>
      <c r="BY76" s="185"/>
      <c r="BZ76" s="185"/>
      <c r="CA76" s="185"/>
      <c r="CB76" s="156"/>
      <c r="CC76" s="158"/>
      <c r="CD76" s="157"/>
      <c r="CE76" s="159"/>
      <c r="CF76" s="159"/>
    </row>
    <row r="77" spans="1:84" s="320" customFormat="1" ht="15" hidden="1" customHeight="1" x14ac:dyDescent="0.25">
      <c r="A77" s="329"/>
      <c r="B77" s="952" t="s">
        <v>359</v>
      </c>
      <c r="C77" s="955"/>
      <c r="D77" s="794"/>
      <c r="E77" s="933" t="s">
        <v>157</v>
      </c>
      <c r="F77" s="316"/>
      <c r="G77" s="315" t="str">
        <f>+CONCATENATE($C$10,"",$D$73,"",E77)</f>
        <v>21.03.005.</v>
      </c>
      <c r="H77" s="501" t="s">
        <v>321</v>
      </c>
      <c r="I77" s="317">
        <f>+'P01 2025'!F63</f>
        <v>93923.562999999995</v>
      </c>
      <c r="J77" s="317">
        <f>'P01 2025'!DE63</f>
        <v>93923.562999999995</v>
      </c>
      <c r="K77" s="317">
        <f ca="1">SUMIF(T$3:$AM69,"ok",T77:AM77)</f>
        <v>9964.0670000000009</v>
      </c>
      <c r="L77" s="379">
        <f t="shared" ca="1" si="12"/>
        <v>0.10608697840817646</v>
      </c>
      <c r="M77" s="317">
        <f>+'P01 2025'!DG63</f>
        <v>9964.0669999999991</v>
      </c>
      <c r="N77" s="379">
        <f t="shared" si="13"/>
        <v>0.10608697840817644</v>
      </c>
      <c r="O77" s="317">
        <f t="shared" si="14"/>
        <v>83959.495999999999</v>
      </c>
      <c r="P77" s="445">
        <f t="shared" si="15"/>
        <v>0.89391302159182362</v>
      </c>
      <c r="Q77" s="249">
        <f>+'P01 2024'!DJ64</f>
        <v>81306.690025999997</v>
      </c>
      <c r="R77" s="311">
        <f ca="1">SUMIF(T$3:$AM70,"SI",T77:AM77)</f>
        <v>80448.373785999996</v>
      </c>
      <c r="S77" s="379">
        <f t="shared" ca="1" si="16"/>
        <v>0.9894434733510179</v>
      </c>
      <c r="T77" s="326">
        <f>+'P01 2025'!G63</f>
        <v>4650.7160000000003</v>
      </c>
      <c r="U77" s="468">
        <f>+'P01 2024'!K63</f>
        <v>10340.976804</v>
      </c>
      <c r="V77" s="468">
        <f>+'P01 2025'!N40</f>
        <v>2325.3580000000002</v>
      </c>
      <c r="W77" s="326">
        <f>+'P01 2024'!Q42</f>
        <v>9505.8992480000015</v>
      </c>
      <c r="X77" s="326">
        <f>+'P01 2025'!AC55</f>
        <v>2987.9929999999999</v>
      </c>
      <c r="Y77" s="249">
        <f>+'P01 2024'!AE53</f>
        <v>16105.738646</v>
      </c>
      <c r="Z77" s="249">
        <v>0</v>
      </c>
      <c r="AA77" s="249">
        <f>+'P01 2024'!AT46</f>
        <v>11459.757616000001</v>
      </c>
      <c r="AB77" s="249">
        <v>0</v>
      </c>
      <c r="AC77" s="249">
        <f>+'P01 2024'!BI42</f>
        <v>9539.8048859999999</v>
      </c>
      <c r="AD77" s="249">
        <v>0</v>
      </c>
      <c r="AE77" s="249">
        <f>+'P01 2024'!BX55</f>
        <v>13392.256025999999</v>
      </c>
      <c r="AF77" s="249">
        <v>0</v>
      </c>
      <c r="AG77" s="249">
        <f>+'P01 2024'!CM55</f>
        <v>6147.6874639999996</v>
      </c>
      <c r="AH77" s="249">
        <v>0</v>
      </c>
      <c r="AI77" s="175">
        <f>+'P01 2024'!DB55</f>
        <v>3956.2530960000004</v>
      </c>
      <c r="AJ77" s="249">
        <f>+'P01 2024'!DR55</f>
        <v>1438.6279999999999</v>
      </c>
      <c r="AK77" s="249">
        <f>'P01 2024'!EG47</f>
        <v>3349.8159999999998</v>
      </c>
      <c r="AL77" s="175">
        <f>+'P01 2024'!ET42</f>
        <v>3126.8180000000002</v>
      </c>
      <c r="AM77" s="175">
        <f>+'P01 2024'!FL59</f>
        <v>8801.0300000000007</v>
      </c>
      <c r="AN77" s="1194"/>
      <c r="AO77" s="151"/>
      <c r="AP77" s="151"/>
      <c r="AQ77" s="151"/>
      <c r="AR77" s="151"/>
      <c r="AS77" s="151"/>
      <c r="AT77" s="151"/>
      <c r="AU77" s="151"/>
      <c r="AV77" s="151"/>
      <c r="AW77" s="1195"/>
      <c r="AX77" s="1196"/>
      <c r="AY77" s="148"/>
      <c r="AZ77" s="151"/>
      <c r="BA77" s="151"/>
      <c r="BB77" s="1172"/>
      <c r="BC77" s="151"/>
      <c r="BD77" s="151"/>
      <c r="BE77" s="1171"/>
      <c r="BF77" s="1171"/>
      <c r="BG77" s="1171"/>
      <c r="BH77" s="1171"/>
      <c r="BI77" s="151"/>
      <c r="BJ77" s="156"/>
      <c r="BK77" s="156"/>
      <c r="BL77" s="594"/>
      <c r="BM77" s="594"/>
      <c r="BN77" s="594"/>
      <c r="BO77" s="594"/>
      <c r="BP77" s="185"/>
      <c r="BQ77" s="156"/>
      <c r="BR77" s="594"/>
      <c r="BS77" s="594"/>
      <c r="BT77" s="594"/>
      <c r="BU77" s="594"/>
      <c r="BV77" s="156"/>
      <c r="BW77" s="158"/>
      <c r="BX77" s="185"/>
      <c r="BY77" s="185"/>
      <c r="BZ77" s="185"/>
      <c r="CA77" s="185"/>
      <c r="CB77" s="156"/>
      <c r="CC77" s="158"/>
      <c r="CD77" s="157"/>
      <c r="CE77" s="159"/>
      <c r="CF77" s="159"/>
    </row>
    <row r="78" spans="1:84" s="320" customFormat="1" ht="15" hidden="1" customHeight="1" x14ac:dyDescent="0.25">
      <c r="A78" s="329"/>
      <c r="B78" s="952" t="s">
        <v>360</v>
      </c>
      <c r="C78" s="955"/>
      <c r="D78" s="794"/>
      <c r="E78" s="33" t="s">
        <v>1096</v>
      </c>
      <c r="F78" s="254"/>
      <c r="G78" s="315" t="str">
        <f t="shared" ref="G78:G79" si="17">+CONCATENATE($C$10,"",$D$73,"",E78)</f>
        <v>21.03.007.</v>
      </c>
      <c r="H78" s="422" t="s">
        <v>307</v>
      </c>
      <c r="I78" s="246">
        <v>0</v>
      </c>
      <c r="J78" s="317">
        <v>0</v>
      </c>
      <c r="K78" s="317">
        <f ca="1">SUMIF(T$3:$AM70,"ok",T78:AM78)</f>
        <v>0</v>
      </c>
      <c r="L78" s="379">
        <f t="shared" ca="1" si="12"/>
        <v>0</v>
      </c>
      <c r="M78" s="317">
        <v>0</v>
      </c>
      <c r="N78" s="379">
        <f t="shared" si="13"/>
        <v>0</v>
      </c>
      <c r="O78" s="317">
        <f t="shared" si="14"/>
        <v>0</v>
      </c>
      <c r="P78" s="445">
        <f t="shared" si="15"/>
        <v>0</v>
      </c>
      <c r="Q78" s="249">
        <v>0</v>
      </c>
      <c r="R78" s="311">
        <f ca="1">SUMIF(T$3:$AM71,"SI",T78:AM78)</f>
        <v>0</v>
      </c>
      <c r="S78" s="379" t="str">
        <f t="shared" ca="1" si="16"/>
        <v>0,00%</v>
      </c>
      <c r="T78" s="326">
        <v>0</v>
      </c>
      <c r="U78" s="468">
        <v>0</v>
      </c>
      <c r="V78" s="468">
        <v>0</v>
      </c>
      <c r="W78" s="319">
        <v>0</v>
      </c>
      <c r="X78" s="326">
        <v>0</v>
      </c>
      <c r="Y78" s="249">
        <v>0</v>
      </c>
      <c r="Z78" s="249">
        <v>0</v>
      </c>
      <c r="AA78" s="249">
        <v>0</v>
      </c>
      <c r="AB78" s="249">
        <v>0</v>
      </c>
      <c r="AC78" s="249">
        <v>0</v>
      </c>
      <c r="AD78" s="249">
        <v>0</v>
      </c>
      <c r="AE78" s="249">
        <v>0</v>
      </c>
      <c r="AF78" s="249">
        <v>0</v>
      </c>
      <c r="AG78" s="249">
        <v>0</v>
      </c>
      <c r="AH78" s="249">
        <v>0</v>
      </c>
      <c r="AI78" s="175">
        <v>0</v>
      </c>
      <c r="AJ78" s="249">
        <v>0</v>
      </c>
      <c r="AK78" s="249">
        <v>0</v>
      </c>
      <c r="AL78" s="249">
        <v>0</v>
      </c>
      <c r="AM78" s="175">
        <v>0</v>
      </c>
      <c r="AN78" s="1139"/>
      <c r="AO78" s="156"/>
      <c r="AP78" s="156"/>
      <c r="AQ78" s="156"/>
      <c r="AR78" s="156"/>
      <c r="AS78" s="156"/>
      <c r="AT78" s="156"/>
      <c r="AU78" s="156"/>
      <c r="AV78" s="156"/>
      <c r="AW78" s="1140"/>
      <c r="AX78" s="1197"/>
      <c r="AY78" s="148"/>
      <c r="AZ78" s="151"/>
      <c r="BA78" s="151"/>
      <c r="BB78" s="1172"/>
      <c r="BC78" s="151"/>
      <c r="BD78" s="151"/>
      <c r="BE78" s="1171"/>
      <c r="BF78" s="1171"/>
      <c r="BG78" s="1171"/>
      <c r="BH78" s="1171"/>
      <c r="BI78" s="151"/>
      <c r="BJ78" s="156"/>
      <c r="BK78" s="156"/>
      <c r="BL78" s="594"/>
      <c r="BM78" s="594"/>
      <c r="BN78" s="594"/>
      <c r="BO78" s="594"/>
      <c r="BP78" s="185"/>
      <c r="BQ78" s="156"/>
      <c r="BR78" s="594"/>
      <c r="BS78" s="594"/>
      <c r="BT78" s="594"/>
      <c r="BU78" s="594"/>
      <c r="BV78" s="156"/>
      <c r="BW78" s="158"/>
      <c r="BX78" s="185"/>
      <c r="BY78" s="185"/>
      <c r="BZ78" s="185"/>
      <c r="CA78" s="185"/>
      <c r="CB78" s="156"/>
      <c r="CC78" s="158"/>
      <c r="CD78" s="157"/>
      <c r="CE78" s="159"/>
      <c r="CF78" s="159"/>
    </row>
    <row r="79" spans="1:84" s="320" customFormat="1" ht="15" hidden="1" customHeight="1" x14ac:dyDescent="0.25">
      <c r="A79" s="329"/>
      <c r="B79" s="952" t="s">
        <v>980</v>
      </c>
      <c r="C79" s="955"/>
      <c r="D79" s="794"/>
      <c r="E79" s="933" t="s">
        <v>155</v>
      </c>
      <c r="F79" s="316"/>
      <c r="G79" s="315" t="str">
        <f t="shared" si="17"/>
        <v>21.03.003.</v>
      </c>
      <c r="H79" s="501" t="s">
        <v>984</v>
      </c>
      <c r="I79" s="246">
        <v>0</v>
      </c>
      <c r="J79" s="317">
        <f>'P01 2025'!DE64</f>
        <v>2302.518</v>
      </c>
      <c r="K79" s="317">
        <f ca="1">SUMIF(T$3:$AM70,"ok",T79:AM79)</f>
        <v>2302.518</v>
      </c>
      <c r="L79" s="379">
        <f t="shared" ca="1" si="12"/>
        <v>1</v>
      </c>
      <c r="M79" s="317">
        <f>'P01 2025'!DG64</f>
        <v>2302.518</v>
      </c>
      <c r="N79" s="379">
        <f t="shared" si="13"/>
        <v>1</v>
      </c>
      <c r="O79" s="317">
        <f t="shared" si="14"/>
        <v>0</v>
      </c>
      <c r="P79" s="445">
        <f t="shared" si="15"/>
        <v>0</v>
      </c>
      <c r="Q79" s="249">
        <v>0</v>
      </c>
      <c r="R79" s="311">
        <f ca="1">SUMIF(T$3:$AM72,"SI",T79:AM79)</f>
        <v>0</v>
      </c>
      <c r="S79" s="379" t="str">
        <f t="shared" ca="1" si="16"/>
        <v>0,00%</v>
      </c>
      <c r="T79" s="326">
        <v>0</v>
      </c>
      <c r="U79" s="468">
        <v>0</v>
      </c>
      <c r="V79" s="468">
        <v>0</v>
      </c>
      <c r="W79" s="319"/>
      <c r="X79" s="319">
        <v>0</v>
      </c>
      <c r="Y79" s="249">
        <v>0</v>
      </c>
      <c r="Z79" s="249">
        <v>0</v>
      </c>
      <c r="AA79" s="249"/>
      <c r="AB79" s="249">
        <f>'P01 2025'!BF40</f>
        <v>2302.518</v>
      </c>
      <c r="AC79" s="249">
        <v>0</v>
      </c>
      <c r="AD79" s="249">
        <v>0</v>
      </c>
      <c r="AE79" s="249"/>
      <c r="AF79" s="249">
        <v>0</v>
      </c>
      <c r="AG79" s="249"/>
      <c r="AH79" s="249">
        <v>0</v>
      </c>
      <c r="AI79" s="175"/>
      <c r="AJ79" s="249"/>
      <c r="AK79" s="249"/>
      <c r="AL79" s="249"/>
      <c r="AM79" s="175">
        <f>+'P01 2024'!FL60</f>
        <v>425.30099999999999</v>
      </c>
      <c r="AN79" s="1194"/>
      <c r="AO79" s="151"/>
      <c r="AP79" s="151"/>
      <c r="AQ79" s="151"/>
      <c r="AR79" s="151"/>
      <c r="AS79" s="151"/>
      <c r="AT79" s="151"/>
      <c r="AU79" s="151"/>
      <c r="AV79" s="151"/>
      <c r="AW79" s="1195"/>
      <c r="AX79" s="1196"/>
      <c r="AY79" s="148"/>
      <c r="AZ79" s="151"/>
      <c r="BA79" s="151"/>
      <c r="BB79" s="1172"/>
      <c r="BC79" s="151"/>
      <c r="BD79" s="151"/>
      <c r="BE79" s="1171"/>
      <c r="BF79" s="1171"/>
      <c r="BG79" s="1171"/>
      <c r="BH79" s="1171"/>
      <c r="BI79" s="151"/>
      <c r="BJ79" s="156"/>
      <c r="BK79" s="156"/>
      <c r="BL79" s="594"/>
      <c r="BM79" s="594"/>
      <c r="BN79" s="594"/>
      <c r="BO79" s="594"/>
      <c r="BP79" s="185"/>
      <c r="BQ79" s="156"/>
      <c r="BR79" s="594"/>
      <c r="BS79" s="594"/>
      <c r="BT79" s="594"/>
      <c r="BU79" s="594"/>
      <c r="BV79" s="156"/>
      <c r="BW79" s="158"/>
      <c r="BX79" s="185"/>
      <c r="BY79" s="185"/>
      <c r="BZ79" s="185"/>
      <c r="CA79" s="185"/>
      <c r="CB79" s="156"/>
      <c r="CC79" s="158"/>
      <c r="CD79" s="157"/>
      <c r="CE79" s="159"/>
      <c r="CF79" s="159"/>
    </row>
    <row r="80" spans="1:84" ht="15" customHeight="1" x14ac:dyDescent="0.25">
      <c r="B80" s="169" t="s">
        <v>361</v>
      </c>
      <c r="C80" s="508">
        <v>22</v>
      </c>
      <c r="D80" s="172"/>
      <c r="E80" s="309"/>
      <c r="F80" s="309"/>
      <c r="G80" s="309"/>
      <c r="H80" s="512" t="s">
        <v>15</v>
      </c>
      <c r="I80" s="381">
        <f>+'P01 2025'!F64+147200</f>
        <v>2943989</v>
      </c>
      <c r="J80" s="313">
        <f>'P01 2025'!DE65</f>
        <v>4547359</v>
      </c>
      <c r="K80" s="306">
        <f ca="1">SUMIF(T$3:$AM71,"ok",T80:AM80)</f>
        <v>2115228.9890000001</v>
      </c>
      <c r="L80" s="378">
        <f t="shared" ca="1" si="12"/>
        <v>0.46515548673416812</v>
      </c>
      <c r="M80" s="313">
        <f>'P01 2025'!DG65</f>
        <v>3609582.4049999998</v>
      </c>
      <c r="N80" s="378">
        <f t="shared" si="13"/>
        <v>0.7937755530187961</v>
      </c>
      <c r="O80" s="306">
        <f t="shared" si="14"/>
        <v>937776.5950000002</v>
      </c>
      <c r="P80" s="443">
        <f t="shared" si="15"/>
        <v>0.20622444698120387</v>
      </c>
      <c r="Q80" s="321">
        <f>+'P01 2024'!DJ65</f>
        <v>4986754.6260000002</v>
      </c>
      <c r="R80" s="321">
        <f ca="1">+R83+R87+R89+R103+R112+R120+R124+R132+R137+R140+R145</f>
        <v>2378365.8117180006</v>
      </c>
      <c r="S80" s="378">
        <f t="shared" ca="1" si="16"/>
        <v>0.47693660308001695</v>
      </c>
      <c r="T80" s="509">
        <f>+'P01 2025'!G64</f>
        <v>26731.971000000001</v>
      </c>
      <c r="U80" s="467">
        <f>+'P01 2024'!K64</f>
        <v>50364.214518000001</v>
      </c>
      <c r="V80" s="467">
        <f>+'P01 2025'!N41</f>
        <v>145305.92600000001</v>
      </c>
      <c r="W80" s="155">
        <f>+'P01 2024'!Q43</f>
        <v>141173.954964</v>
      </c>
      <c r="X80" s="155">
        <f>+'P01 2025'!AC56</f>
        <v>370557.70199999999</v>
      </c>
      <c r="Y80" s="86">
        <f>+'P01 2024'!AE54</f>
        <v>350162.83918000001</v>
      </c>
      <c r="Z80" s="86">
        <f>+'P01 2025'!AR49</f>
        <v>311798.788</v>
      </c>
      <c r="AA80" s="155">
        <f>+'P01 2024'!AT47</f>
        <v>283897.37747400004</v>
      </c>
      <c r="AB80" s="155">
        <f>AB81+AB83+AB89+AB103+AB112+AB120+AB124+AB132+AB140+AB137+AB145+AB149+AB149</f>
        <v>214773.44800000003</v>
      </c>
      <c r="AC80" s="155">
        <f>+'P01 2024'!BI43</f>
        <v>303613.55755000003</v>
      </c>
      <c r="AD80" s="155">
        <f>+'P01 2025'!BU55</f>
        <v>449618.81099999999</v>
      </c>
      <c r="AE80" s="155">
        <f>+'P01 2024'!BX56</f>
        <v>377804.53273400001</v>
      </c>
      <c r="AF80" s="155">
        <f>+'P01 2025'!CI42</f>
        <v>210751.99799999999</v>
      </c>
      <c r="AG80" s="155">
        <f>+'P01 2024'!CM56</f>
        <v>541809.64758200001</v>
      </c>
      <c r="AH80" s="155">
        <f>+'P01 2025'!CX45</f>
        <v>385690.34499999997</v>
      </c>
      <c r="AI80" s="86">
        <f>+'P01 2024'!DB56</f>
        <v>329539.68771600001</v>
      </c>
      <c r="AJ80" s="155">
        <f>+'P01 2024'!DR56</f>
        <v>414369.51199999999</v>
      </c>
      <c r="AK80" s="165">
        <f>'P01 2024'!EG48</f>
        <v>321459.98700000002</v>
      </c>
      <c r="AL80" s="165">
        <f>+'P01 2024'!ET43</f>
        <v>550158.63199999998</v>
      </c>
      <c r="AM80" s="155">
        <f>+'P01 2024'!FL61</f>
        <v>607707.17700000003</v>
      </c>
      <c r="AN80" s="1194"/>
      <c r="AO80" s="151"/>
      <c r="AP80" s="151"/>
      <c r="AQ80" s="151"/>
      <c r="AR80" s="151"/>
      <c r="AS80" s="151"/>
      <c r="AT80" s="151"/>
      <c r="AU80" s="151"/>
      <c r="AV80" s="151"/>
      <c r="AW80" s="1195"/>
      <c r="AX80" s="1196"/>
      <c r="AY80" s="148"/>
      <c r="AZ80" s="151"/>
      <c r="BA80" s="151"/>
      <c r="BB80" s="1172"/>
      <c r="BC80" s="151"/>
      <c r="BD80" s="151"/>
      <c r="BE80" s="1171"/>
      <c r="BF80" s="1171"/>
      <c r="BG80" s="1171"/>
      <c r="BH80" s="1171"/>
      <c r="BI80" s="1171"/>
      <c r="BJ80" s="932"/>
      <c r="BK80" s="156"/>
      <c r="BL80" s="594"/>
      <c r="BM80" s="594"/>
      <c r="BN80" s="594"/>
      <c r="BO80" s="594"/>
      <c r="BQ80" s="156"/>
      <c r="BR80" s="594"/>
      <c r="BS80" s="594"/>
      <c r="BT80" s="594"/>
      <c r="BU80" s="594"/>
      <c r="BV80" s="156"/>
      <c r="BW80" s="158"/>
      <c r="CC80" s="148"/>
      <c r="CD80" s="123"/>
      <c r="CE80" s="152"/>
      <c r="CF80" s="152"/>
    </row>
    <row r="81" spans="1:84" ht="15" hidden="1" customHeight="1" x14ac:dyDescent="0.25">
      <c r="B81" s="169" t="s">
        <v>1044</v>
      </c>
      <c r="C81" s="508"/>
      <c r="D81" s="172"/>
      <c r="E81" s="309"/>
      <c r="F81" s="309"/>
      <c r="G81" s="309"/>
      <c r="H81" s="512" t="s">
        <v>1046</v>
      </c>
      <c r="I81" s="381">
        <v>0</v>
      </c>
      <c r="J81" s="313">
        <f>'P01 2025'!DE66</f>
        <v>150</v>
      </c>
      <c r="K81" s="306">
        <f ca="1">SUMIF(T$3:$AM72,"ok",T81:AM81)</f>
        <v>150</v>
      </c>
      <c r="L81" s="378">
        <f t="shared" ca="1" si="12"/>
        <v>1</v>
      </c>
      <c r="M81" s="313">
        <f>'P01 2025'!DG66</f>
        <v>150</v>
      </c>
      <c r="N81" s="378">
        <f t="shared" si="13"/>
        <v>1</v>
      </c>
      <c r="O81" s="306">
        <f t="shared" si="14"/>
        <v>0</v>
      </c>
      <c r="P81" s="443">
        <f t="shared" si="15"/>
        <v>0</v>
      </c>
      <c r="Q81" s="321">
        <v>0</v>
      </c>
      <c r="R81" s="321">
        <v>0</v>
      </c>
      <c r="S81" s="378" t="str">
        <f t="shared" si="16"/>
        <v>0,00%</v>
      </c>
      <c r="T81" s="509"/>
      <c r="U81" s="467"/>
      <c r="V81" s="467">
        <v>0</v>
      </c>
      <c r="W81" s="155">
        <v>0</v>
      </c>
      <c r="X81" s="155">
        <f>+'P01 2025'!AC57</f>
        <v>150</v>
      </c>
      <c r="Y81" s="86"/>
      <c r="Z81" s="86">
        <v>0</v>
      </c>
      <c r="AA81" s="155"/>
      <c r="AB81" s="155">
        <f>AB82</f>
        <v>0</v>
      </c>
      <c r="AC81" s="155"/>
      <c r="AD81" s="155">
        <v>0</v>
      </c>
      <c r="AE81" s="155"/>
      <c r="AF81" s="155">
        <v>0</v>
      </c>
      <c r="AG81" s="155"/>
      <c r="AH81" s="155">
        <v>0</v>
      </c>
      <c r="AI81" s="86"/>
      <c r="AJ81" s="155"/>
      <c r="AK81" s="165"/>
      <c r="AL81" s="165"/>
      <c r="AM81" s="155"/>
      <c r="AN81" s="1194"/>
      <c r="AO81" s="151"/>
      <c r="AP81" s="151"/>
      <c r="AQ81" s="151"/>
      <c r="AR81" s="151"/>
      <c r="AS81" s="151"/>
      <c r="AT81" s="151"/>
      <c r="AU81" s="151"/>
      <c r="AV81" s="151"/>
      <c r="AW81" s="1195"/>
      <c r="AX81" s="1196"/>
      <c r="AY81" s="148"/>
      <c r="AZ81" s="151"/>
      <c r="BA81" s="151"/>
      <c r="BB81" s="1172"/>
      <c r="BC81" s="151"/>
      <c r="BD81" s="151"/>
      <c r="BE81" s="1171"/>
      <c r="BF81" s="1171"/>
      <c r="BG81" s="1171"/>
      <c r="BH81" s="1171"/>
      <c r="BI81" s="1171"/>
      <c r="BJ81" s="932"/>
      <c r="BK81" s="156"/>
      <c r="BL81" s="594"/>
      <c r="BM81" s="594"/>
      <c r="BN81" s="594"/>
      <c r="BO81" s="594"/>
      <c r="BQ81" s="156"/>
      <c r="BR81" s="594"/>
      <c r="BS81" s="594"/>
      <c r="BT81" s="594"/>
      <c r="BU81" s="594"/>
      <c r="BV81" s="156"/>
      <c r="BW81" s="158"/>
      <c r="CC81" s="148"/>
      <c r="CD81" s="123"/>
      <c r="CE81" s="152"/>
      <c r="CF81" s="152"/>
    </row>
    <row r="82" spans="1:84" s="329" customFormat="1" ht="15" hidden="1" customHeight="1" x14ac:dyDescent="0.25">
      <c r="B82" s="952" t="s">
        <v>1045</v>
      </c>
      <c r="C82" s="497"/>
      <c r="D82" s="794"/>
      <c r="E82" s="33"/>
      <c r="F82" s="254"/>
      <c r="G82" s="254"/>
      <c r="H82" s="422" t="s">
        <v>1047</v>
      </c>
      <c r="I82" s="246">
        <v>0</v>
      </c>
      <c r="J82" s="317">
        <f>'P01 2025'!DE67</f>
        <v>150</v>
      </c>
      <c r="K82" s="317">
        <f ca="1">SUMIF(T$3:$AM73,"ok",T82:AM82)</f>
        <v>150</v>
      </c>
      <c r="L82" s="379">
        <f t="shared" ca="1" si="12"/>
        <v>1</v>
      </c>
      <c r="M82" s="317">
        <f>'P01 2025'!DG67</f>
        <v>150</v>
      </c>
      <c r="N82" s="379">
        <f t="shared" si="13"/>
        <v>1</v>
      </c>
      <c r="O82" s="317">
        <f t="shared" si="14"/>
        <v>0</v>
      </c>
      <c r="P82" s="445">
        <f t="shared" si="15"/>
        <v>0</v>
      </c>
      <c r="Q82" s="144">
        <v>0</v>
      </c>
      <c r="R82" s="144">
        <v>0</v>
      </c>
      <c r="S82" s="379" t="str">
        <f t="shared" si="16"/>
        <v>0,00%</v>
      </c>
      <c r="T82" s="956"/>
      <c r="U82" s="593"/>
      <c r="V82" s="593">
        <v>0</v>
      </c>
      <c r="W82" s="175">
        <v>0</v>
      </c>
      <c r="X82" s="326">
        <f>+'P01 2025'!AC58</f>
        <v>150</v>
      </c>
      <c r="Y82" s="175"/>
      <c r="Z82" s="175">
        <v>0</v>
      </c>
      <c r="AA82" s="175"/>
      <c r="AB82" s="175">
        <v>0</v>
      </c>
      <c r="AC82" s="175"/>
      <c r="AD82" s="175">
        <v>0</v>
      </c>
      <c r="AE82" s="175"/>
      <c r="AF82" s="175">
        <v>0</v>
      </c>
      <c r="AG82" s="175"/>
      <c r="AH82" s="249">
        <v>0</v>
      </c>
      <c r="AI82" s="175"/>
      <c r="AJ82" s="175"/>
      <c r="AK82" s="252"/>
      <c r="AL82" s="252"/>
      <c r="AM82" s="175"/>
      <c r="AN82" s="1194"/>
      <c r="AO82" s="151"/>
      <c r="AP82" s="151"/>
      <c r="AQ82" s="151"/>
      <c r="AR82" s="151"/>
      <c r="AS82" s="151"/>
      <c r="AT82" s="151"/>
      <c r="AU82" s="151"/>
      <c r="AV82" s="151"/>
      <c r="AW82" s="1195"/>
      <c r="AX82" s="1196"/>
      <c r="AY82" s="148"/>
      <c r="AZ82" s="151"/>
      <c r="BA82" s="151"/>
      <c r="BB82" s="1172"/>
      <c r="BC82" s="151"/>
      <c r="BD82" s="151"/>
      <c r="BE82" s="1171"/>
      <c r="BF82" s="1171"/>
      <c r="BG82" s="1171"/>
      <c r="BH82" s="1171"/>
      <c r="BI82" s="151"/>
      <c r="BJ82" s="156"/>
      <c r="BK82" s="156"/>
      <c r="BL82" s="594"/>
      <c r="BM82" s="594"/>
      <c r="BN82" s="594"/>
      <c r="BO82" s="594"/>
      <c r="BP82" s="185"/>
      <c r="BQ82" s="156"/>
      <c r="BR82" s="594"/>
      <c r="BS82" s="594"/>
      <c r="BT82" s="594"/>
      <c r="BU82" s="594"/>
      <c r="BV82" s="156"/>
      <c r="BW82" s="158"/>
      <c r="BX82" s="185"/>
      <c r="BY82" s="185"/>
      <c r="BZ82" s="185"/>
      <c r="CA82" s="304"/>
      <c r="CB82" s="957"/>
      <c r="CC82" s="958"/>
      <c r="CD82" s="959"/>
      <c r="CE82" s="241"/>
      <c r="CF82" s="241"/>
    </row>
    <row r="83" spans="1:84" s="308" customFormat="1" ht="15" hidden="1" customHeight="1" x14ac:dyDescent="0.25">
      <c r="A83" s="84"/>
      <c r="B83" s="169" t="s">
        <v>362</v>
      </c>
      <c r="C83" s="510" t="s">
        <v>325</v>
      </c>
      <c r="D83" s="391" t="s">
        <v>160</v>
      </c>
      <c r="E83" s="322"/>
      <c r="F83" s="322"/>
      <c r="G83" s="322"/>
      <c r="H83" s="470" t="s">
        <v>44</v>
      </c>
      <c r="I83" s="381">
        <f>+'P01 2025'!F65</f>
        <v>23000</v>
      </c>
      <c r="J83" s="313">
        <f>'P01 2025'!DE68</f>
        <v>23000</v>
      </c>
      <c r="K83" s="306">
        <f ca="1">SUMIF(T$3:$AM72,"ok",T83:AM83)</f>
        <v>18251.744999999999</v>
      </c>
      <c r="L83" s="378">
        <f t="shared" ca="1" si="12"/>
        <v>0.79355413043478251</v>
      </c>
      <c r="M83" s="313">
        <f>'P01 2025'!DG68</f>
        <v>18251.744999999999</v>
      </c>
      <c r="N83" s="378">
        <f t="shared" si="13"/>
        <v>0.79355413043478251</v>
      </c>
      <c r="O83" s="306">
        <f t="shared" si="14"/>
        <v>4748.255000000001</v>
      </c>
      <c r="P83" s="443">
        <f t="shared" si="15"/>
        <v>0.20644586956521743</v>
      </c>
      <c r="Q83" s="321">
        <f>+'P01 2024'!DJ66</f>
        <v>34020.047515999999</v>
      </c>
      <c r="R83" s="323">
        <f ca="1">+SUM(R84:R86)</f>
        <v>20321.889466000001</v>
      </c>
      <c r="S83" s="378">
        <f t="shared" ca="1" si="16"/>
        <v>0.59735041394173227</v>
      </c>
      <c r="T83" s="509">
        <f>+'P01 2025'!G65</f>
        <v>0</v>
      </c>
      <c r="U83" s="467">
        <f>+'P01 2024'!K65</f>
        <v>0</v>
      </c>
      <c r="V83" s="467">
        <f>+'P01 2025'!N42</f>
        <v>7179.3919999999998</v>
      </c>
      <c r="W83" s="155">
        <f>+'P01 2024'!Q44</f>
        <v>6446.1600280000002</v>
      </c>
      <c r="X83" s="155">
        <f>+'P01 2025'!AC59</f>
        <v>358.96899999999999</v>
      </c>
      <c r="Y83" s="86">
        <f>+'P01 2024'!AE55</f>
        <v>446.39279999999997</v>
      </c>
      <c r="Z83" s="86">
        <f>+'P01 2025'!AR50</f>
        <v>9050.4220000000005</v>
      </c>
      <c r="AA83" s="155">
        <f>+'P01 2024'!AT48</f>
        <v>136.374876</v>
      </c>
      <c r="AB83" s="155">
        <f>SUM(AB84:AB86)</f>
        <v>1662.962</v>
      </c>
      <c r="AC83" s="314">
        <v>0</v>
      </c>
      <c r="AD83" s="314">
        <v>0</v>
      </c>
      <c r="AE83" s="155">
        <f>+'P01 2024'!BX57</f>
        <v>8100.6695099999997</v>
      </c>
      <c r="AF83" s="155">
        <v>0</v>
      </c>
      <c r="AG83" s="155">
        <f>+'P01 2024'!CM57</f>
        <v>4758.2992520000007</v>
      </c>
      <c r="AH83" s="155">
        <v>0</v>
      </c>
      <c r="AI83" s="86">
        <f>+'P01 2024'!DB57</f>
        <v>433.99299999999999</v>
      </c>
      <c r="AJ83" s="155">
        <v>0</v>
      </c>
      <c r="AK83" s="165">
        <f>'P01 2024'!EG49</f>
        <v>7548.3410000000003</v>
      </c>
      <c r="AL83" s="165">
        <f>+'P01 2024'!ET44</f>
        <v>1050.509</v>
      </c>
      <c r="AM83" s="165">
        <v>0</v>
      </c>
      <c r="AN83" s="1194"/>
      <c r="AO83" s="151"/>
      <c r="AP83" s="151"/>
      <c r="AQ83" s="151"/>
      <c r="AR83" s="151"/>
      <c r="AS83" s="151"/>
      <c r="AT83" s="151"/>
      <c r="AU83" s="151"/>
      <c r="AV83" s="151"/>
      <c r="AW83" s="1195"/>
      <c r="AX83" s="1196"/>
      <c r="AY83" s="148"/>
      <c r="AZ83" s="151"/>
      <c r="BA83" s="151"/>
      <c r="BB83" s="1172"/>
      <c r="BC83" s="151"/>
      <c r="BD83" s="151"/>
      <c r="BE83" s="1171"/>
      <c r="BF83" s="1171"/>
      <c r="BG83" s="1171"/>
      <c r="BH83" s="1171"/>
      <c r="BI83" s="1171"/>
      <c r="BJ83" s="932"/>
      <c r="BK83" s="156"/>
      <c r="BL83" s="594"/>
      <c r="BM83" s="594"/>
      <c r="BN83" s="594"/>
      <c r="BO83" s="594"/>
      <c r="BP83" s="185"/>
      <c r="BQ83" s="156"/>
      <c r="BR83" s="594"/>
      <c r="BS83" s="594"/>
      <c r="BT83" s="594"/>
      <c r="BU83" s="594"/>
      <c r="BV83" s="156"/>
      <c r="BW83" s="158"/>
      <c r="BX83" s="185"/>
      <c r="BY83" s="185"/>
      <c r="BZ83" s="185"/>
      <c r="CA83" s="185"/>
      <c r="CB83" s="151"/>
      <c r="CC83" s="148"/>
      <c r="CD83" s="123"/>
      <c r="CE83" s="152"/>
      <c r="CF83" s="152"/>
    </row>
    <row r="84" spans="1:84" s="320" customFormat="1" ht="15" hidden="1" customHeight="1" x14ac:dyDescent="0.25">
      <c r="A84" s="329"/>
      <c r="B84" s="952" t="s">
        <v>941</v>
      </c>
      <c r="C84" s="383" t="s">
        <v>325</v>
      </c>
      <c r="D84" s="962"/>
      <c r="E84" s="963" t="s">
        <v>165</v>
      </c>
      <c r="F84" s="934"/>
      <c r="G84" s="961" t="s">
        <v>716</v>
      </c>
      <c r="H84" s="398" t="s">
        <v>451</v>
      </c>
      <c r="I84" s="246">
        <v>0</v>
      </c>
      <c r="J84" s="317">
        <v>0</v>
      </c>
      <c r="K84" s="317">
        <f ca="1">SUMIF(T$3:$AM73,"ok",T84:AM84)</f>
        <v>0</v>
      </c>
      <c r="L84" s="379">
        <f t="shared" ca="1" si="12"/>
        <v>0</v>
      </c>
      <c r="M84" s="317">
        <v>0</v>
      </c>
      <c r="N84" s="379">
        <f t="shared" si="13"/>
        <v>0</v>
      </c>
      <c r="O84" s="317">
        <f t="shared" si="14"/>
        <v>0</v>
      </c>
      <c r="P84" s="445">
        <f t="shared" si="15"/>
        <v>0</v>
      </c>
      <c r="Q84" s="249">
        <v>0</v>
      </c>
      <c r="R84" s="311">
        <f ca="1">SUMIF(T$3:$AM73,"SI",T84:AM84)</f>
        <v>0</v>
      </c>
      <c r="S84" s="379" t="str">
        <f t="shared" ca="1" si="16"/>
        <v>0,00%</v>
      </c>
      <c r="T84" s="326">
        <v>0</v>
      </c>
      <c r="U84" s="468">
        <v>0</v>
      </c>
      <c r="V84" s="468">
        <v>0</v>
      </c>
      <c r="W84" s="319">
        <v>0</v>
      </c>
      <c r="X84" s="319">
        <v>0</v>
      </c>
      <c r="Y84" s="249">
        <v>0</v>
      </c>
      <c r="Z84" s="249">
        <v>0</v>
      </c>
      <c r="AA84" s="327">
        <v>0</v>
      </c>
      <c r="AB84" s="327">
        <v>0</v>
      </c>
      <c r="AC84" s="327">
        <v>0</v>
      </c>
      <c r="AD84" s="327">
        <v>0</v>
      </c>
      <c r="AE84" s="327">
        <v>0</v>
      </c>
      <c r="AF84" s="327">
        <v>0</v>
      </c>
      <c r="AG84" s="327">
        <v>0</v>
      </c>
      <c r="AH84" s="249">
        <v>0</v>
      </c>
      <c r="AI84" s="175">
        <v>0</v>
      </c>
      <c r="AJ84" s="249">
        <v>0</v>
      </c>
      <c r="AK84" s="327">
        <v>0</v>
      </c>
      <c r="AL84" s="175">
        <v>0</v>
      </c>
      <c r="AM84" s="253">
        <v>0</v>
      </c>
      <c r="AN84" s="1139"/>
      <c r="AO84" s="156"/>
      <c r="AP84" s="156"/>
      <c r="AQ84" s="156"/>
      <c r="AR84" s="156"/>
      <c r="AS84" s="156"/>
      <c r="AT84" s="156"/>
      <c r="AU84" s="156"/>
      <c r="AV84" s="156"/>
      <c r="AW84" s="1140"/>
      <c r="AX84" s="1197"/>
      <c r="AY84" s="148"/>
      <c r="AZ84" s="151"/>
      <c r="BA84" s="151"/>
      <c r="BB84" s="1172"/>
      <c r="BC84" s="151"/>
      <c r="BD84" s="151"/>
      <c r="BE84" s="1171"/>
      <c r="BF84" s="1171"/>
      <c r="BG84" s="1171"/>
      <c r="BH84" s="1171"/>
      <c r="BI84" s="151"/>
      <c r="BJ84" s="156"/>
      <c r="BK84" s="156"/>
      <c r="BL84" s="594"/>
      <c r="BM84" s="594"/>
      <c r="BN84" s="594"/>
      <c r="BO84" s="594"/>
      <c r="BP84" s="185"/>
      <c r="BQ84" s="156"/>
      <c r="BR84" s="594"/>
      <c r="BS84" s="594"/>
      <c r="BT84" s="594"/>
      <c r="BU84" s="594"/>
      <c r="BV84" s="156"/>
      <c r="BW84" s="158"/>
      <c r="BX84" s="185"/>
      <c r="BY84" s="185"/>
      <c r="BZ84" s="185"/>
      <c r="CA84" s="185"/>
      <c r="CB84" s="156"/>
      <c r="CC84" s="158"/>
      <c r="CD84" s="157"/>
      <c r="CE84" s="159"/>
      <c r="CF84" s="159"/>
    </row>
    <row r="85" spans="1:84" s="320" customFormat="1" ht="15" hidden="1" customHeight="1" x14ac:dyDescent="0.25">
      <c r="A85" s="329"/>
      <c r="B85" s="952" t="s">
        <v>549</v>
      </c>
      <c r="C85" s="955"/>
      <c r="D85" s="794"/>
      <c r="E85" s="933" t="s">
        <v>161</v>
      </c>
      <c r="F85" s="316"/>
      <c r="G85" s="315" t="str">
        <f>+CONCATENATE($C$80,"",$D$83,"",$E$85)</f>
        <v>22.02.002</v>
      </c>
      <c r="H85" s="501" t="s">
        <v>45</v>
      </c>
      <c r="I85" s="248">
        <f>+'P01 2025'!F66</f>
        <v>18000</v>
      </c>
      <c r="J85" s="319">
        <f>+'P01 2025'!DE69</f>
        <v>18000</v>
      </c>
      <c r="K85" s="317">
        <f ca="1">SUMIF(T$3:$AM74,"ok",T85:AM85)</f>
        <v>15295.368</v>
      </c>
      <c r="L85" s="379">
        <f t="shared" ca="1" si="12"/>
        <v>0.84974266666666665</v>
      </c>
      <c r="M85" s="317">
        <f>+'P01 2025'!DG69</f>
        <v>15295.368</v>
      </c>
      <c r="N85" s="379">
        <f t="shared" si="13"/>
        <v>0.84974266666666665</v>
      </c>
      <c r="O85" s="317">
        <f t="shared" si="14"/>
        <v>2704.6319999999996</v>
      </c>
      <c r="P85" s="445">
        <f t="shared" si="15"/>
        <v>0.1502573333333333</v>
      </c>
      <c r="Q85" s="249">
        <f>+'P01 2024'!DJ67</f>
        <v>22438.064342000001</v>
      </c>
      <c r="R85" s="311">
        <f ca="1">SUMIF(T$3:$AM74,"SI",T85:AM85)</f>
        <v>10876.214692</v>
      </c>
      <c r="S85" s="379">
        <f t="shared" ca="1" si="16"/>
        <v>0.48472161084063259</v>
      </c>
      <c r="T85" s="326">
        <f>+'P01 2025'!G66</f>
        <v>0</v>
      </c>
      <c r="U85" s="468">
        <f>+'P01 2024'!K66</f>
        <v>0</v>
      </c>
      <c r="V85" s="468">
        <f>+'P01 2025'!N43</f>
        <v>5947.5680000000002</v>
      </c>
      <c r="W85" s="319">
        <f>+'P01 2024'!Q45</f>
        <v>644.16961000000003</v>
      </c>
      <c r="X85" s="319">
        <f>+'P01 2025'!AC60</f>
        <v>297.37799999999999</v>
      </c>
      <c r="Y85" s="249">
        <f>+'P01 2024'!AE56</f>
        <v>446.39279999999997</v>
      </c>
      <c r="Z85" s="249">
        <f>+'P01 2025'!AR51</f>
        <v>9050.4220000000005</v>
      </c>
      <c r="AA85" s="249">
        <f>+'P01 2024'!AT49</f>
        <v>136.374876</v>
      </c>
      <c r="AB85" s="249">
        <v>0</v>
      </c>
      <c r="AC85" s="249">
        <v>0</v>
      </c>
      <c r="AD85" s="249">
        <v>0</v>
      </c>
      <c r="AE85" s="249">
        <f>+'P01 2024'!BX58</f>
        <v>6642.07791</v>
      </c>
      <c r="AF85" s="249">
        <v>0</v>
      </c>
      <c r="AG85" s="327">
        <f>+'P01 2024'!CM58</f>
        <v>2573.2064959999998</v>
      </c>
      <c r="AH85" s="249">
        <v>0</v>
      </c>
      <c r="AI85" s="175">
        <f>+'P01 2024'!DB58</f>
        <v>433.99299999999999</v>
      </c>
      <c r="AJ85" s="249">
        <v>0</v>
      </c>
      <c r="AK85" s="249">
        <f>'P01 2024'!EG50</f>
        <v>7548.3410000000003</v>
      </c>
      <c r="AL85" s="249">
        <f>+'P01 2024'!ET45</f>
        <v>1050.509</v>
      </c>
      <c r="AM85" s="253">
        <v>0</v>
      </c>
      <c r="AN85" s="1194"/>
      <c r="AO85" s="151"/>
      <c r="AP85" s="151"/>
      <c r="AQ85" s="151"/>
      <c r="AR85" s="151"/>
      <c r="AS85" s="151"/>
      <c r="AT85" s="151"/>
      <c r="AU85" s="151"/>
      <c r="AV85" s="151"/>
      <c r="AW85" s="1195"/>
      <c r="AX85" s="1196"/>
      <c r="AY85" s="148"/>
      <c r="AZ85" s="151"/>
      <c r="BA85" s="151"/>
      <c r="BB85" s="1172"/>
      <c r="BC85" s="151"/>
      <c r="BD85" s="151"/>
      <c r="BE85" s="1171"/>
      <c r="BF85" s="1171"/>
      <c r="BG85" s="1171"/>
      <c r="BH85" s="1171"/>
      <c r="BI85" s="151"/>
      <c r="BJ85" s="156"/>
      <c r="BK85" s="156"/>
      <c r="BL85" s="594"/>
      <c r="BM85" s="594"/>
      <c r="BN85" s="594"/>
      <c r="BO85" s="594"/>
      <c r="BP85" s="185"/>
      <c r="BQ85" s="156"/>
      <c r="BR85" s="594"/>
      <c r="BS85" s="594"/>
      <c r="BT85" s="594"/>
      <c r="BU85" s="594"/>
      <c r="BV85" s="156"/>
      <c r="BW85" s="158"/>
      <c r="BX85" s="185"/>
      <c r="BY85" s="185"/>
      <c r="BZ85" s="185"/>
      <c r="CA85" s="185"/>
      <c r="CB85" s="156"/>
      <c r="CC85" s="158"/>
      <c r="CD85" s="157"/>
      <c r="CE85" s="159"/>
      <c r="CF85" s="159"/>
    </row>
    <row r="86" spans="1:84" s="320" customFormat="1" ht="15" hidden="1" customHeight="1" x14ac:dyDescent="0.25">
      <c r="A86" s="329"/>
      <c r="B86" s="952" t="s">
        <v>363</v>
      </c>
      <c r="C86" s="955"/>
      <c r="D86" s="794"/>
      <c r="E86" s="933" t="s">
        <v>162</v>
      </c>
      <c r="F86" s="316"/>
      <c r="G86" s="315" t="str">
        <f>+CONCATENATE($C$80,"",$D$83,"",E86)</f>
        <v>22.02.003</v>
      </c>
      <c r="H86" s="501" t="s">
        <v>125</v>
      </c>
      <c r="I86" s="248">
        <f>+'P01 2025'!F67</f>
        <v>5000</v>
      </c>
      <c r="J86" s="319">
        <f>+'P01 2025'!DE70</f>
        <v>5000</v>
      </c>
      <c r="K86" s="317">
        <f ca="1">SUMIF(T$3:$AM75,"ok",T86:AM86)</f>
        <v>2956.377</v>
      </c>
      <c r="L86" s="379">
        <f t="shared" ca="1" si="12"/>
        <v>0.59127540000000001</v>
      </c>
      <c r="M86" s="317">
        <f>+'P01 2025'!DG70</f>
        <v>2956.377</v>
      </c>
      <c r="N86" s="379">
        <f t="shared" si="13"/>
        <v>0.59127540000000001</v>
      </c>
      <c r="O86" s="317">
        <f t="shared" si="14"/>
        <v>2043.623</v>
      </c>
      <c r="P86" s="445">
        <f t="shared" si="15"/>
        <v>0.40872459999999999</v>
      </c>
      <c r="Q86" s="249">
        <f>+'P01 2024'!DJ68</f>
        <v>11581.983174000001</v>
      </c>
      <c r="R86" s="311">
        <f ca="1">SUMIF(T$3:$AM75,"SI",T86:AM86)</f>
        <v>9445.6747739999992</v>
      </c>
      <c r="S86" s="379">
        <f t="shared" ca="1" si="16"/>
        <v>0.81554899813740644</v>
      </c>
      <c r="T86" s="326">
        <f>+'P01 2025'!G67</f>
        <v>0</v>
      </c>
      <c r="U86" s="468">
        <f>+'P01 2024'!K67</f>
        <v>0</v>
      </c>
      <c r="V86" s="468">
        <f>+'P01 2025'!N44</f>
        <v>1231.8240000000001</v>
      </c>
      <c r="W86" s="319">
        <f>+'P01 2024'!Q46</f>
        <v>5801.9904180000003</v>
      </c>
      <c r="X86" s="319">
        <f>+'P01 2025'!AC61</f>
        <v>61.591000000000001</v>
      </c>
      <c r="Y86" s="249">
        <v>0</v>
      </c>
      <c r="Z86" s="249">
        <v>0</v>
      </c>
      <c r="AA86" s="249">
        <v>0</v>
      </c>
      <c r="AB86" s="249">
        <f>'P01 2025'!BF43</f>
        <v>1662.962</v>
      </c>
      <c r="AC86" s="249">
        <v>0</v>
      </c>
      <c r="AD86" s="249">
        <v>0</v>
      </c>
      <c r="AE86" s="249">
        <f>+'P01 2024'!BX59</f>
        <v>1458.5916</v>
      </c>
      <c r="AF86" s="249">
        <v>0</v>
      </c>
      <c r="AG86" s="327">
        <f>+'P01 2024'!CM59</f>
        <v>2185.092756</v>
      </c>
      <c r="AH86" s="249">
        <v>0</v>
      </c>
      <c r="AI86" s="175">
        <v>0</v>
      </c>
      <c r="AJ86" s="249">
        <v>0</v>
      </c>
      <c r="AK86" s="249">
        <v>0</v>
      </c>
      <c r="AL86" s="175">
        <v>0</v>
      </c>
      <c r="AM86" s="253">
        <v>0</v>
      </c>
      <c r="AN86" s="1194"/>
      <c r="AO86" s="151"/>
      <c r="AP86" s="151"/>
      <c r="AQ86" s="151"/>
      <c r="AR86" s="151"/>
      <c r="AS86" s="151"/>
      <c r="AT86" s="151"/>
      <c r="AU86" s="151"/>
      <c r="AV86" s="151"/>
      <c r="AW86" s="1195"/>
      <c r="AX86" s="1196"/>
      <c r="AY86" s="148"/>
      <c r="AZ86" s="151"/>
      <c r="BA86" s="151"/>
      <c r="BB86" s="1172"/>
      <c r="BC86" s="151"/>
      <c r="BD86" s="151"/>
      <c r="BE86" s="1171"/>
      <c r="BF86" s="1171"/>
      <c r="BG86" s="1171"/>
      <c r="BH86" s="1171"/>
      <c r="BI86" s="151"/>
      <c r="BJ86" s="156"/>
      <c r="BK86" s="156"/>
      <c r="BL86" s="594"/>
      <c r="BM86" s="594"/>
      <c r="BN86" s="594"/>
      <c r="BO86" s="594"/>
      <c r="BP86" s="185"/>
      <c r="BQ86" s="156"/>
      <c r="BR86" s="594"/>
      <c r="BS86" s="594"/>
      <c r="BT86" s="594"/>
      <c r="BU86" s="594"/>
      <c r="BV86" s="156"/>
      <c r="BW86" s="158"/>
      <c r="BX86" s="185"/>
      <c r="BY86" s="185"/>
      <c r="BZ86" s="185"/>
      <c r="CA86" s="185"/>
      <c r="CB86" s="156"/>
      <c r="CC86" s="158"/>
      <c r="CD86" s="157"/>
      <c r="CE86" s="159"/>
      <c r="CF86" s="159"/>
    </row>
    <row r="87" spans="1:84" s="308" customFormat="1" ht="15" hidden="1" customHeight="1" x14ac:dyDescent="0.25">
      <c r="A87" s="84"/>
      <c r="B87" s="169" t="s">
        <v>476</v>
      </c>
      <c r="C87" s="508"/>
      <c r="D87" s="172" t="s">
        <v>163</v>
      </c>
      <c r="E87" s="309"/>
      <c r="F87" s="309"/>
      <c r="G87" s="309"/>
      <c r="H87" s="502" t="s">
        <v>46</v>
      </c>
      <c r="I87" s="381">
        <f>+'P01 2025'!F68</f>
        <v>0</v>
      </c>
      <c r="J87" s="323">
        <f>+'P01 2025'!DE71</f>
        <v>30000</v>
      </c>
      <c r="K87" s="381">
        <f ca="1">SUMIF(T$3:$AM76,"ok",T87:AM87)</f>
        <v>0</v>
      </c>
      <c r="L87" s="378">
        <f t="shared" ca="1" si="12"/>
        <v>0</v>
      </c>
      <c r="M87" s="306">
        <f>+'P01 2025'!DG71</f>
        <v>30000</v>
      </c>
      <c r="N87" s="378">
        <f t="shared" si="13"/>
        <v>1</v>
      </c>
      <c r="O87" s="306">
        <f t="shared" si="14"/>
        <v>0</v>
      </c>
      <c r="P87" s="443">
        <f t="shared" si="15"/>
        <v>0</v>
      </c>
      <c r="Q87" s="86">
        <f>+'P01 2024'!DJ69</f>
        <v>31260</v>
      </c>
      <c r="R87" s="321">
        <f ca="1">SUMIF(T$3:$AM76,"SI",T87:AM87)</f>
        <v>31260</v>
      </c>
      <c r="S87" s="378">
        <f t="shared" ca="1" si="16"/>
        <v>1</v>
      </c>
      <c r="T87" s="509">
        <f>+'P01 2025'!G68</f>
        <v>0</v>
      </c>
      <c r="U87" s="467">
        <f>+'P01 2024'!K68</f>
        <v>0</v>
      </c>
      <c r="V87" s="467">
        <v>0</v>
      </c>
      <c r="W87" s="307">
        <v>0</v>
      </c>
      <c r="X87" s="307">
        <v>0</v>
      </c>
      <c r="Y87" s="86">
        <v>0</v>
      </c>
      <c r="Z87" s="86">
        <v>0</v>
      </c>
      <c r="AA87" s="155">
        <v>0</v>
      </c>
      <c r="AB87" s="155">
        <f>AB88</f>
        <v>0</v>
      </c>
      <c r="AC87" s="155">
        <v>0</v>
      </c>
      <c r="AD87" s="155">
        <v>0</v>
      </c>
      <c r="AE87" s="155">
        <f>+'P01 2024'!BX60</f>
        <v>31260</v>
      </c>
      <c r="AF87" s="155">
        <v>0</v>
      </c>
      <c r="AG87" s="155">
        <v>0</v>
      </c>
      <c r="AH87" s="155">
        <v>0</v>
      </c>
      <c r="AI87" s="86">
        <v>0</v>
      </c>
      <c r="AJ87" s="155">
        <v>0</v>
      </c>
      <c r="AK87" s="155">
        <f>SUM(AK88)</f>
        <v>0</v>
      </c>
      <c r="AL87" s="155">
        <f>+'P01 2024'!ET46</f>
        <v>30000</v>
      </c>
      <c r="AM87" s="155">
        <v>0</v>
      </c>
      <c r="AN87" s="1194"/>
      <c r="AO87" s="151"/>
      <c r="AP87" s="151"/>
      <c r="AQ87" s="151"/>
      <c r="AR87" s="151"/>
      <c r="AS87" s="151"/>
      <c r="AT87" s="151"/>
      <c r="AU87" s="151"/>
      <c r="AV87" s="151"/>
      <c r="AW87" s="1195"/>
      <c r="AX87" s="1196"/>
      <c r="AY87" s="148"/>
      <c r="AZ87" s="151"/>
      <c r="BA87" s="151"/>
      <c r="BB87" s="1172"/>
      <c r="BC87" s="151"/>
      <c r="BD87" s="151"/>
      <c r="BE87" s="1171"/>
      <c r="BF87" s="1171"/>
      <c r="BG87" s="1171"/>
      <c r="BH87" s="1171"/>
      <c r="BI87" s="1171"/>
      <c r="BJ87" s="932"/>
      <c r="BK87" s="156"/>
      <c r="BL87" s="594"/>
      <c r="BM87" s="594"/>
      <c r="BN87" s="594"/>
      <c r="BO87" s="594"/>
      <c r="BP87" s="185"/>
      <c r="BQ87" s="156"/>
      <c r="BR87" s="594"/>
      <c r="BS87" s="594"/>
      <c r="BT87" s="594"/>
      <c r="BU87" s="594"/>
      <c r="BV87" s="156"/>
      <c r="BW87" s="158"/>
      <c r="BX87" s="185"/>
      <c r="BY87" s="185"/>
      <c r="BZ87" s="185"/>
      <c r="CA87" s="185"/>
      <c r="CB87" s="151"/>
      <c r="CC87" s="148"/>
      <c r="CD87" s="123"/>
      <c r="CE87" s="152"/>
      <c r="CF87" s="152"/>
    </row>
    <row r="88" spans="1:84" s="320" customFormat="1" ht="15" hidden="1" customHeight="1" x14ac:dyDescent="0.25">
      <c r="A88" s="329"/>
      <c r="B88" s="952" t="s">
        <v>477</v>
      </c>
      <c r="C88" s="955"/>
      <c r="D88" s="794"/>
      <c r="E88" s="933" t="s">
        <v>165</v>
      </c>
      <c r="F88" s="316"/>
      <c r="G88" s="315" t="str">
        <f>+CONCATENATE($C$80,"",$D$87,"",E88)</f>
        <v>22.03.001</v>
      </c>
      <c r="H88" s="501" t="s">
        <v>103</v>
      </c>
      <c r="I88" s="248">
        <f>+'P01 2025'!F69</f>
        <v>0</v>
      </c>
      <c r="J88" s="319">
        <f>+'P01 2025'!DE72</f>
        <v>30000</v>
      </c>
      <c r="K88" s="317">
        <f ca="1">SUMIF(T$3:$AM77,"ok",T88:AM88)</f>
        <v>0</v>
      </c>
      <c r="L88" s="379">
        <f t="shared" ca="1" si="12"/>
        <v>0</v>
      </c>
      <c r="M88" s="317">
        <f>+'P01 2025'!DG72</f>
        <v>30000</v>
      </c>
      <c r="N88" s="379">
        <f t="shared" si="13"/>
        <v>1</v>
      </c>
      <c r="O88" s="317">
        <f t="shared" si="14"/>
        <v>0</v>
      </c>
      <c r="P88" s="445">
        <f t="shared" si="15"/>
        <v>0</v>
      </c>
      <c r="Q88" s="249">
        <f>+'P01 2024'!DJ70</f>
        <v>31260</v>
      </c>
      <c r="R88" s="311">
        <f ca="1">SUMIF(T$3:$AM77,"SI",T88:AM88)</f>
        <v>31260</v>
      </c>
      <c r="S88" s="379">
        <f t="shared" ca="1" si="16"/>
        <v>1</v>
      </c>
      <c r="T88" s="326">
        <f>+'P01 2025'!G69</f>
        <v>0</v>
      </c>
      <c r="U88" s="468">
        <f>+'P01 2024'!K69</f>
        <v>0</v>
      </c>
      <c r="V88" s="468">
        <v>0</v>
      </c>
      <c r="W88" s="319">
        <v>0</v>
      </c>
      <c r="X88" s="319">
        <v>0</v>
      </c>
      <c r="Y88" s="249">
        <v>0</v>
      </c>
      <c r="Z88" s="249">
        <v>0</v>
      </c>
      <c r="AA88" s="249"/>
      <c r="AB88" s="249">
        <v>0</v>
      </c>
      <c r="AC88" s="249">
        <v>0</v>
      </c>
      <c r="AD88" s="249">
        <v>0</v>
      </c>
      <c r="AE88" s="249">
        <f>+'P01 2024'!BX61</f>
        <v>31260</v>
      </c>
      <c r="AF88" s="249">
        <v>0</v>
      </c>
      <c r="AG88" s="249">
        <v>0</v>
      </c>
      <c r="AH88" s="249">
        <v>0</v>
      </c>
      <c r="AI88" s="175">
        <v>0</v>
      </c>
      <c r="AJ88" s="249">
        <v>0</v>
      </c>
      <c r="AK88" s="249">
        <v>0</v>
      </c>
      <c r="AL88" s="249">
        <f>+'P01 2024'!ET47</f>
        <v>30000</v>
      </c>
      <c r="AM88" s="253">
        <v>0</v>
      </c>
      <c r="AN88" s="1194"/>
      <c r="AO88" s="151"/>
      <c r="AP88" s="151"/>
      <c r="AQ88" s="151"/>
      <c r="AR88" s="151"/>
      <c r="AS88" s="151"/>
      <c r="AT88" s="151"/>
      <c r="AU88" s="151"/>
      <c r="AV88" s="151"/>
      <c r="AW88" s="1195"/>
      <c r="AX88" s="1196"/>
      <c r="AY88" s="148"/>
      <c r="AZ88" s="151"/>
      <c r="BA88" s="151"/>
      <c r="BB88" s="1172"/>
      <c r="BC88" s="151"/>
      <c r="BD88" s="151"/>
      <c r="BE88" s="1171"/>
      <c r="BF88" s="1171"/>
      <c r="BG88" s="1171"/>
      <c r="BH88" s="1171"/>
      <c r="BI88" s="151"/>
      <c r="BJ88" s="156"/>
      <c r="BK88" s="156"/>
      <c r="BL88" s="594"/>
      <c r="BM88" s="594"/>
      <c r="BN88" s="594"/>
      <c r="BO88" s="594"/>
      <c r="BP88" s="185"/>
      <c r="BQ88" s="156"/>
      <c r="BR88" s="594"/>
      <c r="BS88" s="594"/>
      <c r="BT88" s="594"/>
      <c r="BU88" s="594"/>
      <c r="BV88" s="156"/>
      <c r="BW88" s="158"/>
      <c r="BX88" s="185"/>
      <c r="BY88" s="185"/>
      <c r="BZ88" s="185"/>
      <c r="CA88" s="185"/>
      <c r="CB88" s="156"/>
      <c r="CC88" s="158"/>
      <c r="CD88" s="157"/>
      <c r="CE88" s="159"/>
      <c r="CF88" s="159"/>
    </row>
    <row r="89" spans="1:84" s="308" customFormat="1" ht="15" hidden="1" customHeight="1" x14ac:dyDescent="0.25">
      <c r="A89" s="84"/>
      <c r="B89" s="169" t="s">
        <v>364</v>
      </c>
      <c r="C89" s="508"/>
      <c r="D89" s="172" t="s">
        <v>164</v>
      </c>
      <c r="E89" s="309"/>
      <c r="F89" s="309"/>
      <c r="G89" s="309"/>
      <c r="H89" s="502" t="s">
        <v>47</v>
      </c>
      <c r="I89" s="381">
        <f>+'P01 2025'!F70</f>
        <v>35764.203999999998</v>
      </c>
      <c r="J89" s="313">
        <f>+'P01 2025'!DE73</f>
        <v>46411.24</v>
      </c>
      <c r="K89" s="381">
        <f ca="1">SUMIF(T$3:$AM78,"ok",T89:AM89)</f>
        <v>36304.665999999997</v>
      </c>
      <c r="L89" s="378">
        <f ca="1">IFERROR(K89/J89,0)</f>
        <v>0.78223865598074949</v>
      </c>
      <c r="M89" s="313">
        <f>+'P01 2025'!DG73</f>
        <v>45296.349000000002</v>
      </c>
      <c r="N89" s="378">
        <f t="shared" si="13"/>
        <v>0.97597799584755773</v>
      </c>
      <c r="O89" s="306">
        <f t="shared" si="14"/>
        <v>1114.890999999996</v>
      </c>
      <c r="P89" s="443">
        <f t="shared" si="15"/>
        <v>2.4022004152442298E-2</v>
      </c>
      <c r="Q89" s="86">
        <f>+'P01 2024'!DJ71</f>
        <v>61716.733661999999</v>
      </c>
      <c r="R89" s="381">
        <f ca="1">+SUM(R90:R102)</f>
        <v>43938.102570000003</v>
      </c>
      <c r="S89" s="378">
        <f t="shared" ca="1" si="16"/>
        <v>0.71193175599073244</v>
      </c>
      <c r="T89" s="509">
        <f>+'P01 2025'!G70</f>
        <v>921.99199999999996</v>
      </c>
      <c r="U89" s="467">
        <f>+'P01 2024'!K70</f>
        <v>1306.992062</v>
      </c>
      <c r="V89" s="467">
        <f>+'P01 2025'!N45</f>
        <v>10958.432000000001</v>
      </c>
      <c r="W89" s="155">
        <f>+'P01 2024'!Q47</f>
        <v>4404.1286620000001</v>
      </c>
      <c r="X89" s="155">
        <f>+'P01 2025'!AC62</f>
        <v>2531.116</v>
      </c>
      <c r="Y89" s="86">
        <f>+'P01 2024'!AE57</f>
        <v>8282.2421780000004</v>
      </c>
      <c r="Z89" s="86">
        <f>+'P01 2025'!AR52</f>
        <v>727.57799999999997</v>
      </c>
      <c r="AA89" s="155">
        <f>+'P01 2024'!AT50</f>
        <v>2893.9893219999999</v>
      </c>
      <c r="AB89" s="155">
        <f>SUM(AB90:AB102)</f>
        <v>13631.912</v>
      </c>
      <c r="AC89" s="155">
        <f>+'P01 2024'!BI44</f>
        <v>2979.5166819999999</v>
      </c>
      <c r="AD89" s="155">
        <f>+'P01 2025'!BU56</f>
        <v>2232.7930000000001</v>
      </c>
      <c r="AE89" s="155">
        <f>+'P01 2024'!BX62</f>
        <v>4416.6045279999998</v>
      </c>
      <c r="AF89" s="155">
        <f>+'P01 2025'!CI43</f>
        <v>4810.8429999999998</v>
      </c>
      <c r="AG89" s="155">
        <f>+'P01 2024'!CM60</f>
        <v>8709.2016779999994</v>
      </c>
      <c r="AH89" s="155">
        <f>+'P01 2025'!CX46</f>
        <v>490</v>
      </c>
      <c r="AI89" s="86">
        <f>+'P01 2024'!DB59</f>
        <v>10945.427458</v>
      </c>
      <c r="AJ89" s="155">
        <f>+'P01 2024'!DR57</f>
        <v>1835.2950000000001</v>
      </c>
      <c r="AK89" s="155">
        <f>SUM(AK90:AK102)</f>
        <v>2416.373</v>
      </c>
      <c r="AL89" s="155">
        <f>+'P01 2024'!ET48</f>
        <v>14626.727000000001</v>
      </c>
      <c r="AM89" s="155">
        <f>+'P01 2024'!FL62</f>
        <v>21562.241000000002</v>
      </c>
      <c r="AN89" s="1194"/>
      <c r="AO89" s="151"/>
      <c r="AP89" s="151"/>
      <c r="AQ89" s="151"/>
      <c r="AR89" s="151"/>
      <c r="AS89" s="151"/>
      <c r="AT89" s="151"/>
      <c r="AU89" s="151"/>
      <c r="AV89" s="151"/>
      <c r="AW89" s="1195"/>
      <c r="AX89" s="1196"/>
      <c r="AY89" s="148"/>
      <c r="AZ89" s="151"/>
      <c r="BA89" s="151"/>
      <c r="BB89" s="1172"/>
      <c r="BC89" s="151"/>
      <c r="BD89" s="151"/>
      <c r="BE89" s="1171"/>
      <c r="BF89" s="1171"/>
      <c r="BG89" s="1171"/>
      <c r="BH89" s="1171"/>
      <c r="BI89" s="1171"/>
      <c r="BJ89" s="932"/>
      <c r="BK89" s="156"/>
      <c r="BL89" s="594"/>
      <c r="BM89" s="594"/>
      <c r="BN89" s="594"/>
      <c r="BO89" s="594"/>
      <c r="BP89" s="185"/>
      <c r="BQ89" s="156"/>
      <c r="BR89" s="594"/>
      <c r="BS89" s="594"/>
      <c r="BT89" s="594"/>
      <c r="BU89" s="594"/>
      <c r="BV89" s="156"/>
      <c r="BW89" s="158"/>
      <c r="BX89" s="185"/>
      <c r="BY89" s="185"/>
      <c r="BZ89" s="185"/>
      <c r="CA89" s="185"/>
      <c r="CB89" s="151"/>
      <c r="CC89" s="148"/>
      <c r="CD89" s="123"/>
      <c r="CE89" s="152"/>
      <c r="CF89" s="152"/>
    </row>
    <row r="90" spans="1:84" s="320" customFormat="1" ht="15" hidden="1" customHeight="1" x14ac:dyDescent="0.25">
      <c r="A90" s="329"/>
      <c r="B90" s="952" t="s">
        <v>365</v>
      </c>
      <c r="C90" s="955"/>
      <c r="D90" s="794"/>
      <c r="E90" s="933" t="s">
        <v>165</v>
      </c>
      <c r="F90" s="316"/>
      <c r="G90" s="315" t="str">
        <f>+CONCATENATE($C$80,"",$D$89,"",E90)</f>
        <v>22.04.001</v>
      </c>
      <c r="H90" s="501" t="s">
        <v>104</v>
      </c>
      <c r="I90" s="248">
        <f>+'P01 2025'!F71</f>
        <v>10321.700000000001</v>
      </c>
      <c r="J90" s="319">
        <f>+'P01 2025'!DE74</f>
        <v>4356.4859999999999</v>
      </c>
      <c r="K90" s="317">
        <f ca="1">SUMIF(T$3:$AM80,"ok",T90:AM90)</f>
        <v>3944.7460000000001</v>
      </c>
      <c r="L90" s="379">
        <f t="shared" ref="L90:L144" ca="1" si="18">IFERROR(K90/J90,0)</f>
        <v>0.90548804701771113</v>
      </c>
      <c r="M90" s="317">
        <f>+'P01 2025'!DG74</f>
        <v>4356.4859999999999</v>
      </c>
      <c r="N90" s="379">
        <f t="shared" si="13"/>
        <v>1</v>
      </c>
      <c r="O90" s="317">
        <f t="shared" si="14"/>
        <v>0</v>
      </c>
      <c r="P90" s="445">
        <f t="shared" si="15"/>
        <v>0</v>
      </c>
      <c r="Q90" s="249">
        <f>+'P01 2024'!DJ72</f>
        <v>5865.9765120000002</v>
      </c>
      <c r="R90" s="311">
        <f ca="1">SUMIF(T$3:$AM77,"SI",T90:AM90)</f>
        <v>4531.3818700000002</v>
      </c>
      <c r="S90" s="379">
        <f t="shared" ca="1" si="16"/>
        <v>0.77248551212746486</v>
      </c>
      <c r="T90" s="326">
        <f>+'P01 2025'!G71</f>
        <v>70.001000000000005</v>
      </c>
      <c r="U90" s="468">
        <f>+'P01 2024'!K71</f>
        <v>1234.052062</v>
      </c>
      <c r="V90" s="468">
        <f>+'P01 2025'!N46</f>
        <v>3272.4769999999999</v>
      </c>
      <c r="W90" s="326">
        <f>+'P01 2024'!Q48</f>
        <v>434.29101200000002</v>
      </c>
      <c r="X90" s="326">
        <v>0</v>
      </c>
      <c r="Y90" s="249">
        <v>0</v>
      </c>
      <c r="Z90" s="249">
        <f>+'P01 2025'!AR53</f>
        <v>123.008</v>
      </c>
      <c r="AA90" s="249">
        <v>0</v>
      </c>
      <c r="AB90" s="249">
        <f>'P01 2025'!BF45</f>
        <v>456.96</v>
      </c>
      <c r="AC90" s="249">
        <f>+'P01 2024'!BI45</f>
        <v>48.054956000000004</v>
      </c>
      <c r="AD90" s="249">
        <f>+'P01 2025'!BU57</f>
        <v>22.3</v>
      </c>
      <c r="AE90" s="249">
        <v>0</v>
      </c>
      <c r="AF90" s="249">
        <v>0</v>
      </c>
      <c r="AG90" s="327">
        <f>+'P01 2024'!CM61</f>
        <v>3678.8841580000003</v>
      </c>
      <c r="AH90" s="249">
        <v>0</v>
      </c>
      <c r="AI90" s="175">
        <f>+'P01 2024'!DB60</f>
        <v>-863.90031799999997</v>
      </c>
      <c r="AJ90" s="249">
        <f>+'P01 2024'!DR58</f>
        <v>105.98099999999999</v>
      </c>
      <c r="AK90" s="249">
        <v>0</v>
      </c>
      <c r="AL90" s="249">
        <f>+'P01 2024'!ET49</f>
        <v>7874.4740000000002</v>
      </c>
      <c r="AM90" s="249">
        <f>+'P01 2024'!FL63</f>
        <v>1444.9690000000001</v>
      </c>
      <c r="AN90" s="1194"/>
      <c r="AO90" s="151"/>
      <c r="AP90" s="151"/>
      <c r="AQ90" s="151"/>
      <c r="AR90" s="151"/>
      <c r="AS90" s="151"/>
      <c r="AT90" s="151"/>
      <c r="AU90" s="151"/>
      <c r="AV90" s="151"/>
      <c r="AW90" s="1195"/>
      <c r="AX90" s="1196"/>
      <c r="AY90" s="148"/>
      <c r="AZ90" s="151"/>
      <c r="BA90" s="151"/>
      <c r="BB90" s="1172"/>
      <c r="BC90" s="151"/>
      <c r="BD90" s="151"/>
      <c r="BE90" s="1171"/>
      <c r="BF90" s="1171"/>
      <c r="BG90" s="1171"/>
      <c r="BH90" s="1171"/>
      <c r="BI90" s="151"/>
      <c r="BJ90" s="156"/>
      <c r="BK90" s="156"/>
      <c r="BL90" s="594"/>
      <c r="BM90" s="594"/>
      <c r="BN90" s="594"/>
      <c r="BO90" s="594"/>
      <c r="BP90" s="185"/>
      <c r="BQ90" s="156"/>
      <c r="BR90" s="594"/>
      <c r="BS90" s="594"/>
      <c r="BT90" s="594"/>
      <c r="BU90" s="594"/>
      <c r="BV90" s="156"/>
      <c r="BW90" s="158"/>
      <c r="BX90" s="185"/>
      <c r="BY90" s="185"/>
      <c r="BZ90" s="185"/>
      <c r="CA90" s="185"/>
      <c r="CB90" s="156"/>
      <c r="CC90" s="158"/>
      <c r="CD90" s="157"/>
      <c r="CE90" s="159"/>
      <c r="CF90" s="159"/>
    </row>
    <row r="91" spans="1:84" s="320" customFormat="1" ht="15" hidden="1" customHeight="1" x14ac:dyDescent="0.25">
      <c r="A91" s="329"/>
      <c r="B91" s="952" t="s">
        <v>982</v>
      </c>
      <c r="C91" s="955"/>
      <c r="D91" s="794"/>
      <c r="E91" s="933"/>
      <c r="F91" s="316"/>
      <c r="G91" s="315" t="s">
        <v>1012</v>
      </c>
      <c r="H91" s="501" t="s">
        <v>986</v>
      </c>
      <c r="I91" s="248">
        <f>+'P01 2025'!F72</f>
        <v>427.21100000000001</v>
      </c>
      <c r="J91" s="330">
        <f>+'P01 2025'!DE75</f>
        <v>427.21100000000001</v>
      </c>
      <c r="K91" s="317">
        <f ca="1">SUMIF(T$3:$AM83,"ok",T91:AM91)</f>
        <v>427.21100000000001</v>
      </c>
      <c r="L91" s="379">
        <f t="shared" ca="1" si="18"/>
        <v>1</v>
      </c>
      <c r="M91" s="317">
        <f>+'P01 2025'!DG75</f>
        <v>427.21100000000001</v>
      </c>
      <c r="N91" s="379">
        <f t="shared" si="13"/>
        <v>1</v>
      </c>
      <c r="O91" s="317">
        <f t="shared" si="14"/>
        <v>0</v>
      </c>
      <c r="P91" s="445">
        <f t="shared" si="15"/>
        <v>0</v>
      </c>
      <c r="Q91" s="249">
        <v>0</v>
      </c>
      <c r="R91" s="311">
        <f ca="1">SUMIF(T$3:$AM78,"SI",T91:AM91)</f>
        <v>0</v>
      </c>
      <c r="S91" s="379" t="str">
        <f t="shared" ca="1" si="16"/>
        <v>0,00%</v>
      </c>
      <c r="T91" s="326">
        <f>+'P01 2025'!G72</f>
        <v>427.21100000000001</v>
      </c>
      <c r="U91" s="468">
        <v>0</v>
      </c>
      <c r="V91" s="468">
        <v>0</v>
      </c>
      <c r="W91" s="326"/>
      <c r="X91" s="326">
        <v>0</v>
      </c>
      <c r="Y91" s="249"/>
      <c r="Z91" s="249">
        <v>0</v>
      </c>
      <c r="AA91" s="249"/>
      <c r="AB91" s="249">
        <v>0</v>
      </c>
      <c r="AC91" s="249">
        <v>0</v>
      </c>
      <c r="AD91" s="249">
        <v>0</v>
      </c>
      <c r="AE91" s="249"/>
      <c r="AF91" s="249">
        <v>0</v>
      </c>
      <c r="AG91" s="327"/>
      <c r="AH91" s="249">
        <v>0</v>
      </c>
      <c r="AI91" s="175"/>
      <c r="AJ91" s="249"/>
      <c r="AK91" s="249"/>
      <c r="AL91" s="249"/>
      <c r="AM91" s="249"/>
      <c r="AN91" s="1194"/>
      <c r="AO91" s="151"/>
      <c r="AP91" s="151"/>
      <c r="AQ91" s="151"/>
      <c r="AR91" s="151"/>
      <c r="AS91" s="151"/>
      <c r="AT91" s="151"/>
      <c r="AU91" s="151"/>
      <c r="AV91" s="151"/>
      <c r="AW91" s="1195"/>
      <c r="AX91" s="1196"/>
      <c r="AY91" s="148"/>
      <c r="AZ91" s="151"/>
      <c r="BA91" s="151"/>
      <c r="BB91" s="1172"/>
      <c r="BC91" s="151"/>
      <c r="BD91" s="151"/>
      <c r="BE91" s="1171"/>
      <c r="BF91" s="1171"/>
      <c r="BG91" s="1171"/>
      <c r="BH91" s="1171"/>
      <c r="BI91" s="151"/>
      <c r="BJ91" s="156"/>
      <c r="BK91" s="156"/>
      <c r="BL91" s="594"/>
      <c r="BM91" s="594"/>
      <c r="BN91" s="594"/>
      <c r="BO91" s="594"/>
      <c r="BP91" s="185"/>
      <c r="BQ91" s="156"/>
      <c r="BR91" s="594"/>
      <c r="BS91" s="594"/>
      <c r="BT91" s="594"/>
      <c r="BU91" s="594"/>
      <c r="BV91" s="156"/>
      <c r="BW91" s="158"/>
      <c r="BX91" s="185"/>
      <c r="BY91" s="185"/>
      <c r="BZ91" s="185"/>
      <c r="CA91" s="185"/>
      <c r="CB91" s="156"/>
      <c r="CC91" s="158"/>
      <c r="CD91" s="157"/>
      <c r="CE91" s="159"/>
      <c r="CF91" s="159"/>
    </row>
    <row r="92" spans="1:84" s="320" customFormat="1" ht="15" hidden="1" customHeight="1" x14ac:dyDescent="0.25">
      <c r="A92" s="329"/>
      <c r="B92" s="952" t="s">
        <v>366</v>
      </c>
      <c r="C92" s="955"/>
      <c r="D92" s="794"/>
      <c r="E92" s="933" t="s">
        <v>162</v>
      </c>
      <c r="F92" s="316"/>
      <c r="G92" s="315" t="str">
        <f>+CONCATENATE($C$80,"",$D$89,"",E92)</f>
        <v>22.04.003</v>
      </c>
      <c r="H92" s="501" t="s">
        <v>203</v>
      </c>
      <c r="I92" s="246">
        <v>0</v>
      </c>
      <c r="J92" s="330">
        <f>+'P01 2025'!DE76</f>
        <v>207.214</v>
      </c>
      <c r="K92" s="317">
        <f ca="1">SUMIF(T$3:$AM83,"ok",T92:AM92)</f>
        <v>207.214</v>
      </c>
      <c r="L92" s="379">
        <f t="shared" ca="1" si="18"/>
        <v>1</v>
      </c>
      <c r="M92" s="317">
        <f>+'P01 2025'!DG76</f>
        <v>207.214</v>
      </c>
      <c r="N92" s="379">
        <f t="shared" si="13"/>
        <v>1</v>
      </c>
      <c r="O92" s="317">
        <f t="shared" si="14"/>
        <v>0</v>
      </c>
      <c r="P92" s="445">
        <f t="shared" si="15"/>
        <v>0</v>
      </c>
      <c r="Q92" s="249">
        <f>+'P01 2024'!DJ73</f>
        <v>165.72488999999999</v>
      </c>
      <c r="R92" s="311">
        <f ca="1">SUMIF(T$3:$AM78,"SI",T92:AM92)</f>
        <v>165.71968000000001</v>
      </c>
      <c r="S92" s="379">
        <f t="shared" ca="1" si="16"/>
        <v>0.99996856235656584</v>
      </c>
      <c r="T92" s="326">
        <v>0</v>
      </c>
      <c r="U92" s="468">
        <v>0</v>
      </c>
      <c r="V92" s="468">
        <v>0</v>
      </c>
      <c r="W92" s="319">
        <v>0</v>
      </c>
      <c r="X92" s="319">
        <v>0</v>
      </c>
      <c r="Y92" s="249">
        <v>0</v>
      </c>
      <c r="Z92" s="249">
        <f>+'P01 2025'!AR54</f>
        <v>176.274</v>
      </c>
      <c r="AA92" s="249">
        <v>0</v>
      </c>
      <c r="AB92" s="249">
        <f>'P01 2025'!BF46</f>
        <v>30.94</v>
      </c>
      <c r="AC92" s="249">
        <f>+'P01 2024'!BI46</f>
        <v>165.71968000000001</v>
      </c>
      <c r="AD92" s="249">
        <v>0</v>
      </c>
      <c r="AE92" s="249">
        <v>0</v>
      </c>
      <c r="AF92" s="249">
        <v>0</v>
      </c>
      <c r="AG92" s="327">
        <v>0</v>
      </c>
      <c r="AH92" s="249">
        <v>0</v>
      </c>
      <c r="AI92" s="175">
        <v>0</v>
      </c>
      <c r="AJ92" s="249">
        <v>0</v>
      </c>
      <c r="AK92" s="249">
        <v>0</v>
      </c>
      <c r="AL92" s="249">
        <v>0</v>
      </c>
      <c r="AM92" s="249">
        <v>0</v>
      </c>
      <c r="AN92" s="1194"/>
      <c r="AO92" s="151"/>
      <c r="AP92" s="151"/>
      <c r="AQ92" s="151"/>
      <c r="AR92" s="151"/>
      <c r="AS92" s="151"/>
      <c r="AT92" s="151"/>
      <c r="AU92" s="151"/>
      <c r="AV92" s="151"/>
      <c r="AW92" s="1195"/>
      <c r="AX92" s="1196"/>
      <c r="AY92" s="148"/>
      <c r="AZ92" s="151"/>
      <c r="BA92" s="151"/>
      <c r="BB92" s="1172"/>
      <c r="BC92" s="151"/>
      <c r="BD92" s="151"/>
      <c r="BE92" s="1171"/>
      <c r="BF92" s="1171"/>
      <c r="BG92" s="1171"/>
      <c r="BH92" s="1171"/>
      <c r="BI92" s="151"/>
      <c r="BJ92" s="156"/>
      <c r="BK92" s="156"/>
      <c r="BL92" s="594"/>
      <c r="BM92" s="594"/>
      <c r="BN92" s="594"/>
      <c r="BO92" s="594"/>
      <c r="BP92" s="185"/>
      <c r="BQ92" s="156"/>
      <c r="BR92" s="594"/>
      <c r="BS92" s="594"/>
      <c r="BT92" s="594"/>
      <c r="BU92" s="594"/>
      <c r="BV92" s="156"/>
      <c r="BW92" s="158"/>
      <c r="BX92" s="185"/>
      <c r="BY92" s="185"/>
      <c r="BZ92" s="185"/>
      <c r="CA92" s="185"/>
      <c r="CB92" s="156"/>
      <c r="CC92" s="158"/>
      <c r="CD92" s="157"/>
      <c r="CE92" s="159"/>
      <c r="CF92" s="159"/>
    </row>
    <row r="93" spans="1:84" s="320" customFormat="1" ht="15" hidden="1" customHeight="1" x14ac:dyDescent="0.25">
      <c r="A93" s="329"/>
      <c r="B93" s="952" t="s">
        <v>746</v>
      </c>
      <c r="C93" s="955"/>
      <c r="D93" s="794"/>
      <c r="E93" s="933" t="s">
        <v>175</v>
      </c>
      <c r="F93" s="316"/>
      <c r="G93" s="315" t="s">
        <v>747</v>
      </c>
      <c r="H93" s="501" t="s">
        <v>748</v>
      </c>
      <c r="I93" s="248">
        <f>+'P01 2025'!F73</f>
        <v>1013.077</v>
      </c>
      <c r="J93" s="330">
        <f>+'P01 2025'!DE77</f>
        <v>187.90100000000001</v>
      </c>
      <c r="K93" s="317">
        <f ca="1">SUMIF(T$3:$AM84,"ok",T93:AM93)</f>
        <v>187.90100000000001</v>
      </c>
      <c r="L93" s="379">
        <f t="shared" ca="1" si="18"/>
        <v>1</v>
      </c>
      <c r="M93" s="317">
        <f>+'P01 2025'!DG77</f>
        <v>187.90100000000001</v>
      </c>
      <c r="N93" s="379">
        <f t="shared" si="13"/>
        <v>1</v>
      </c>
      <c r="O93" s="317">
        <f t="shared" si="14"/>
        <v>0</v>
      </c>
      <c r="P93" s="445">
        <f t="shared" si="15"/>
        <v>0</v>
      </c>
      <c r="Q93" s="249">
        <f>+'P01 2024'!DJ74</f>
        <v>327.35472000000004</v>
      </c>
      <c r="R93" s="311">
        <f ca="1">SUMIF(T$3:$AM80,"SI",T93:AM93)</f>
        <v>327.35472000000004</v>
      </c>
      <c r="S93" s="379">
        <f t="shared" ca="1" si="16"/>
        <v>1</v>
      </c>
      <c r="T93" s="326">
        <f>+'P01 2025'!G73</f>
        <v>0</v>
      </c>
      <c r="U93" s="468">
        <f>+'P01 2024'!K72</f>
        <v>0</v>
      </c>
      <c r="V93" s="468">
        <v>0</v>
      </c>
      <c r="W93" s="319">
        <f>+'P01 2024'!Q49</f>
        <v>327.35472000000004</v>
      </c>
      <c r="X93" s="319">
        <v>0</v>
      </c>
      <c r="Y93" s="249">
        <v>0</v>
      </c>
      <c r="Z93" s="249">
        <v>0</v>
      </c>
      <c r="AA93" s="249">
        <v>0</v>
      </c>
      <c r="AB93" s="249">
        <v>0</v>
      </c>
      <c r="AC93" s="249">
        <v>0</v>
      </c>
      <c r="AD93" s="249">
        <v>0</v>
      </c>
      <c r="AE93" s="249">
        <v>0</v>
      </c>
      <c r="AF93" s="249">
        <f>+'P01 2025'!CI44</f>
        <v>187.90100000000001</v>
      </c>
      <c r="AG93" s="249">
        <v>0</v>
      </c>
      <c r="AH93" s="249">
        <v>0</v>
      </c>
      <c r="AI93" s="175">
        <v>0</v>
      </c>
      <c r="AJ93" s="249">
        <v>0</v>
      </c>
      <c r="AK93" s="249">
        <v>0</v>
      </c>
      <c r="AL93" s="249">
        <v>0</v>
      </c>
      <c r="AM93" s="249">
        <f>+'P01 2024'!FL64</f>
        <v>655.57100000000003</v>
      </c>
      <c r="AN93" s="1194"/>
      <c r="AO93" s="151"/>
      <c r="AP93" s="151"/>
      <c r="AQ93" s="151"/>
      <c r="AR93" s="151"/>
      <c r="AS93" s="151"/>
      <c r="AT93" s="151"/>
      <c r="AU93" s="151"/>
      <c r="AV93" s="151"/>
      <c r="AW93" s="1195"/>
      <c r="AX93" s="1196"/>
      <c r="AY93" s="148"/>
      <c r="AZ93" s="151"/>
      <c r="BA93" s="151"/>
      <c r="BB93" s="1172"/>
      <c r="BC93" s="151"/>
      <c r="BD93" s="151"/>
      <c r="BE93" s="1171"/>
      <c r="BF93" s="1171"/>
      <c r="BG93" s="1171"/>
      <c r="BH93" s="1171"/>
      <c r="BI93" s="151"/>
      <c r="BJ93" s="156"/>
      <c r="BK93" s="156"/>
      <c r="BL93" s="594"/>
      <c r="BM93" s="594"/>
      <c r="BN93" s="594"/>
      <c r="BO93" s="594"/>
      <c r="BP93" s="185"/>
      <c r="BQ93" s="156"/>
      <c r="BR93" s="594"/>
      <c r="BS93" s="594"/>
      <c r="BT93" s="594"/>
      <c r="BU93" s="594"/>
      <c r="BV93" s="156"/>
      <c r="BW93" s="158"/>
      <c r="BX93" s="185"/>
      <c r="BY93" s="185"/>
      <c r="BZ93" s="185"/>
      <c r="CA93" s="185"/>
      <c r="CB93" s="156"/>
      <c r="CC93" s="158"/>
      <c r="CD93" s="157"/>
      <c r="CE93" s="159"/>
      <c r="CF93" s="159"/>
    </row>
    <row r="94" spans="1:84" s="320" customFormat="1" ht="15" hidden="1" customHeight="1" x14ac:dyDescent="0.25">
      <c r="A94" s="329"/>
      <c r="B94" s="952" t="s">
        <v>550</v>
      </c>
      <c r="C94" s="955"/>
      <c r="D94" s="794"/>
      <c r="E94" s="964" t="s">
        <v>176</v>
      </c>
      <c r="F94" s="316"/>
      <c r="G94" s="315" t="str">
        <f t="shared" ref="G94:G102" si="19">+CONCATENATE($C$80,"",$D$89,"",E94)</f>
        <v>22.04.005</v>
      </c>
      <c r="H94" s="501" t="s">
        <v>322</v>
      </c>
      <c r="I94" s="248">
        <v>0</v>
      </c>
      <c r="J94" s="317">
        <v>0</v>
      </c>
      <c r="K94" s="317">
        <f ca="1">SUMIF(T$3:$AM85,"ok",T94:AM94)</f>
        <v>0</v>
      </c>
      <c r="L94" s="379">
        <f t="shared" ca="1" si="18"/>
        <v>0</v>
      </c>
      <c r="M94" s="319">
        <v>0</v>
      </c>
      <c r="N94" s="379">
        <f t="shared" si="13"/>
        <v>0</v>
      </c>
      <c r="O94" s="317">
        <f t="shared" si="14"/>
        <v>0</v>
      </c>
      <c r="P94" s="445">
        <f t="shared" si="15"/>
        <v>0</v>
      </c>
      <c r="Q94" s="249">
        <f>+'P01 2024'!DJ75</f>
        <v>666.59032400000001</v>
      </c>
      <c r="R94" s="311">
        <f ca="1">SUMIF(T$3:$AM83,"SI",T94:AM94)</f>
        <v>0</v>
      </c>
      <c r="S94" s="379">
        <f t="shared" ca="1" si="16"/>
        <v>0</v>
      </c>
      <c r="T94" s="326">
        <v>0</v>
      </c>
      <c r="U94" s="468">
        <f>+'P01 2024'!K73</f>
        <v>0</v>
      </c>
      <c r="V94" s="468">
        <v>0</v>
      </c>
      <c r="W94" s="319">
        <v>0</v>
      </c>
      <c r="X94" s="319">
        <v>0</v>
      </c>
      <c r="Y94" s="249">
        <v>0</v>
      </c>
      <c r="Z94" s="249">
        <v>0</v>
      </c>
      <c r="AA94" s="249">
        <v>0</v>
      </c>
      <c r="AB94" s="249">
        <v>0</v>
      </c>
      <c r="AC94" s="249">
        <v>0</v>
      </c>
      <c r="AD94" s="249">
        <v>0</v>
      </c>
      <c r="AE94" s="249">
        <v>0</v>
      </c>
      <c r="AF94" s="249">
        <v>0</v>
      </c>
      <c r="AG94" s="327">
        <v>0</v>
      </c>
      <c r="AH94" s="249">
        <v>0</v>
      </c>
      <c r="AI94" s="175">
        <v>0</v>
      </c>
      <c r="AJ94" s="249">
        <v>0</v>
      </c>
      <c r="AK94" s="249">
        <v>0</v>
      </c>
      <c r="AL94" s="249">
        <v>0</v>
      </c>
      <c r="AM94" s="253">
        <v>0</v>
      </c>
      <c r="AN94" s="1139"/>
      <c r="AO94" s="156"/>
      <c r="AP94" s="156"/>
      <c r="AQ94" s="156"/>
      <c r="AR94" s="156"/>
      <c r="AS94" s="156"/>
      <c r="AT94" s="156"/>
      <c r="AU94" s="156"/>
      <c r="AV94" s="156"/>
      <c r="AW94" s="1140"/>
      <c r="AX94" s="1197"/>
      <c r="AY94" s="148"/>
      <c r="AZ94" s="151"/>
      <c r="BA94" s="151"/>
      <c r="BB94" s="1172"/>
      <c r="BC94" s="151"/>
      <c r="BD94" s="151"/>
      <c r="BE94" s="1171"/>
      <c r="BF94" s="1171"/>
      <c r="BG94" s="1171"/>
      <c r="BH94" s="1171"/>
      <c r="BI94" s="151"/>
      <c r="BJ94" s="156"/>
      <c r="BK94" s="156"/>
      <c r="BL94" s="594"/>
      <c r="BM94" s="594"/>
      <c r="BN94" s="594"/>
      <c r="BO94" s="594"/>
      <c r="BP94" s="185"/>
      <c r="BQ94" s="156"/>
      <c r="BR94" s="594"/>
      <c r="BS94" s="594"/>
      <c r="BT94" s="594"/>
      <c r="BU94" s="594"/>
      <c r="BV94" s="156"/>
      <c r="BW94" s="158"/>
      <c r="BX94" s="185"/>
      <c r="BY94" s="185"/>
      <c r="BZ94" s="185"/>
      <c r="CA94" s="185"/>
      <c r="CB94" s="156"/>
      <c r="CC94" s="158"/>
      <c r="CD94" s="157"/>
      <c r="CE94" s="159"/>
      <c r="CF94" s="159"/>
    </row>
    <row r="95" spans="1:84" s="320" customFormat="1" ht="15" hidden="1" customHeight="1" x14ac:dyDescent="0.25">
      <c r="A95" s="329"/>
      <c r="B95" s="952" t="s">
        <v>367</v>
      </c>
      <c r="C95" s="955"/>
      <c r="D95" s="794"/>
      <c r="E95" s="933" t="s">
        <v>166</v>
      </c>
      <c r="F95" s="316"/>
      <c r="G95" s="315" t="str">
        <f t="shared" si="19"/>
        <v>22.04.007</v>
      </c>
      <c r="H95" s="501" t="s">
        <v>105</v>
      </c>
      <c r="I95" s="248">
        <f>+'P01 2025'!F74</f>
        <v>5015.9799999999996</v>
      </c>
      <c r="J95" s="317">
        <f>'P01 2025'!DE78</f>
        <v>10118.829</v>
      </c>
      <c r="K95" s="317">
        <f ca="1">SUMIF(T$3:$AM86,"ok",T95:AM95)</f>
        <v>10118.829</v>
      </c>
      <c r="L95" s="379">
        <f t="shared" ca="1" si="18"/>
        <v>1</v>
      </c>
      <c r="M95" s="319">
        <f>'P01 2025'!DG78</f>
        <v>10118.829</v>
      </c>
      <c r="N95" s="379">
        <f t="shared" si="13"/>
        <v>1</v>
      </c>
      <c r="O95" s="317">
        <f t="shared" si="14"/>
        <v>0</v>
      </c>
      <c r="P95" s="445">
        <f t="shared" si="15"/>
        <v>0</v>
      </c>
      <c r="Q95" s="249">
        <f>+'P01 2024'!DJ76</f>
        <v>18061.586192000002</v>
      </c>
      <c r="R95" s="311">
        <f ca="1">SUMIF(T$3:$AM84,"SI",T95:AM95)</f>
        <v>15781.560984</v>
      </c>
      <c r="S95" s="379">
        <f t="shared" ca="1" si="16"/>
        <v>0.87376384422925757</v>
      </c>
      <c r="T95" s="326">
        <f>+'P01 2025'!G74</f>
        <v>15.98</v>
      </c>
      <c r="U95" s="468">
        <f>+'P01 2024'!K74</f>
        <v>0</v>
      </c>
      <c r="V95" s="468">
        <v>0</v>
      </c>
      <c r="W95" s="319">
        <v>0</v>
      </c>
      <c r="X95" s="319">
        <v>0</v>
      </c>
      <c r="Y95" s="249">
        <f>+'P01 2024'!AE58</f>
        <v>3334.2447420000003</v>
      </c>
      <c r="Z95" s="249">
        <f>+'P01 2025'!AR55</f>
        <v>68.739999999999995</v>
      </c>
      <c r="AA95" s="249">
        <v>0</v>
      </c>
      <c r="AB95" s="249">
        <f>'P01 2025'!BF47</f>
        <v>9891.3590000000004</v>
      </c>
      <c r="AC95" s="249">
        <v>0</v>
      </c>
      <c r="AD95" s="249">
        <f>+'P01 2025'!BU58</f>
        <v>79.650000000000006</v>
      </c>
      <c r="AE95" s="249">
        <v>0</v>
      </c>
      <c r="AF95" s="249">
        <f>+'P01 2025'!CI45</f>
        <v>63.1</v>
      </c>
      <c r="AG95" s="327">
        <f>+'P01 2024'!CM62</f>
        <v>3353.860392</v>
      </c>
      <c r="AH95" s="249">
        <v>0</v>
      </c>
      <c r="AI95" s="175">
        <f>+'P01 2024'!DB61</f>
        <v>9093.4558500000003</v>
      </c>
      <c r="AJ95" s="249">
        <v>0</v>
      </c>
      <c r="AK95" s="249">
        <f>'P01 2024'!EG52</f>
        <v>8.1</v>
      </c>
      <c r="AL95" s="249">
        <v>0</v>
      </c>
      <c r="AM95" s="175">
        <f>+'P01 2024'!FL65</f>
        <v>12967.454</v>
      </c>
      <c r="AN95" s="1194"/>
      <c r="AO95" s="151"/>
      <c r="AP95" s="151"/>
      <c r="AQ95" s="151"/>
      <c r="AR95" s="151"/>
      <c r="AS95" s="151"/>
      <c r="AT95" s="151"/>
      <c r="AU95" s="151"/>
      <c r="AV95" s="151"/>
      <c r="AW95" s="1195"/>
      <c r="AX95" s="1196"/>
      <c r="AY95" s="148"/>
      <c r="AZ95" s="151"/>
      <c r="BA95" s="151"/>
      <c r="BB95" s="1172"/>
      <c r="BC95" s="151"/>
      <c r="BD95" s="151"/>
      <c r="BE95" s="1171"/>
      <c r="BF95" s="1171"/>
      <c r="BG95" s="1171"/>
      <c r="BH95" s="1171"/>
      <c r="BI95" s="151"/>
      <c r="BJ95" s="156"/>
      <c r="BK95" s="156"/>
      <c r="BL95" s="594"/>
      <c r="BM95" s="594"/>
      <c r="BN95" s="594"/>
      <c r="BO95" s="594"/>
      <c r="BP95" s="185"/>
      <c r="BQ95" s="156"/>
      <c r="BR95" s="594"/>
      <c r="BS95" s="594"/>
      <c r="BT95" s="594"/>
      <c r="BU95" s="594"/>
      <c r="BV95" s="156"/>
      <c r="BW95" s="158"/>
      <c r="BX95" s="185"/>
      <c r="BY95" s="185"/>
      <c r="BZ95" s="185"/>
      <c r="CA95" s="185"/>
      <c r="CB95" s="156"/>
      <c r="CC95" s="158"/>
      <c r="CD95" s="157"/>
      <c r="CE95" s="159"/>
      <c r="CF95" s="159"/>
    </row>
    <row r="96" spans="1:84" s="320" customFormat="1" ht="15" hidden="1" customHeight="1" x14ac:dyDescent="0.25">
      <c r="A96" s="329"/>
      <c r="B96" s="952" t="s">
        <v>551</v>
      </c>
      <c r="C96" s="955"/>
      <c r="D96" s="794"/>
      <c r="E96" s="933" t="s">
        <v>167</v>
      </c>
      <c r="F96" s="316"/>
      <c r="G96" s="315" t="str">
        <f t="shared" si="19"/>
        <v>22.04.008</v>
      </c>
      <c r="H96" s="501" t="s">
        <v>106</v>
      </c>
      <c r="I96" s="246">
        <v>0</v>
      </c>
      <c r="J96" s="317">
        <v>0</v>
      </c>
      <c r="K96" s="317">
        <f ca="1">SUMIF(T$3:$AM87,"ok",T96:AM96)</f>
        <v>0</v>
      </c>
      <c r="L96" s="379">
        <f t="shared" ca="1" si="18"/>
        <v>0</v>
      </c>
      <c r="M96" s="319">
        <v>0</v>
      </c>
      <c r="N96" s="379">
        <f t="shared" si="13"/>
        <v>0</v>
      </c>
      <c r="O96" s="317">
        <f t="shared" si="14"/>
        <v>0</v>
      </c>
      <c r="P96" s="445">
        <f t="shared" si="15"/>
        <v>0</v>
      </c>
      <c r="Q96" s="249">
        <v>0</v>
      </c>
      <c r="R96" s="311">
        <f ca="1">SUMIF(T$3:$AM85,"SI",T96:AM96)</f>
        <v>0</v>
      </c>
      <c r="S96" s="379" t="str">
        <f t="shared" ca="1" si="16"/>
        <v>0,00%</v>
      </c>
      <c r="T96" s="326">
        <v>0</v>
      </c>
      <c r="U96" s="468">
        <v>0</v>
      </c>
      <c r="V96" s="468">
        <v>0</v>
      </c>
      <c r="W96" s="319">
        <v>0</v>
      </c>
      <c r="X96" s="319">
        <v>0</v>
      </c>
      <c r="Y96" s="249">
        <v>0</v>
      </c>
      <c r="Z96" s="249">
        <v>0</v>
      </c>
      <c r="AA96" s="249">
        <v>0</v>
      </c>
      <c r="AB96" s="249">
        <v>0</v>
      </c>
      <c r="AC96" s="249">
        <v>0</v>
      </c>
      <c r="AD96" s="249">
        <v>0</v>
      </c>
      <c r="AE96" s="249">
        <v>0</v>
      </c>
      <c r="AF96" s="249">
        <v>0</v>
      </c>
      <c r="AG96" s="327">
        <v>0</v>
      </c>
      <c r="AH96" s="249">
        <v>0</v>
      </c>
      <c r="AI96" s="175">
        <v>0</v>
      </c>
      <c r="AJ96" s="249">
        <v>0</v>
      </c>
      <c r="AK96" s="249">
        <v>0</v>
      </c>
      <c r="AL96" s="249">
        <f>+'P01 2024'!ET50</f>
        <v>384.98200000000003</v>
      </c>
      <c r="AM96" s="253">
        <v>0</v>
      </c>
      <c r="AN96" s="1139"/>
      <c r="AO96" s="156"/>
      <c r="AP96" s="156"/>
      <c r="AQ96" s="156"/>
      <c r="AR96" s="156"/>
      <c r="AS96" s="156"/>
      <c r="AT96" s="156"/>
      <c r="AU96" s="156"/>
      <c r="AV96" s="156"/>
      <c r="AW96" s="1140"/>
      <c r="AX96" s="1197"/>
      <c r="AY96" s="148"/>
      <c r="AZ96" s="151"/>
      <c r="BA96" s="151"/>
      <c r="BB96" s="1172"/>
      <c r="BC96" s="151"/>
      <c r="BD96" s="151"/>
      <c r="BE96" s="1171"/>
      <c r="BF96" s="1171"/>
      <c r="BG96" s="1171"/>
      <c r="BH96" s="1171"/>
      <c r="BI96" s="151"/>
      <c r="BJ96" s="156"/>
      <c r="BK96" s="156"/>
      <c r="BL96" s="594"/>
      <c r="BM96" s="594"/>
      <c r="BN96" s="594"/>
      <c r="BO96" s="594"/>
      <c r="BP96" s="185"/>
      <c r="BQ96" s="156"/>
      <c r="BR96" s="594"/>
      <c r="BS96" s="594"/>
      <c r="BT96" s="594"/>
      <c r="BU96" s="594"/>
      <c r="BV96" s="156"/>
      <c r="BW96" s="158"/>
      <c r="BX96" s="185"/>
      <c r="BY96" s="185"/>
      <c r="BZ96" s="185"/>
      <c r="CA96" s="185"/>
      <c r="CB96" s="156"/>
      <c r="CC96" s="158"/>
      <c r="CD96" s="157"/>
      <c r="CE96" s="159"/>
      <c r="CF96" s="159"/>
    </row>
    <row r="97" spans="1:84" s="320" customFormat="1" ht="15" hidden="1" customHeight="1" x14ac:dyDescent="0.25">
      <c r="A97" s="329"/>
      <c r="B97" s="952" t="s">
        <v>552</v>
      </c>
      <c r="C97" s="955"/>
      <c r="D97" s="794"/>
      <c r="E97" s="933" t="s">
        <v>168</v>
      </c>
      <c r="F97" s="316"/>
      <c r="G97" s="315" t="str">
        <f t="shared" si="19"/>
        <v>22.04.009</v>
      </c>
      <c r="H97" s="501" t="s">
        <v>48</v>
      </c>
      <c r="I97" s="248">
        <f>+'P01 2025'!F75</f>
        <v>9200</v>
      </c>
      <c r="J97" s="317">
        <f>'P01 2025'!DE79</f>
        <v>11211.227999999999</v>
      </c>
      <c r="K97" s="317">
        <f ca="1">SUMIF(T$3:$AM88,"ok",T97:AM97)</f>
        <v>11211.228000000001</v>
      </c>
      <c r="L97" s="379">
        <f t="shared" ca="1" si="18"/>
        <v>1.0000000000000002</v>
      </c>
      <c r="M97" s="319">
        <f>'P01 2025'!DG79</f>
        <v>11211.227999999999</v>
      </c>
      <c r="N97" s="379">
        <f t="shared" si="13"/>
        <v>1</v>
      </c>
      <c r="O97" s="317">
        <f t="shared" si="14"/>
        <v>0</v>
      </c>
      <c r="P97" s="445">
        <f t="shared" si="15"/>
        <v>0</v>
      </c>
      <c r="Q97" s="249">
        <f>+'P01 2024'!DJ77</f>
        <v>13833.060579999999</v>
      </c>
      <c r="R97" s="311">
        <f ca="1">SUMIF(T$3:$AM86,"SI",T97:AM97)</f>
        <v>5604.1031560000001</v>
      </c>
      <c r="S97" s="379">
        <f t="shared" ca="1" si="16"/>
        <v>0.40512387866662553</v>
      </c>
      <c r="T97" s="326">
        <f>+'P01 2025'!G75</f>
        <v>0</v>
      </c>
      <c r="U97" s="468">
        <f>+'P01 2024'!K75</f>
        <v>0</v>
      </c>
      <c r="V97" s="468">
        <f>+'P01 2025'!N47</f>
        <v>5331.2</v>
      </c>
      <c r="W97" s="319">
        <f>+'P01 2024'!Q50</f>
        <v>82.023114000000007</v>
      </c>
      <c r="X97" s="319">
        <f>+'P01 2025'!AC63</f>
        <v>2060.366</v>
      </c>
      <c r="Y97" s="249">
        <f>+'P01 2024'!AE59</f>
        <v>1122.664346</v>
      </c>
      <c r="Z97" s="249">
        <v>0</v>
      </c>
      <c r="AA97" s="249">
        <f>+'P01 2024'!AT51</f>
        <v>138.87775999999999</v>
      </c>
      <c r="AB97" s="249">
        <v>0</v>
      </c>
      <c r="AC97" s="249">
        <f>+'P01 2024'!BI47</f>
        <v>1418.53712</v>
      </c>
      <c r="AD97" s="249">
        <v>0</v>
      </c>
      <c r="AE97" s="249">
        <f>+'P01 2024'!BX63</f>
        <v>777.95094800000004</v>
      </c>
      <c r="AF97" s="249">
        <f>+'P01 2025'!CI46</f>
        <v>3712.5619999999999</v>
      </c>
      <c r="AG97" s="327">
        <f>+'P01 2024'!CM63</f>
        <v>1380.0977400000002</v>
      </c>
      <c r="AH97" s="327">
        <f>+'P01 2025'!CX47</f>
        <v>107.1</v>
      </c>
      <c r="AI97" s="175">
        <f>+'P01 2024'!DB62</f>
        <v>683.95212800000002</v>
      </c>
      <c r="AJ97" s="249">
        <f>+'P01 2024'!DR59</f>
        <v>1590.3430000000001</v>
      </c>
      <c r="AK97" s="249">
        <f>'P01 2024'!EG53</f>
        <v>432.85700000000003</v>
      </c>
      <c r="AL97" s="249">
        <f>+'P01 2024'!ET51</f>
        <v>473.76299999999998</v>
      </c>
      <c r="AM97" s="175">
        <f>+'P01 2024'!FL66</f>
        <v>296.072</v>
      </c>
      <c r="AN97" s="1194"/>
      <c r="AO97" s="151"/>
      <c r="AP97" s="151"/>
      <c r="AQ97" s="151"/>
      <c r="AR97" s="151"/>
      <c r="AS97" s="151"/>
      <c r="AT97" s="151"/>
      <c r="AU97" s="151"/>
      <c r="AV97" s="151"/>
      <c r="AW97" s="1195"/>
      <c r="AX97" s="1196"/>
      <c r="AY97" s="148"/>
      <c r="AZ97" s="151"/>
      <c r="BA97" s="151"/>
      <c r="BB97" s="1172"/>
      <c r="BC97" s="151"/>
      <c r="BD97" s="151"/>
      <c r="BE97" s="1171"/>
      <c r="BF97" s="1171"/>
      <c r="BG97" s="1171"/>
      <c r="BH97" s="1171"/>
      <c r="BI97" s="151"/>
      <c r="BJ97" s="156"/>
      <c r="BK97" s="156"/>
      <c r="BL97" s="594"/>
      <c r="BM97" s="594"/>
      <c r="BN97" s="594"/>
      <c r="BO97" s="594"/>
      <c r="BP97" s="185"/>
      <c r="BQ97" s="156"/>
      <c r="BR97" s="594"/>
      <c r="BS97" s="594"/>
      <c r="BT97" s="594"/>
      <c r="BU97" s="594"/>
      <c r="BV97" s="156"/>
      <c r="BW97" s="158"/>
      <c r="BX97" s="185"/>
      <c r="BY97" s="185"/>
      <c r="BZ97" s="185"/>
      <c r="CA97" s="185"/>
      <c r="CB97" s="156"/>
      <c r="CC97" s="158"/>
      <c r="CD97" s="157"/>
      <c r="CE97" s="159"/>
      <c r="CF97" s="159"/>
    </row>
    <row r="98" spans="1:84" s="320" customFormat="1" ht="15" hidden="1" customHeight="1" x14ac:dyDescent="0.25">
      <c r="A98" s="329"/>
      <c r="B98" s="952" t="s">
        <v>553</v>
      </c>
      <c r="C98" s="955"/>
      <c r="D98" s="794"/>
      <c r="E98" s="933" t="s">
        <v>169</v>
      </c>
      <c r="F98" s="316"/>
      <c r="G98" s="315" t="str">
        <f t="shared" si="19"/>
        <v>22.04.010</v>
      </c>
      <c r="H98" s="501" t="s">
        <v>49</v>
      </c>
      <c r="I98" s="248">
        <f>+'P01 2025'!F76</f>
        <v>2083.8960000000002</v>
      </c>
      <c r="J98" s="317">
        <f>'P01 2025'!DE80</f>
        <v>2537.8560000000002</v>
      </c>
      <c r="K98" s="317">
        <f ca="1">SUMIF(T$3:$AM89,"ok",T98:AM98)</f>
        <v>2310.473</v>
      </c>
      <c r="L98" s="379">
        <f t="shared" ca="1" si="18"/>
        <v>0.91040350595148023</v>
      </c>
      <c r="M98" s="319">
        <f>'P01 2025'!DG80</f>
        <v>2537.8560000000002</v>
      </c>
      <c r="N98" s="379">
        <f t="shared" si="13"/>
        <v>1</v>
      </c>
      <c r="O98" s="317">
        <f t="shared" si="14"/>
        <v>0</v>
      </c>
      <c r="P98" s="445">
        <f t="shared" si="15"/>
        <v>0</v>
      </c>
      <c r="Q98" s="249">
        <f>+'P01 2024'!DJ78</f>
        <v>1421.288</v>
      </c>
      <c r="R98" s="311">
        <f ca="1">SUMIF(T$3:$AM87,"SI",T98:AM98)</f>
        <v>721.66836000000012</v>
      </c>
      <c r="S98" s="379">
        <f t="shared" ca="1" si="16"/>
        <v>0.50775659824046926</v>
      </c>
      <c r="T98" s="326">
        <f>+'P01 2025'!G76</f>
        <v>0</v>
      </c>
      <c r="U98" s="468">
        <f>+'P01 2024'!K76</f>
        <v>0</v>
      </c>
      <c r="V98" s="468">
        <f>+'P01 2025'!N48</f>
        <v>1386.933</v>
      </c>
      <c r="W98" s="319">
        <v>0</v>
      </c>
      <c r="X98" s="319">
        <f>+'P01 2025'!AC64</f>
        <v>457.06</v>
      </c>
      <c r="Y98" s="249">
        <v>0</v>
      </c>
      <c r="Z98" s="249">
        <v>0</v>
      </c>
      <c r="AA98" s="249">
        <v>0</v>
      </c>
      <c r="AB98" s="249">
        <f>'P01 2025'!BF48</f>
        <v>466.48</v>
      </c>
      <c r="AC98" s="249">
        <v>0</v>
      </c>
      <c r="AD98" s="249">
        <v>0</v>
      </c>
      <c r="AE98" s="249">
        <v>0</v>
      </c>
      <c r="AF98" s="249">
        <v>0</v>
      </c>
      <c r="AG98" s="327">
        <v>0</v>
      </c>
      <c r="AH98" s="249">
        <v>0</v>
      </c>
      <c r="AI98" s="175">
        <f>+'P01 2024'!DB63</f>
        <v>721.66836000000012</v>
      </c>
      <c r="AJ98" s="249">
        <v>0</v>
      </c>
      <c r="AK98" s="249">
        <v>0</v>
      </c>
      <c r="AL98" s="249">
        <f>+'P01 2024'!ET52</f>
        <v>1474.481</v>
      </c>
      <c r="AM98" s="175">
        <f>+'P01 2024'!FL67</f>
        <v>2663.3969999999999</v>
      </c>
      <c r="AN98" s="1194"/>
      <c r="AO98" s="151"/>
      <c r="AP98" s="151"/>
      <c r="AQ98" s="151"/>
      <c r="AR98" s="151"/>
      <c r="AS98" s="151"/>
      <c r="AT98" s="151"/>
      <c r="AU98" s="151"/>
      <c r="AV98" s="151"/>
      <c r="AW98" s="1195"/>
      <c r="AX98" s="1196"/>
      <c r="AY98" s="148"/>
      <c r="AZ98" s="151"/>
      <c r="BA98" s="151"/>
      <c r="BB98" s="1172"/>
      <c r="BC98" s="151"/>
      <c r="BD98" s="151"/>
      <c r="BE98" s="1171"/>
      <c r="BF98" s="1171"/>
      <c r="BG98" s="1171"/>
      <c r="BH98" s="1171"/>
      <c r="BI98" s="151"/>
      <c r="BJ98" s="156"/>
      <c r="BK98" s="156"/>
      <c r="BL98" s="594"/>
      <c r="BM98" s="594"/>
      <c r="BN98" s="594"/>
      <c r="BO98" s="594"/>
      <c r="BP98" s="185"/>
      <c r="BQ98" s="156"/>
      <c r="BR98" s="594"/>
      <c r="BS98" s="594"/>
      <c r="BT98" s="594"/>
      <c r="BU98" s="594"/>
      <c r="BV98" s="156"/>
      <c r="BW98" s="158"/>
      <c r="BX98" s="185"/>
      <c r="BY98" s="185"/>
      <c r="BZ98" s="185"/>
      <c r="CA98" s="185"/>
      <c r="CB98" s="156"/>
      <c r="CC98" s="158"/>
      <c r="CD98" s="157"/>
      <c r="CE98" s="159"/>
      <c r="CF98" s="159"/>
    </row>
    <row r="99" spans="1:84" s="320" customFormat="1" ht="15" hidden="1" customHeight="1" x14ac:dyDescent="0.25">
      <c r="A99" s="329"/>
      <c r="B99" s="952" t="s">
        <v>554</v>
      </c>
      <c r="C99" s="955"/>
      <c r="D99" s="794"/>
      <c r="E99" s="933" t="s">
        <v>170</v>
      </c>
      <c r="F99" s="316"/>
      <c r="G99" s="315" t="str">
        <f t="shared" si="19"/>
        <v>22.04.011</v>
      </c>
      <c r="H99" s="501" t="s">
        <v>50</v>
      </c>
      <c r="I99" s="248">
        <f>+'P01 2025'!F77</f>
        <v>1000</v>
      </c>
      <c r="J99" s="317">
        <f>'P01 2025'!DE81</f>
        <v>1980.682</v>
      </c>
      <c r="K99" s="317">
        <f ca="1">SUMIF(T$3:$AM90,"ok",T99:AM99)</f>
        <v>1242.7020000000002</v>
      </c>
      <c r="L99" s="379">
        <f t="shared" ca="1" si="18"/>
        <v>0.62741116443729994</v>
      </c>
      <c r="M99" s="319">
        <f>'P01 2025'!DG81</f>
        <v>1442.6220000000001</v>
      </c>
      <c r="N99" s="379">
        <f t="shared" si="13"/>
        <v>0.72834609493093794</v>
      </c>
      <c r="O99" s="317">
        <f t="shared" si="14"/>
        <v>538.05999999999995</v>
      </c>
      <c r="P99" s="445">
        <f t="shared" si="15"/>
        <v>0.27165390506906206</v>
      </c>
      <c r="Q99" s="249">
        <f>+'P01 2024'!DJ79</f>
        <v>3650.4010880000001</v>
      </c>
      <c r="R99" s="311">
        <f ca="1">SUMIF(T$3:$AM88,"SI",T99:AM99)</f>
        <v>1161.2068839999999</v>
      </c>
      <c r="S99" s="379">
        <f t="shared" ca="1" si="16"/>
        <v>0.31810391680444294</v>
      </c>
      <c r="T99" s="326">
        <f>+'P01 2025'!G77</f>
        <v>0</v>
      </c>
      <c r="U99" s="468">
        <f>+'P01 2024'!K77</f>
        <v>0</v>
      </c>
      <c r="V99" s="468">
        <f>+'P01 2025'!N49</f>
        <v>750.75</v>
      </c>
      <c r="W99" s="319">
        <v>0</v>
      </c>
      <c r="X99" s="319">
        <f>+'P01 2025'!AC65</f>
        <v>13.69</v>
      </c>
      <c r="Y99" s="249">
        <v>0</v>
      </c>
      <c r="Z99" s="249">
        <v>0</v>
      </c>
      <c r="AA99" s="249">
        <v>0</v>
      </c>
      <c r="AB99" s="249">
        <v>0</v>
      </c>
      <c r="AC99" s="249">
        <f>+'P01 2024'!BI48</f>
        <v>1067.3414399999999</v>
      </c>
      <c r="AD99" s="249">
        <f>+'P01 2025'!BU59</f>
        <v>107.1</v>
      </c>
      <c r="AE99" s="249">
        <v>0</v>
      </c>
      <c r="AF99" s="249">
        <f>+'P01 2025'!CI47</f>
        <v>124.95</v>
      </c>
      <c r="AG99" s="327">
        <v>0</v>
      </c>
      <c r="AH99" s="327">
        <f>+'P01 2025'!CX48</f>
        <v>246.21199999999999</v>
      </c>
      <c r="AI99" s="175">
        <f>+'P01 2024'!DB64</f>
        <v>93.865443999999997</v>
      </c>
      <c r="AJ99" s="249">
        <v>0</v>
      </c>
      <c r="AK99" s="249">
        <f>'P01 2024'!EG54</f>
        <v>373.43700000000001</v>
      </c>
      <c r="AL99" s="249">
        <f>+'P01 2024'!ET53</f>
        <v>763.56399999999996</v>
      </c>
      <c r="AM99" s="175">
        <f>+'P01 2024'!FL68</f>
        <v>497.40800000000002</v>
      </c>
      <c r="AN99" s="1194"/>
      <c r="AO99" s="151"/>
      <c r="AP99" s="151"/>
      <c r="AQ99" s="151"/>
      <c r="AR99" s="151"/>
      <c r="AS99" s="151"/>
      <c r="AT99" s="151"/>
      <c r="AU99" s="151"/>
      <c r="AV99" s="151"/>
      <c r="AW99" s="1195"/>
      <c r="AX99" s="1196"/>
      <c r="AY99" s="148"/>
      <c r="AZ99" s="151"/>
      <c r="BA99" s="151"/>
      <c r="BB99" s="1172"/>
      <c r="BC99" s="151"/>
      <c r="BD99" s="151"/>
      <c r="BE99" s="1171"/>
      <c r="BF99" s="1171"/>
      <c r="BG99" s="1171"/>
      <c r="BH99" s="1171"/>
      <c r="BI99" s="151"/>
      <c r="BJ99" s="156"/>
      <c r="BK99" s="156"/>
      <c r="BL99" s="594"/>
      <c r="BM99" s="594"/>
      <c r="BN99" s="594"/>
      <c r="BO99" s="594"/>
      <c r="BP99" s="185"/>
      <c r="BQ99" s="156"/>
      <c r="BR99" s="594"/>
      <c r="BS99" s="594"/>
      <c r="BT99" s="594"/>
      <c r="BU99" s="594"/>
      <c r="BV99" s="156"/>
      <c r="BW99" s="158"/>
      <c r="BX99" s="185"/>
      <c r="BY99" s="185"/>
      <c r="BZ99" s="185"/>
      <c r="CA99" s="185"/>
      <c r="CB99" s="156"/>
      <c r="CC99" s="158"/>
      <c r="CD99" s="157"/>
      <c r="CE99" s="159"/>
      <c r="CF99" s="159"/>
    </row>
    <row r="100" spans="1:84" s="320" customFormat="1" ht="15" hidden="1" customHeight="1" x14ac:dyDescent="0.25">
      <c r="A100" s="329"/>
      <c r="B100" s="952" t="s">
        <v>555</v>
      </c>
      <c r="C100" s="955"/>
      <c r="D100" s="794"/>
      <c r="E100" s="933" t="s">
        <v>171</v>
      </c>
      <c r="F100" s="316"/>
      <c r="G100" s="315" t="str">
        <f t="shared" si="19"/>
        <v>22.04.012</v>
      </c>
      <c r="H100" s="501" t="s">
        <v>107</v>
      </c>
      <c r="I100" s="248">
        <f>+'P01 2025'!F78</f>
        <v>2293.54</v>
      </c>
      <c r="J100" s="317">
        <f>'P01 2025'!DE82</f>
        <v>136.68799999999999</v>
      </c>
      <c r="K100" s="317">
        <f ca="1">SUMIF(T$3:$AM92,"ok",T100:AM100)</f>
        <v>136.68799999999999</v>
      </c>
      <c r="L100" s="379">
        <f t="shared" ca="1" si="18"/>
        <v>1</v>
      </c>
      <c r="M100" s="319">
        <f>'P01 2025'!DG82</f>
        <v>136.68799999999999</v>
      </c>
      <c r="N100" s="379">
        <f t="shared" si="13"/>
        <v>1</v>
      </c>
      <c r="O100" s="317">
        <f t="shared" si="14"/>
        <v>0</v>
      </c>
      <c r="P100" s="445">
        <f t="shared" si="15"/>
        <v>0</v>
      </c>
      <c r="Q100" s="249">
        <f>+'P01 2024'!DJ80</f>
        <v>1368.3512739999999</v>
      </c>
      <c r="R100" s="311">
        <f ca="1">SUMIF(T$3:$AM89,"SI",T100:AM100)</f>
        <v>649.1628740000001</v>
      </c>
      <c r="S100" s="379">
        <f t="shared" ca="1" si="16"/>
        <v>0.47441244535282989</v>
      </c>
      <c r="T100" s="326">
        <f>+'P01 2025'!G78</f>
        <v>0</v>
      </c>
      <c r="U100" s="468">
        <f>+'P01 2024'!K78</f>
        <v>72.94</v>
      </c>
      <c r="V100" s="468">
        <v>0</v>
      </c>
      <c r="W100" s="319">
        <v>0</v>
      </c>
      <c r="X100" s="319">
        <v>0</v>
      </c>
      <c r="Y100" s="249">
        <v>0</v>
      </c>
      <c r="Z100" s="249">
        <v>0</v>
      </c>
      <c r="AA100" s="249">
        <v>0</v>
      </c>
      <c r="AB100" s="249">
        <v>0</v>
      </c>
      <c r="AC100" s="249">
        <f>+'P01 2024'!BI49</f>
        <v>279.86348600000002</v>
      </c>
      <c r="AD100" s="249">
        <v>0</v>
      </c>
      <c r="AE100" s="249">
        <v>0</v>
      </c>
      <c r="AF100" s="249">
        <v>0</v>
      </c>
      <c r="AG100" s="327">
        <f>+'P01 2024'!CM64</f>
        <v>296.35938800000002</v>
      </c>
      <c r="AH100" s="327">
        <f>+'P01 2025'!CX49</f>
        <v>136.68799999999999</v>
      </c>
      <c r="AI100" s="175">
        <v>0</v>
      </c>
      <c r="AJ100" s="249">
        <v>0</v>
      </c>
      <c r="AK100" s="249">
        <f>'P01 2024'!EG55</f>
        <v>690.2</v>
      </c>
      <c r="AL100" s="249">
        <f>+'P01 2024'!ET54</f>
        <v>1082.9000000000001</v>
      </c>
      <c r="AM100" s="175">
        <f>+'P01 2024'!FL69</f>
        <v>70</v>
      </c>
      <c r="AN100" s="1194"/>
      <c r="AO100" s="151"/>
      <c r="AP100" s="151"/>
      <c r="AQ100" s="151"/>
      <c r="AR100" s="151"/>
      <c r="AS100" s="151"/>
      <c r="AT100" s="151"/>
      <c r="AU100" s="151"/>
      <c r="AV100" s="151"/>
      <c r="AW100" s="1195"/>
      <c r="AX100" s="1196"/>
      <c r="AY100" s="148"/>
      <c r="AZ100" s="151"/>
      <c r="BA100" s="151"/>
      <c r="BB100" s="1172"/>
      <c r="BC100" s="151"/>
      <c r="BD100" s="151"/>
      <c r="BE100" s="1171"/>
      <c r="BF100" s="1171"/>
      <c r="BG100" s="1171"/>
      <c r="BH100" s="1171"/>
      <c r="BI100" s="151"/>
      <c r="BJ100" s="156"/>
      <c r="BK100" s="156"/>
      <c r="BL100" s="594"/>
      <c r="BM100" s="594"/>
      <c r="BN100" s="594"/>
      <c r="BO100" s="594"/>
      <c r="BP100" s="185"/>
      <c r="BQ100" s="156"/>
      <c r="BR100" s="594"/>
      <c r="BS100" s="594"/>
      <c r="BT100" s="594"/>
      <c r="BU100" s="594"/>
      <c r="BV100" s="156"/>
      <c r="BW100" s="158"/>
      <c r="BX100" s="185"/>
      <c r="BY100" s="185"/>
      <c r="BZ100" s="185"/>
      <c r="CA100" s="185"/>
      <c r="CB100" s="156"/>
      <c r="CC100" s="158"/>
      <c r="CD100" s="157"/>
      <c r="CE100" s="159"/>
      <c r="CF100" s="159"/>
    </row>
    <row r="101" spans="1:84" s="320" customFormat="1" ht="15" hidden="1" customHeight="1" x14ac:dyDescent="0.25">
      <c r="A101" s="329"/>
      <c r="B101" s="952" t="s">
        <v>368</v>
      </c>
      <c r="C101" s="955"/>
      <c r="D101" s="794"/>
      <c r="E101" s="933" t="s">
        <v>172</v>
      </c>
      <c r="F101" s="316"/>
      <c r="G101" s="315" t="str">
        <f t="shared" si="19"/>
        <v>22.04.013</v>
      </c>
      <c r="H101" s="501" t="s">
        <v>108</v>
      </c>
      <c r="I101" s="248">
        <f>+'P01 2025'!F79</f>
        <v>4000</v>
      </c>
      <c r="J101" s="317">
        <f>'P01 2025'!DE83</f>
        <v>13578.239</v>
      </c>
      <c r="K101" s="317">
        <f ca="1">SUMIF(T$3:$AM93,"ok",T101:AM101)</f>
        <v>4971.2579999999998</v>
      </c>
      <c r="L101" s="379">
        <f t="shared" ca="1" si="18"/>
        <v>0.36611949458247128</v>
      </c>
      <c r="M101" s="319">
        <f>'P01 2025'!DG83</f>
        <v>13026.397999999999</v>
      </c>
      <c r="N101" s="379">
        <f t="shared" si="13"/>
        <v>0.95935842637620383</v>
      </c>
      <c r="O101" s="317">
        <f t="shared" si="14"/>
        <v>551.84100000000035</v>
      </c>
      <c r="P101" s="445">
        <f t="shared" si="15"/>
        <v>4.0641573623796161E-2</v>
      </c>
      <c r="Q101" s="249">
        <f>+'P01 2024'!DJ81</f>
        <v>15133.029562</v>
      </c>
      <c r="R101" s="311">
        <f ca="1">SUMIF(T$3:$AM90,"SI",T101:AM101)</f>
        <v>13995.769921999999</v>
      </c>
      <c r="S101" s="379">
        <f t="shared" ca="1" si="16"/>
        <v>0.92484917607934025</v>
      </c>
      <c r="T101" s="326">
        <f>+'P01 2025'!G79</f>
        <v>0</v>
      </c>
      <c r="U101" s="468">
        <f>+'P01 2024'!K79</f>
        <v>0</v>
      </c>
      <c r="V101" s="468">
        <f>+'P01 2025'!N50</f>
        <v>151.62200000000001</v>
      </c>
      <c r="W101" s="175">
        <f>+'P01 2024'!Q51</f>
        <v>3560.459816</v>
      </c>
      <c r="X101" s="175">
        <v>0</v>
      </c>
      <c r="Y101" s="249">
        <f>+'P01 2024'!AE60</f>
        <v>2895.34809</v>
      </c>
      <c r="Z101" s="249">
        <f>+'P01 2025'!AR56</f>
        <v>359.55599999999998</v>
      </c>
      <c r="AA101" s="249">
        <f>+'P01 2024'!AT52</f>
        <v>2755.111562</v>
      </c>
      <c r="AB101" s="249">
        <f>'P01 2025'!BF49</f>
        <v>2381.5729999999999</v>
      </c>
      <c r="AC101" s="249">
        <v>0</v>
      </c>
      <c r="AD101" s="249">
        <f>+'P01 2025'!BU60</f>
        <v>1940.4670000000001</v>
      </c>
      <c r="AE101" s="249">
        <f>+'P01 2024'!BX64</f>
        <v>3638.6535799999997</v>
      </c>
      <c r="AF101" s="249">
        <f>+'P01 2025'!CI48</f>
        <v>138.04</v>
      </c>
      <c r="AG101" s="327">
        <v>0</v>
      </c>
      <c r="AH101" s="249">
        <v>0</v>
      </c>
      <c r="AI101" s="175">
        <f>+'P01 2024'!DB65</f>
        <v>1146.1968740000002</v>
      </c>
      <c r="AJ101" s="249">
        <f>+'P01 2024'!DR60</f>
        <v>138.971</v>
      </c>
      <c r="AK101" s="249">
        <f>'P01 2024'!EG56</f>
        <v>745.17899999999997</v>
      </c>
      <c r="AL101" s="249">
        <f>+'P01 2024'!ET55</f>
        <v>2572.5630000000001</v>
      </c>
      <c r="AM101" s="175">
        <f>+'P01 2024'!FL70</f>
        <v>213.393</v>
      </c>
      <c r="AN101" s="1194"/>
      <c r="AO101" s="151"/>
      <c r="AP101" s="151"/>
      <c r="AQ101" s="151"/>
      <c r="AR101" s="151"/>
      <c r="AS101" s="151"/>
      <c r="AT101" s="151"/>
      <c r="AU101" s="151"/>
      <c r="AV101" s="151"/>
      <c r="AW101" s="1195"/>
      <c r="AX101" s="1196"/>
      <c r="AY101" s="148"/>
      <c r="AZ101" s="151"/>
      <c r="BA101" s="151"/>
      <c r="BB101" s="1172"/>
      <c r="BC101" s="151"/>
      <c r="BD101" s="151"/>
      <c r="BE101" s="1171"/>
      <c r="BF101" s="1171"/>
      <c r="BG101" s="1171"/>
      <c r="BH101" s="1171"/>
      <c r="BI101" s="151"/>
      <c r="BJ101" s="156"/>
      <c r="BK101" s="156"/>
      <c r="BL101" s="594"/>
      <c r="BM101" s="594"/>
      <c r="BN101" s="594"/>
      <c r="BO101" s="594"/>
      <c r="BP101" s="185"/>
      <c r="BQ101" s="156"/>
      <c r="BR101" s="594"/>
      <c r="BS101" s="594"/>
      <c r="BT101" s="594"/>
      <c r="BU101" s="594"/>
      <c r="BV101" s="156"/>
      <c r="BW101" s="158"/>
      <c r="BX101" s="185"/>
      <c r="BY101" s="185"/>
      <c r="BZ101" s="185"/>
      <c r="CA101" s="185"/>
      <c r="CB101" s="156"/>
      <c r="CC101" s="158"/>
      <c r="CD101" s="157"/>
      <c r="CE101" s="159"/>
      <c r="CF101" s="159"/>
    </row>
    <row r="102" spans="1:84" s="320" customFormat="1" ht="15" hidden="1" customHeight="1" x14ac:dyDescent="0.25">
      <c r="A102" s="329"/>
      <c r="B102" s="952" t="s">
        <v>369</v>
      </c>
      <c r="C102" s="955"/>
      <c r="D102" s="794"/>
      <c r="E102" s="933" t="s">
        <v>173</v>
      </c>
      <c r="F102" s="316"/>
      <c r="G102" s="315" t="str">
        <f t="shared" si="19"/>
        <v>22.04.999</v>
      </c>
      <c r="H102" s="501" t="s">
        <v>109</v>
      </c>
      <c r="I102" s="248">
        <f>+'P01 2025'!F80</f>
        <v>408.8</v>
      </c>
      <c r="J102" s="317">
        <f>'P01 2025'!DE84</f>
        <v>1668.9059999999999</v>
      </c>
      <c r="K102" s="317">
        <f ca="1">SUMIF(T$3:$AM94,"ok",T102:AM102)</f>
        <v>1546.4159999999999</v>
      </c>
      <c r="L102" s="379">
        <f t="shared" ca="1" si="18"/>
        <v>0.92660461404057504</v>
      </c>
      <c r="M102" s="319">
        <f>'P01 2025'!DG84</f>
        <v>1643.9159999999999</v>
      </c>
      <c r="N102" s="379">
        <f t="shared" si="13"/>
        <v>0.98502611890663705</v>
      </c>
      <c r="O102" s="317">
        <f t="shared" si="14"/>
        <v>24.990000000000009</v>
      </c>
      <c r="P102" s="445">
        <f t="shared" si="15"/>
        <v>1.4973881093362963E-2</v>
      </c>
      <c r="Q102" s="249">
        <f>+'P01 2024'!DJ82</f>
        <v>1223.3705199999999</v>
      </c>
      <c r="R102" s="311">
        <f ca="1">SUMIF(T$3:$AM92,"SI",T102:AM102)</f>
        <v>1000.17412</v>
      </c>
      <c r="S102" s="379">
        <f t="shared" ca="1" si="16"/>
        <v>0.81755617259765268</v>
      </c>
      <c r="T102" s="326">
        <f>+'P01 2025'!G80</f>
        <v>408.8</v>
      </c>
      <c r="U102" s="468">
        <v>0</v>
      </c>
      <c r="V102" s="468">
        <f>+'P01 2025'!N51</f>
        <v>65.45</v>
      </c>
      <c r="W102" s="175">
        <v>0</v>
      </c>
      <c r="X102" s="175">
        <v>0</v>
      </c>
      <c r="Y102" s="249">
        <f>+'P01 2024'!AE61</f>
        <v>929.98500000000001</v>
      </c>
      <c r="Z102" s="249">
        <v>0</v>
      </c>
      <c r="AA102" s="249">
        <v>0</v>
      </c>
      <c r="AB102" s="249">
        <f>'P01 2025'!BF50</f>
        <v>404.6</v>
      </c>
      <c r="AC102" s="249">
        <v>0</v>
      </c>
      <c r="AD102" s="249">
        <f>+'P01 2025'!BU61</f>
        <v>83.275999999999996</v>
      </c>
      <c r="AE102" s="249">
        <v>0</v>
      </c>
      <c r="AF102" s="249">
        <f>+'P01 2025'!CI49</f>
        <v>584.29</v>
      </c>
      <c r="AG102" s="327">
        <v>0</v>
      </c>
      <c r="AH102" s="249">
        <v>0</v>
      </c>
      <c r="AI102" s="175">
        <f>+'P01 2024'!DB66</f>
        <v>70.189120000000003</v>
      </c>
      <c r="AJ102" s="249">
        <v>0</v>
      </c>
      <c r="AK102" s="249">
        <f>'P01 2024'!EG57</f>
        <v>166.6</v>
      </c>
      <c r="AL102" s="249">
        <v>0</v>
      </c>
      <c r="AM102" s="175">
        <f>+'P01 2024'!FL71</f>
        <v>2753.9769999999999</v>
      </c>
      <c r="AN102" s="1194"/>
      <c r="AO102" s="151"/>
      <c r="AP102" s="151"/>
      <c r="AQ102" s="151"/>
      <c r="AR102" s="151"/>
      <c r="AS102" s="151"/>
      <c r="AT102" s="151"/>
      <c r="AU102" s="151"/>
      <c r="AV102" s="151"/>
      <c r="AW102" s="1195"/>
      <c r="AX102" s="1196"/>
      <c r="AY102" s="148"/>
      <c r="AZ102" s="151"/>
      <c r="BA102" s="151"/>
      <c r="BB102" s="1172"/>
      <c r="BC102" s="151"/>
      <c r="BD102" s="151"/>
      <c r="BE102" s="1171"/>
      <c r="BF102" s="1171"/>
      <c r="BG102" s="1171"/>
      <c r="BH102" s="1171"/>
      <c r="BI102" s="151"/>
      <c r="BJ102" s="156"/>
      <c r="BK102" s="156"/>
      <c r="BL102" s="594"/>
      <c r="BM102" s="594"/>
      <c r="BN102" s="594"/>
      <c r="BO102" s="594"/>
      <c r="BP102" s="185"/>
      <c r="BQ102" s="156"/>
      <c r="BR102" s="594"/>
      <c r="BS102" s="594"/>
      <c r="BT102" s="594"/>
      <c r="BU102" s="594"/>
      <c r="BV102" s="156"/>
      <c r="BW102" s="158"/>
      <c r="BX102" s="185"/>
      <c r="BY102" s="185"/>
      <c r="BZ102" s="185"/>
      <c r="CA102" s="185"/>
      <c r="CB102" s="156"/>
      <c r="CC102" s="158"/>
      <c r="CD102" s="157"/>
      <c r="CE102" s="159"/>
      <c r="CF102" s="159"/>
    </row>
    <row r="103" spans="1:84" s="308" customFormat="1" ht="15" hidden="1" customHeight="1" x14ac:dyDescent="0.25">
      <c r="A103" s="84"/>
      <c r="B103" s="169" t="s">
        <v>370</v>
      </c>
      <c r="C103" s="508"/>
      <c r="D103" s="172" t="s">
        <v>174</v>
      </c>
      <c r="E103" s="309"/>
      <c r="F103" s="309"/>
      <c r="G103" s="309"/>
      <c r="H103" s="502" t="s">
        <v>52</v>
      </c>
      <c r="I103" s="381">
        <f>+'P01 2025'!F81</f>
        <v>109888.41800000001</v>
      </c>
      <c r="J103" s="313">
        <f>'P01 2025'!DE85</f>
        <v>216655.231</v>
      </c>
      <c r="K103" s="306">
        <f ca="1">SUMIF(T$3:$AM95,"ok",T103:AM103)</f>
        <v>116929.02499999999</v>
      </c>
      <c r="L103" s="378">
        <f t="shared" ca="1" si="18"/>
        <v>0.53970090849087315</v>
      </c>
      <c r="M103" s="313">
        <f>'P01 2025'!DG85</f>
        <v>215758.18100000001</v>
      </c>
      <c r="N103" s="378">
        <f t="shared" si="13"/>
        <v>0.99585955069785514</v>
      </c>
      <c r="O103" s="306">
        <f t="shared" si="14"/>
        <v>897.04999999998836</v>
      </c>
      <c r="P103" s="443">
        <f t="shared" si="15"/>
        <v>4.1404493021448829E-3</v>
      </c>
      <c r="Q103" s="155">
        <f>+'P01 2024'!DJ83</f>
        <v>187720.555528</v>
      </c>
      <c r="R103" s="155">
        <f ca="1">SUM(R104:R111)</f>
        <v>67661.449946000008</v>
      </c>
      <c r="S103" s="378">
        <f t="shared" ca="1" si="16"/>
        <v>0.36043708562277171</v>
      </c>
      <c r="T103" s="509">
        <f>+'P01 2025'!G81</f>
        <v>3292.1190000000001</v>
      </c>
      <c r="U103" s="467">
        <f>+'P01 2024'!K80</f>
        <v>9639.450304</v>
      </c>
      <c r="V103" s="467">
        <f>+'P01 2025'!N52</f>
        <v>34449.578999999998</v>
      </c>
      <c r="W103" s="155">
        <f>+'P01 2024'!Q52</f>
        <v>10061.902112</v>
      </c>
      <c r="X103" s="155">
        <f>+'P01 2025'!AC66</f>
        <v>5818.8370000000004</v>
      </c>
      <c r="Y103" s="86">
        <f>+'P01 2024'!AE62</f>
        <v>15539.558568</v>
      </c>
      <c r="Z103" s="86">
        <f>+'P01 2025'!AR57</f>
        <v>17261.511999999999</v>
      </c>
      <c r="AA103" s="155">
        <f>+'P01 2024'!AT53</f>
        <v>6440.6134620000003</v>
      </c>
      <c r="AB103" s="155">
        <f>SUM(AB104:AB111)</f>
        <v>27806.039000000001</v>
      </c>
      <c r="AC103" s="155">
        <f>+'P01 2024'!BI50</f>
        <v>6954.6341460000003</v>
      </c>
      <c r="AD103" s="155">
        <f>+'P01 2025'!BU62</f>
        <v>11645.457</v>
      </c>
      <c r="AE103" s="155">
        <f>+'P01 2024'!BX65</f>
        <v>7586.7196820000008</v>
      </c>
      <c r="AF103" s="155">
        <f>+'P01 2025'!CI50</f>
        <v>7271.6779999999999</v>
      </c>
      <c r="AG103" s="155">
        <f>+'P01 2024'!CM65</f>
        <v>5565.4887200000003</v>
      </c>
      <c r="AH103" s="155">
        <f>+'P01 2025'!CX50</f>
        <v>9383.8040000000001</v>
      </c>
      <c r="AI103" s="86">
        <f>+'P01 2024'!DB67</f>
        <v>5873.0829519999998</v>
      </c>
      <c r="AJ103" s="155">
        <f>+'P01 2024'!DR61</f>
        <v>20145.664000000001</v>
      </c>
      <c r="AK103" s="155">
        <f>SUM(AK104:AK111)</f>
        <v>16481.707000000002</v>
      </c>
      <c r="AL103" s="155">
        <f>+'P01 2024'!ET56</f>
        <v>18901.177</v>
      </c>
      <c r="AM103" s="86">
        <f>+'P01 2024'!FL72</f>
        <v>16521.403999999999</v>
      </c>
      <c r="AN103" s="1194"/>
      <c r="AO103" s="151"/>
      <c r="AP103" s="151"/>
      <c r="AQ103" s="151"/>
      <c r="AR103" s="151"/>
      <c r="AS103" s="151"/>
      <c r="AT103" s="151"/>
      <c r="AU103" s="151"/>
      <c r="AV103" s="151"/>
      <c r="AW103" s="1195"/>
      <c r="AX103" s="1196"/>
      <c r="AY103" s="148"/>
      <c r="AZ103" s="151"/>
      <c r="BA103" s="151"/>
      <c r="BB103" s="1172"/>
      <c r="BC103" s="151"/>
      <c r="BD103" s="151"/>
      <c r="BE103" s="1171"/>
      <c r="BF103" s="1171"/>
      <c r="BG103" s="1171"/>
      <c r="BH103" s="1171"/>
      <c r="BI103" s="1171"/>
      <c r="BJ103" s="932"/>
      <c r="BK103" s="156"/>
      <c r="BL103" s="594"/>
      <c r="BM103" s="594"/>
      <c r="BN103" s="594"/>
      <c r="BO103" s="594"/>
      <c r="BP103" s="185"/>
      <c r="BQ103" s="156"/>
      <c r="BR103" s="594"/>
      <c r="BS103" s="594"/>
      <c r="BT103" s="594"/>
      <c r="BU103" s="594"/>
      <c r="BV103" s="156"/>
      <c r="BW103" s="158"/>
      <c r="BX103" s="185"/>
      <c r="BY103" s="185"/>
      <c r="BZ103" s="185"/>
      <c r="CA103" s="185"/>
      <c r="CB103" s="151"/>
      <c r="CC103" s="148"/>
      <c r="CD103" s="123"/>
      <c r="CE103" s="152"/>
      <c r="CF103" s="152"/>
    </row>
    <row r="104" spans="1:84" s="320" customFormat="1" ht="15" hidden="1" customHeight="1" x14ac:dyDescent="0.25">
      <c r="A104" s="329"/>
      <c r="B104" s="952" t="s">
        <v>371</v>
      </c>
      <c r="C104" s="955"/>
      <c r="D104" s="794"/>
      <c r="E104" s="933" t="s">
        <v>165</v>
      </c>
      <c r="F104" s="316"/>
      <c r="G104" s="315" t="str">
        <f t="shared" ref="G104:G111" si="20">+CONCATENATE($C$80,"",$D$103,"",E104)</f>
        <v>22.05.001</v>
      </c>
      <c r="H104" s="501" t="s">
        <v>53</v>
      </c>
      <c r="I104" s="248">
        <f>+'P01 2025'!F82</f>
        <v>19300</v>
      </c>
      <c r="J104" s="317">
        <f>'P01 2025'!DE86</f>
        <v>20500</v>
      </c>
      <c r="K104" s="317">
        <f ca="1">SUMIF(T$3:$AM96,"ok",T104:AM104)</f>
        <v>13355.470000000001</v>
      </c>
      <c r="L104" s="379">
        <f t="shared" ca="1" si="18"/>
        <v>0.65148634146341466</v>
      </c>
      <c r="M104" s="319">
        <f>'P01 2025'!DG86</f>
        <v>20500</v>
      </c>
      <c r="N104" s="379">
        <f t="shared" si="13"/>
        <v>1</v>
      </c>
      <c r="O104" s="317">
        <f t="shared" si="14"/>
        <v>0</v>
      </c>
      <c r="P104" s="445">
        <f t="shared" si="15"/>
        <v>0</v>
      </c>
      <c r="Q104" s="249">
        <f>+'P01 2024'!DJ84</f>
        <v>13348.02</v>
      </c>
      <c r="R104" s="311">
        <f ca="1">SUMIF(T$3:$AM95,"SI",T104:AM104)</f>
        <v>8914.0005259999998</v>
      </c>
      <c r="S104" s="379">
        <f t="shared" ca="1" si="16"/>
        <v>0.66781444184231065</v>
      </c>
      <c r="T104" s="326">
        <f>+'P01 2025'!G82</f>
        <v>1158.8889999999999</v>
      </c>
      <c r="U104" s="468">
        <f>+'P01 2024'!K81</f>
        <v>522.66720000000009</v>
      </c>
      <c r="V104" s="468">
        <f>+'P01 2025'!N53</f>
        <v>1179.8040000000001</v>
      </c>
      <c r="W104" s="326">
        <f>+'P01 2024'!Q53</f>
        <v>1800.2977860000001</v>
      </c>
      <c r="X104" s="319">
        <f>+'P01 2025'!AC67</f>
        <v>1410.7</v>
      </c>
      <c r="Y104" s="249">
        <f>+'P01 2024'!AE63</f>
        <v>698.87565200000006</v>
      </c>
      <c r="Z104" s="249">
        <f>+'P01 2025'!AR58</f>
        <v>1775.326</v>
      </c>
      <c r="AA104" s="249">
        <f>+'P01 2024'!AT54</f>
        <v>879.88251400000001</v>
      </c>
      <c r="AB104" s="249">
        <f>'P01 2025'!BF52</f>
        <v>1500.9860000000001</v>
      </c>
      <c r="AC104" s="249">
        <f>+'P01 2024'!BI51</f>
        <v>949.26200000000006</v>
      </c>
      <c r="AD104" s="249">
        <f>+'P01 2025'!BU63</f>
        <v>2091.393</v>
      </c>
      <c r="AE104" s="249">
        <f>+'P01 2024'!BX66</f>
        <v>781.8490700000001</v>
      </c>
      <c r="AF104" s="249">
        <f>+'P01 2025'!CI51</f>
        <v>2160.672</v>
      </c>
      <c r="AG104" s="327">
        <f>+'P01 2024'!CM66</f>
        <v>1109.0131039999999</v>
      </c>
      <c r="AH104" s="327">
        <f>+'P01 2025'!CX51</f>
        <v>2077.6999999999998</v>
      </c>
      <c r="AI104" s="175">
        <f>+'P01 2024'!DB68</f>
        <v>2172.1532000000002</v>
      </c>
      <c r="AJ104" s="249">
        <f>+'P01 2024'!DR62</f>
        <v>1409.528</v>
      </c>
      <c r="AK104" s="249">
        <f>'P01 2024'!EG59</f>
        <v>1942.1</v>
      </c>
      <c r="AL104" s="249">
        <f>+'P01 2024'!ET57</f>
        <v>1737.4469999999999</v>
      </c>
      <c r="AM104" s="175">
        <f>+'P01 2024'!FL73</f>
        <v>1297.624</v>
      </c>
      <c r="AN104" s="1194"/>
      <c r="AO104" s="151"/>
      <c r="AP104" s="151"/>
      <c r="AQ104" s="151"/>
      <c r="AR104" s="151"/>
      <c r="AS104" s="151"/>
      <c r="AT104" s="151"/>
      <c r="AU104" s="151"/>
      <c r="AV104" s="151"/>
      <c r="AW104" s="1195"/>
      <c r="AX104" s="1196"/>
      <c r="AY104" s="148"/>
      <c r="AZ104" s="151"/>
      <c r="BA104" s="151"/>
      <c r="BB104" s="1172"/>
      <c r="BC104" s="151"/>
      <c r="BD104" s="151"/>
      <c r="BE104" s="1171"/>
      <c r="BF104" s="1171"/>
      <c r="BG104" s="1171"/>
      <c r="BH104" s="1171"/>
      <c r="BI104" s="151"/>
      <c r="BJ104" s="156"/>
      <c r="BK104" s="156"/>
      <c r="BL104" s="594"/>
      <c r="BM104" s="594"/>
      <c r="BN104" s="594"/>
      <c r="BO104" s="594"/>
      <c r="BP104" s="185"/>
      <c r="BQ104" s="156"/>
      <c r="BR104" s="594"/>
      <c r="BS104" s="594"/>
      <c r="BT104" s="594"/>
      <c r="BU104" s="594"/>
      <c r="BV104" s="156"/>
      <c r="BW104" s="158"/>
      <c r="BX104" s="185"/>
      <c r="BY104" s="185"/>
      <c r="BZ104" s="185"/>
      <c r="CA104" s="185"/>
      <c r="CB104" s="156"/>
      <c r="CC104" s="158"/>
      <c r="CD104" s="157"/>
      <c r="CE104" s="159"/>
      <c r="CF104" s="159"/>
    </row>
    <row r="105" spans="1:84" s="320" customFormat="1" ht="15" hidden="1" customHeight="1" x14ac:dyDescent="0.25">
      <c r="A105" s="329"/>
      <c r="B105" s="952" t="s">
        <v>372</v>
      </c>
      <c r="C105" s="955"/>
      <c r="D105" s="794"/>
      <c r="E105" s="933" t="s">
        <v>161</v>
      </c>
      <c r="F105" s="316"/>
      <c r="G105" s="315" t="str">
        <f t="shared" si="20"/>
        <v>22.05.002</v>
      </c>
      <c r="H105" s="501" t="s">
        <v>54</v>
      </c>
      <c r="I105" s="248">
        <f>+'P01 2025'!F83</f>
        <v>16650</v>
      </c>
      <c r="J105" s="317">
        <f>'P01 2025'!DE87</f>
        <v>19234.635999999999</v>
      </c>
      <c r="K105" s="317">
        <f ca="1">SUMIF(T$3:$AM97,"ok",T105:AM105)</f>
        <v>10836.458000000002</v>
      </c>
      <c r="L105" s="379">
        <f t="shared" ca="1" si="18"/>
        <v>0.56338253554681272</v>
      </c>
      <c r="M105" s="319">
        <f>'P01 2025'!DG87</f>
        <v>19110.585999999999</v>
      </c>
      <c r="N105" s="379">
        <f t="shared" si="13"/>
        <v>0.99355069677429819</v>
      </c>
      <c r="O105" s="317">
        <f t="shared" si="14"/>
        <v>124.04999999999927</v>
      </c>
      <c r="P105" s="445">
        <f t="shared" si="15"/>
        <v>6.4493032257017645E-3</v>
      </c>
      <c r="Q105" s="249">
        <f>+'P01 2024'!DJ85</f>
        <v>24140.525622000001</v>
      </c>
      <c r="R105" s="311">
        <f ca="1">SUMIF(T$3:$AM96,"SI",T105:AM105)</f>
        <v>8488.4737760000007</v>
      </c>
      <c r="S105" s="379">
        <f t="shared" ca="1" si="16"/>
        <v>0.35162754568459748</v>
      </c>
      <c r="T105" s="326">
        <f>+'P01 2025'!G83</f>
        <v>658.86300000000006</v>
      </c>
      <c r="U105" s="468">
        <f>+'P01 2024'!K82</f>
        <v>154.59112000000002</v>
      </c>
      <c r="V105" s="468">
        <f>+'P01 2025'!N54</f>
        <v>2209.212</v>
      </c>
      <c r="W105" s="326">
        <f>+'P01 2024'!Q54</f>
        <v>1203.5766880000001</v>
      </c>
      <c r="X105" s="319">
        <f>+'P01 2025'!AC68</f>
        <v>797.56200000000001</v>
      </c>
      <c r="Y105" s="249">
        <f>+'P01 2024'!AE64</f>
        <v>1130.3699360000001</v>
      </c>
      <c r="Z105" s="249">
        <f>+'P01 2025'!AR59</f>
        <v>1619.1310000000001</v>
      </c>
      <c r="AA105" s="249">
        <f>+'P01 2024'!AT55</f>
        <v>1065.979546</v>
      </c>
      <c r="AB105" s="249">
        <f>'P01 2025'!BF53</f>
        <v>1532.761</v>
      </c>
      <c r="AC105" s="249">
        <f>+'P01 2024'!BI52</f>
        <v>1303.033504</v>
      </c>
      <c r="AD105" s="249">
        <f>+'P01 2025'!BU64</f>
        <v>1453.3230000000001</v>
      </c>
      <c r="AE105" s="249">
        <f>+'P01 2024'!BX67</f>
        <v>1236.6872799999999</v>
      </c>
      <c r="AF105" s="249">
        <f>+'P01 2025'!CI52</f>
        <v>1377.673</v>
      </c>
      <c r="AG105" s="327">
        <f>+'P01 2024'!CM67</f>
        <v>1114.1459960000002</v>
      </c>
      <c r="AH105" s="327">
        <f>+'P01 2025'!CX52</f>
        <v>1187.933</v>
      </c>
      <c r="AI105" s="175">
        <f>+'P01 2024'!DB69</f>
        <v>1280.089706</v>
      </c>
      <c r="AJ105" s="249">
        <f>+'P01 2024'!DR63</f>
        <v>873.33100000000002</v>
      </c>
      <c r="AK105" s="249">
        <f>'P01 2024'!EG60</f>
        <v>1179.2349999999999</v>
      </c>
      <c r="AL105" s="249">
        <f>+'P01 2024'!ET58</f>
        <v>1253.7470000000001</v>
      </c>
      <c r="AM105" s="175">
        <f>+'P01 2024'!FL74</f>
        <v>2056.6039999999998</v>
      </c>
      <c r="AN105" s="1194"/>
      <c r="AO105" s="151"/>
      <c r="AP105" s="151"/>
      <c r="AQ105" s="151"/>
      <c r="AR105" s="151"/>
      <c r="AS105" s="151"/>
      <c r="AT105" s="151"/>
      <c r="AU105" s="151"/>
      <c r="AV105" s="151"/>
      <c r="AW105" s="1195"/>
      <c r="AX105" s="1196"/>
      <c r="AY105" s="148"/>
      <c r="AZ105" s="151"/>
      <c r="BA105" s="151"/>
      <c r="BB105" s="1172"/>
      <c r="BC105" s="151"/>
      <c r="BD105" s="151"/>
      <c r="BE105" s="1171"/>
      <c r="BF105" s="1171"/>
      <c r="BG105" s="1171"/>
      <c r="BH105" s="1171"/>
      <c r="BI105" s="151"/>
      <c r="BJ105" s="156"/>
      <c r="BK105" s="156"/>
      <c r="BL105" s="594"/>
      <c r="BM105" s="594"/>
      <c r="BN105" s="594"/>
      <c r="BO105" s="594"/>
      <c r="BP105" s="185"/>
      <c r="BQ105" s="156"/>
      <c r="BR105" s="594"/>
      <c r="BS105" s="594"/>
      <c r="BT105" s="594"/>
      <c r="BU105" s="594"/>
      <c r="BV105" s="156"/>
      <c r="BW105" s="158"/>
      <c r="BX105" s="185"/>
      <c r="BY105" s="185"/>
      <c r="BZ105" s="185"/>
      <c r="CA105" s="185"/>
      <c r="CB105" s="156"/>
      <c r="CC105" s="158"/>
      <c r="CD105" s="157"/>
      <c r="CE105" s="159"/>
      <c r="CF105" s="159"/>
    </row>
    <row r="106" spans="1:84" s="320" customFormat="1" ht="15" hidden="1" customHeight="1" x14ac:dyDescent="0.25">
      <c r="A106" s="329"/>
      <c r="B106" s="952" t="s">
        <v>373</v>
      </c>
      <c r="C106" s="955"/>
      <c r="D106" s="794"/>
      <c r="E106" s="933" t="s">
        <v>162</v>
      </c>
      <c r="F106" s="316"/>
      <c r="G106" s="315" t="str">
        <f t="shared" si="20"/>
        <v>22.05.003</v>
      </c>
      <c r="H106" s="501" t="s">
        <v>55</v>
      </c>
      <c r="I106" s="248">
        <f>+'P01 2025'!F84</f>
        <v>2500</v>
      </c>
      <c r="J106" s="317">
        <f>'P01 2025'!DE88</f>
        <v>2500</v>
      </c>
      <c r="K106" s="317">
        <f ca="1">SUMIF(T$3:$AM98,"ok",T106:AM106)</f>
        <v>922.25</v>
      </c>
      <c r="L106" s="379">
        <f t="shared" ca="1" si="18"/>
        <v>0.36890000000000001</v>
      </c>
      <c r="M106" s="319">
        <f>'P01 2025'!DG88</f>
        <v>1800</v>
      </c>
      <c r="N106" s="379">
        <f t="shared" si="13"/>
        <v>0.72</v>
      </c>
      <c r="O106" s="317">
        <f t="shared" si="14"/>
        <v>700</v>
      </c>
      <c r="P106" s="445">
        <f t="shared" si="15"/>
        <v>0.28000000000000003</v>
      </c>
      <c r="Q106" s="249">
        <f>+'P01 2024'!DJ86</f>
        <v>2492.4639999999999</v>
      </c>
      <c r="R106" s="311">
        <f ca="1">SUMIF(T$3:$AM97,"SI",T106:AM106)</f>
        <v>1649.7923479999999</v>
      </c>
      <c r="S106" s="379">
        <f t="shared" ca="1" si="16"/>
        <v>0.66191220735785949</v>
      </c>
      <c r="T106" s="326">
        <f>+'P01 2025'!G84</f>
        <v>80.95</v>
      </c>
      <c r="U106" s="468">
        <f>+'P01 2024'!K83</f>
        <v>0</v>
      </c>
      <c r="V106" s="468">
        <v>0</v>
      </c>
      <c r="W106" s="326">
        <f>+'P01 2024'!Q55</f>
        <v>77.941599999999994</v>
      </c>
      <c r="X106" s="319">
        <f>+'P01 2025'!AC69</f>
        <v>85.2</v>
      </c>
      <c r="Y106" s="249">
        <f>+'P01 2024'!AE65</f>
        <v>71.220699999999994</v>
      </c>
      <c r="Z106" s="249">
        <f>+'P01 2025'!AR60</f>
        <v>101.85</v>
      </c>
      <c r="AA106" s="249">
        <f>+'P01 2024'!AT56</f>
        <v>99.094200000000001</v>
      </c>
      <c r="AB106" s="249">
        <f>'P01 2025'!BF54</f>
        <v>130.6</v>
      </c>
      <c r="AC106" s="249">
        <v>0</v>
      </c>
      <c r="AD106" s="249">
        <f>+'P01 2025'!BU65</f>
        <v>335.9</v>
      </c>
      <c r="AE106" s="249">
        <f>+'P01 2024'!BX68</f>
        <v>287.07100000000003</v>
      </c>
      <c r="AF106" s="249">
        <v>0</v>
      </c>
      <c r="AG106" s="327">
        <f>+'P01 2024'!CM68</f>
        <v>306.85858000000002</v>
      </c>
      <c r="AH106" s="327">
        <f>+'P01 2025'!CX53</f>
        <v>187.75</v>
      </c>
      <c r="AI106" s="175">
        <f>+'P01 2024'!DB70</f>
        <v>807.606268</v>
      </c>
      <c r="AJ106" s="249">
        <v>0</v>
      </c>
      <c r="AK106" s="249">
        <f>'P01 2024'!EG61</f>
        <v>304.60000000000002</v>
      </c>
      <c r="AL106" s="249">
        <f>+'P01 2024'!ET59</f>
        <v>225.453</v>
      </c>
      <c r="AM106" s="175">
        <f>+'P01 2024'!FL75</f>
        <v>174.2</v>
      </c>
      <c r="AN106" s="1194"/>
      <c r="AO106" s="151"/>
      <c r="AP106" s="151"/>
      <c r="AQ106" s="151"/>
      <c r="AR106" s="151"/>
      <c r="AS106" s="151"/>
      <c r="AT106" s="151"/>
      <c r="AU106" s="151"/>
      <c r="AV106" s="151"/>
      <c r="AW106" s="1195"/>
      <c r="AX106" s="1196"/>
      <c r="AY106" s="148"/>
      <c r="AZ106" s="151"/>
      <c r="BA106" s="151"/>
      <c r="BB106" s="1172"/>
      <c r="BC106" s="151"/>
      <c r="BD106" s="151"/>
      <c r="BE106" s="1171"/>
      <c r="BF106" s="1171"/>
      <c r="BG106" s="1171"/>
      <c r="BH106" s="1171"/>
      <c r="BI106" s="151"/>
      <c r="BJ106" s="156"/>
      <c r="BK106" s="156"/>
      <c r="BL106" s="594"/>
      <c r="BM106" s="594"/>
      <c r="BN106" s="594"/>
      <c r="BO106" s="594"/>
      <c r="BP106" s="185"/>
      <c r="BQ106" s="156"/>
      <c r="BR106" s="594"/>
      <c r="BS106" s="594"/>
      <c r="BT106" s="594"/>
      <c r="BU106" s="594"/>
      <c r="BV106" s="156"/>
      <c r="BW106" s="158"/>
      <c r="BX106" s="185"/>
      <c r="BY106" s="185"/>
      <c r="BZ106" s="185"/>
      <c r="CA106" s="185"/>
      <c r="CB106" s="156"/>
      <c r="CC106" s="158"/>
      <c r="CD106" s="157"/>
      <c r="CE106" s="159"/>
      <c r="CF106" s="159"/>
    </row>
    <row r="107" spans="1:84" s="320" customFormat="1" ht="15" hidden="1" customHeight="1" x14ac:dyDescent="0.25">
      <c r="A107" s="329"/>
      <c r="B107" s="952" t="s">
        <v>374</v>
      </c>
      <c r="C107" s="955"/>
      <c r="D107" s="794"/>
      <c r="E107" s="933" t="s">
        <v>175</v>
      </c>
      <c r="F107" s="316"/>
      <c r="G107" s="315" t="str">
        <f t="shared" si="20"/>
        <v>22.05.004</v>
      </c>
      <c r="H107" s="501" t="s">
        <v>56</v>
      </c>
      <c r="I107" s="248">
        <f>+'P01 2025'!F85</f>
        <v>16572</v>
      </c>
      <c r="J107" s="317">
        <f>'P01 2025'!DE89</f>
        <v>18000</v>
      </c>
      <c r="K107" s="317">
        <f ca="1">SUMIF(T$3:$AM99,"ok",T107:AM107)</f>
        <v>9187.1620000000003</v>
      </c>
      <c r="L107" s="379">
        <f t="shared" ca="1" si="18"/>
        <v>0.51039788888888893</v>
      </c>
      <c r="M107" s="319">
        <f>'P01 2025'!DG89</f>
        <v>18000</v>
      </c>
      <c r="N107" s="379">
        <f t="shared" si="13"/>
        <v>1</v>
      </c>
      <c r="O107" s="317">
        <f t="shared" si="14"/>
        <v>0</v>
      </c>
      <c r="P107" s="445">
        <f t="shared" si="15"/>
        <v>0</v>
      </c>
      <c r="Q107" s="249">
        <f>+'P01 2024'!DJ87</f>
        <v>19006.080000000002</v>
      </c>
      <c r="R107" s="311">
        <f ca="1">SUMIF(T$3:$AM98,"SI",T107:AM107)</f>
        <v>6726.9175500000001</v>
      </c>
      <c r="S107" s="379">
        <f t="shared" ca="1" si="16"/>
        <v>0.35393503289473682</v>
      </c>
      <c r="T107" s="326">
        <f>+'P01 2025'!G85</f>
        <v>0</v>
      </c>
      <c r="U107" s="468">
        <f>+'P01 2024'!K84</f>
        <v>0</v>
      </c>
      <c r="V107" s="468">
        <f>+'P01 2025'!N55</f>
        <v>1.49</v>
      </c>
      <c r="W107" s="326">
        <f>+'P01 2024'!Q56</f>
        <v>791.16559199999995</v>
      </c>
      <c r="X107" s="319">
        <f>+'P01 2025'!AC70</f>
        <v>3525.375</v>
      </c>
      <c r="Y107" s="249">
        <f>+'P01 2024'!AE66</f>
        <v>915.15213000000006</v>
      </c>
      <c r="Z107" s="249">
        <f>+'P01 2025'!AR61</f>
        <v>2565.2060000000001</v>
      </c>
      <c r="AA107" s="249">
        <f>+'P01 2024'!AT57</f>
        <v>633.90903600000001</v>
      </c>
      <c r="AB107" s="249">
        <f>'P01 2025'!BF55</f>
        <v>779.55799999999999</v>
      </c>
      <c r="AC107" s="249">
        <f>+'P01 2024'!BI53</f>
        <v>940.59047600000008</v>
      </c>
      <c r="AD107" s="249">
        <f>+'P01 2025'!BU66</f>
        <v>794.34500000000003</v>
      </c>
      <c r="AE107" s="249">
        <f>+'P01 2024'!BX69</f>
        <v>1519.3641660000001</v>
      </c>
      <c r="AF107" s="249">
        <v>0</v>
      </c>
      <c r="AG107" s="327">
        <f>+'P01 2024'!CM69</f>
        <v>807.74068599999998</v>
      </c>
      <c r="AH107" s="327">
        <f>+'P01 2025'!CX54</f>
        <v>1521.1880000000001</v>
      </c>
      <c r="AI107" s="175">
        <f>+'P01 2024'!DB71</f>
        <v>1118.9954640000001</v>
      </c>
      <c r="AJ107" s="249">
        <f>+'P01 2024'!DR64</f>
        <v>826.85299999999995</v>
      </c>
      <c r="AK107" s="249">
        <f>'P01 2024'!EG62</f>
        <v>687.44899999999996</v>
      </c>
      <c r="AL107" s="249">
        <f>+'P01 2024'!ET60</f>
        <v>3940.2629999999999</v>
      </c>
      <c r="AM107" s="175">
        <f>+'P01 2024'!FL76</f>
        <v>1985.9739999999999</v>
      </c>
      <c r="AN107" s="1194"/>
      <c r="AO107" s="151"/>
      <c r="AP107" s="151"/>
      <c r="AQ107" s="151"/>
      <c r="AR107" s="151"/>
      <c r="AS107" s="151"/>
      <c r="AT107" s="151"/>
      <c r="AU107" s="151"/>
      <c r="AV107" s="151"/>
      <c r="AW107" s="1195"/>
      <c r="AX107" s="1196"/>
      <c r="AY107" s="148"/>
      <c r="AZ107" s="151"/>
      <c r="BA107" s="151"/>
      <c r="BB107" s="1172"/>
      <c r="BC107" s="151"/>
      <c r="BD107" s="151"/>
      <c r="BE107" s="1171"/>
      <c r="BF107" s="1171"/>
      <c r="BG107" s="1171"/>
      <c r="BH107" s="1171"/>
      <c r="BI107" s="151"/>
      <c r="BJ107" s="156"/>
      <c r="BK107" s="156"/>
      <c r="BL107" s="594"/>
      <c r="BM107" s="594"/>
      <c r="BN107" s="594"/>
      <c r="BO107" s="594"/>
      <c r="BP107" s="185"/>
      <c r="BQ107" s="156"/>
      <c r="BR107" s="594"/>
      <c r="BS107" s="594"/>
      <c r="BT107" s="594"/>
      <c r="BU107" s="594"/>
      <c r="BV107" s="156"/>
      <c r="BW107" s="158"/>
      <c r="BX107" s="185"/>
      <c r="BY107" s="185"/>
      <c r="BZ107" s="185"/>
      <c r="CA107" s="185"/>
      <c r="CB107" s="156"/>
      <c r="CC107" s="158"/>
      <c r="CD107" s="157"/>
      <c r="CE107" s="159"/>
      <c r="CF107" s="159"/>
    </row>
    <row r="108" spans="1:84" s="320" customFormat="1" ht="15" hidden="1" customHeight="1" x14ac:dyDescent="0.25">
      <c r="A108" s="329"/>
      <c r="B108" s="952" t="s">
        <v>375</v>
      </c>
      <c r="C108" s="955"/>
      <c r="D108" s="794"/>
      <c r="E108" s="933" t="s">
        <v>176</v>
      </c>
      <c r="F108" s="316"/>
      <c r="G108" s="315" t="str">
        <f t="shared" si="20"/>
        <v>22.05.005</v>
      </c>
      <c r="H108" s="501" t="s">
        <v>57</v>
      </c>
      <c r="I108" s="248">
        <f>+'P01 2025'!F86</f>
        <v>400</v>
      </c>
      <c r="J108" s="317">
        <f>'P01 2025'!DE90</f>
        <v>107297.02800000001</v>
      </c>
      <c r="K108" s="317">
        <f ca="1">SUMIF(T$3:$AM100,"ok",T108:AM108)</f>
        <v>49186.353999999999</v>
      </c>
      <c r="L108" s="379">
        <f t="shared" ca="1" si="18"/>
        <v>0.4584130140119072</v>
      </c>
      <c r="M108" s="319">
        <f>'P01 2025'!DG90</f>
        <v>107297.02800000001</v>
      </c>
      <c r="N108" s="379">
        <f t="shared" si="13"/>
        <v>1</v>
      </c>
      <c r="O108" s="317">
        <f t="shared" si="14"/>
        <v>0</v>
      </c>
      <c r="P108" s="445">
        <f t="shared" si="15"/>
        <v>0</v>
      </c>
      <c r="Q108" s="249">
        <f>+'P01 2024'!DJ88</f>
        <v>75030.337444000004</v>
      </c>
      <c r="R108" s="311">
        <f ca="1">SUMIF(T$3:$AM99,"SI",T108:AM108)</f>
        <v>17084.046395999998</v>
      </c>
      <c r="S108" s="379">
        <f t="shared" ca="1" si="16"/>
        <v>0.22769518274859055</v>
      </c>
      <c r="T108" s="326">
        <f>+'P01 2025'!G86</f>
        <v>0</v>
      </c>
      <c r="U108" s="468">
        <f>+'P01 2024'!K85</f>
        <v>5694.6821319999999</v>
      </c>
      <c r="V108" s="468">
        <f>+'P01 2025'!N56</f>
        <v>27325.74</v>
      </c>
      <c r="W108" s="326">
        <f>+'P01 2024'!Q57</f>
        <v>5694.6821319999999</v>
      </c>
      <c r="X108" s="319">
        <v>0</v>
      </c>
      <c r="Y108" s="249">
        <f>+'P01 2024'!AE67</f>
        <v>5694.6821319999999</v>
      </c>
      <c r="Z108" s="249">
        <v>0</v>
      </c>
      <c r="AA108" s="249">
        <v>0</v>
      </c>
      <c r="AB108" s="249">
        <f>'P01 2025'!BF56</f>
        <v>16395.468000000001</v>
      </c>
      <c r="AC108" s="249">
        <v>0</v>
      </c>
      <c r="AD108" s="249">
        <f>+'P01 2025'!BU67</f>
        <v>5465.1459999999997</v>
      </c>
      <c r="AE108" s="249">
        <v>0</v>
      </c>
      <c r="AF108" s="249">
        <v>0</v>
      </c>
      <c r="AG108" s="327">
        <v>0</v>
      </c>
      <c r="AH108" s="327"/>
      <c r="AI108" s="175">
        <v>0</v>
      </c>
      <c r="AJ108" s="249">
        <f>+'P01 2024'!DR65</f>
        <v>5465.1559999999999</v>
      </c>
      <c r="AK108" s="249">
        <f>'P01 2024'!EG63</f>
        <v>5465.1559999999999</v>
      </c>
      <c r="AL108" s="249">
        <f>+'P01 2024'!ET61</f>
        <v>10930.291999999999</v>
      </c>
      <c r="AM108" s="175">
        <f>+'P01 2024'!FL77</f>
        <v>5465.1559999999999</v>
      </c>
      <c r="AN108" s="1194"/>
      <c r="AO108" s="151"/>
      <c r="AP108" s="151"/>
      <c r="AQ108" s="151"/>
      <c r="AR108" s="151"/>
      <c r="AS108" s="151"/>
      <c r="AT108" s="151"/>
      <c r="AU108" s="151"/>
      <c r="AV108" s="151"/>
      <c r="AW108" s="1195"/>
      <c r="AX108" s="1196"/>
      <c r="AY108" s="148"/>
      <c r="AZ108" s="151"/>
      <c r="BA108" s="151"/>
      <c r="BB108" s="1172"/>
      <c r="BC108" s="151"/>
      <c r="BD108" s="151"/>
      <c r="BE108" s="1171"/>
      <c r="BF108" s="1171"/>
      <c r="BG108" s="1171"/>
      <c r="BH108" s="1171"/>
      <c r="BI108" s="151"/>
      <c r="BJ108" s="156"/>
      <c r="BK108" s="156"/>
      <c r="BL108" s="594"/>
      <c r="BM108" s="594"/>
      <c r="BN108" s="594"/>
      <c r="BO108" s="594"/>
      <c r="BP108" s="185"/>
      <c r="BQ108" s="156"/>
      <c r="BR108" s="594"/>
      <c r="BS108" s="594"/>
      <c r="BT108" s="594"/>
      <c r="BU108" s="594"/>
      <c r="BV108" s="156"/>
      <c r="BW108" s="158"/>
      <c r="BX108" s="185"/>
      <c r="BY108" s="185"/>
      <c r="BZ108" s="185"/>
      <c r="CA108" s="185"/>
      <c r="CB108" s="156"/>
      <c r="CC108" s="158"/>
      <c r="CD108" s="157"/>
      <c r="CE108" s="159"/>
      <c r="CF108" s="159"/>
    </row>
    <row r="109" spans="1:84" s="320" customFormat="1" ht="15" hidden="1" customHeight="1" x14ac:dyDescent="0.25">
      <c r="A109" s="329"/>
      <c r="B109" s="952" t="s">
        <v>376</v>
      </c>
      <c r="C109" s="955"/>
      <c r="D109" s="794"/>
      <c r="E109" s="933" t="s">
        <v>177</v>
      </c>
      <c r="F109" s="316"/>
      <c r="G109" s="315" t="str">
        <f t="shared" si="20"/>
        <v>22.05.006</v>
      </c>
      <c r="H109" s="501" t="s">
        <v>58</v>
      </c>
      <c r="I109" s="248">
        <f>+'P01 2025'!F87</f>
        <v>1500</v>
      </c>
      <c r="J109" s="317">
        <f>'P01 2025'!DE91</f>
        <v>1351.8</v>
      </c>
      <c r="K109" s="317">
        <f ca="1">SUMIF(T$3:$AM101,"ok",T109:AM109)</f>
        <v>675.9</v>
      </c>
      <c r="L109" s="379">
        <f t="shared" ca="1" si="18"/>
        <v>0.5</v>
      </c>
      <c r="M109" s="319">
        <f>'P01 2025'!DG91</f>
        <v>1351.8</v>
      </c>
      <c r="N109" s="379">
        <f t="shared" si="13"/>
        <v>1</v>
      </c>
      <c r="O109" s="317">
        <f t="shared" si="14"/>
        <v>0</v>
      </c>
      <c r="P109" s="445">
        <f t="shared" si="15"/>
        <v>0</v>
      </c>
      <c r="Q109" s="249">
        <f>+'P01 2024'!DJ89</f>
        <v>4574.6540459999997</v>
      </c>
      <c r="R109" s="311">
        <f ca="1">SUMIF(T$3:$AM100,"SI",T109:AM109)</f>
        <v>0</v>
      </c>
      <c r="S109" s="379">
        <f t="shared" ca="1" si="16"/>
        <v>0</v>
      </c>
      <c r="T109" s="326">
        <f>+'P01 2025'!G87</f>
        <v>0</v>
      </c>
      <c r="U109" s="468">
        <f>+'P01 2024'!K86</f>
        <v>0</v>
      </c>
      <c r="V109" s="468">
        <v>0</v>
      </c>
      <c r="W109" s="326">
        <v>0</v>
      </c>
      <c r="X109" s="326">
        <v>0</v>
      </c>
      <c r="Y109" s="249">
        <v>0</v>
      </c>
      <c r="Z109" s="249">
        <v>0</v>
      </c>
      <c r="AA109" s="249">
        <v>0</v>
      </c>
      <c r="AB109" s="249">
        <v>0</v>
      </c>
      <c r="AC109" s="249">
        <v>0</v>
      </c>
      <c r="AD109" s="249">
        <v>0</v>
      </c>
      <c r="AE109" s="249">
        <v>0</v>
      </c>
      <c r="AF109" s="249">
        <v>0</v>
      </c>
      <c r="AG109" s="327">
        <v>0</v>
      </c>
      <c r="AH109" s="327">
        <f>+'P01 2025'!CX55</f>
        <v>675.9</v>
      </c>
      <c r="AI109" s="175">
        <v>0</v>
      </c>
      <c r="AJ109" s="249">
        <f>+'P01 2024'!DR66</f>
        <v>629.96100000000001</v>
      </c>
      <c r="AK109" s="249">
        <f>'P01 2024'!EG64</f>
        <v>3293.0439999999999</v>
      </c>
      <c r="AL109" s="249">
        <v>0</v>
      </c>
      <c r="AM109" s="175">
        <v>0</v>
      </c>
      <c r="AN109" s="1194"/>
      <c r="AO109" s="151"/>
      <c r="AP109" s="151"/>
      <c r="AQ109" s="151"/>
      <c r="AR109" s="151"/>
      <c r="AS109" s="151"/>
      <c r="AT109" s="151"/>
      <c r="AU109" s="151"/>
      <c r="AV109" s="151"/>
      <c r="AW109" s="1195"/>
      <c r="AX109" s="1196"/>
      <c r="AY109" s="148"/>
      <c r="AZ109" s="151"/>
      <c r="BA109" s="151"/>
      <c r="BB109" s="1172"/>
      <c r="BC109" s="151"/>
      <c r="BD109" s="151"/>
      <c r="BE109" s="1171"/>
      <c r="BF109" s="1171"/>
      <c r="BG109" s="1171"/>
      <c r="BH109" s="1171"/>
      <c r="BI109" s="151"/>
      <c r="BJ109" s="156"/>
      <c r="BK109" s="156"/>
      <c r="BL109" s="594"/>
      <c r="BM109" s="594"/>
      <c r="BN109" s="594"/>
      <c r="BO109" s="594"/>
      <c r="BP109" s="185"/>
      <c r="BQ109" s="156"/>
      <c r="BR109" s="594"/>
      <c r="BS109" s="594"/>
      <c r="BT109" s="594"/>
      <c r="BU109" s="594"/>
      <c r="BV109" s="156"/>
      <c r="BW109" s="158"/>
      <c r="BX109" s="185"/>
      <c r="BY109" s="185"/>
      <c r="BZ109" s="185"/>
      <c r="CA109" s="185"/>
      <c r="CB109" s="156"/>
      <c r="CC109" s="158"/>
      <c r="CD109" s="157"/>
      <c r="CE109" s="159"/>
      <c r="CF109" s="159"/>
    </row>
    <row r="110" spans="1:84" s="320" customFormat="1" ht="15" hidden="1" customHeight="1" x14ac:dyDescent="0.25">
      <c r="A110" s="329"/>
      <c r="B110" s="952" t="s">
        <v>377</v>
      </c>
      <c r="C110" s="955"/>
      <c r="D110" s="794"/>
      <c r="E110" s="933" t="s">
        <v>166</v>
      </c>
      <c r="F110" s="316"/>
      <c r="G110" s="315" t="str">
        <f t="shared" si="20"/>
        <v>22.05.007</v>
      </c>
      <c r="H110" s="501" t="s">
        <v>59</v>
      </c>
      <c r="I110" s="248">
        <f>+'P01 2025'!F88</f>
        <v>6773</v>
      </c>
      <c r="J110" s="317">
        <f>'P01 2025'!DE92</f>
        <v>73</v>
      </c>
      <c r="K110" s="317">
        <f ca="1">SUMIF(T$3:$AM102,"ok",T110:AM110)</f>
        <v>0</v>
      </c>
      <c r="L110" s="379">
        <f t="shared" ca="1" si="18"/>
        <v>0</v>
      </c>
      <c r="M110" s="319">
        <f>'P01 2025'!DG92</f>
        <v>0</v>
      </c>
      <c r="N110" s="379">
        <f t="shared" si="13"/>
        <v>0</v>
      </c>
      <c r="O110" s="317">
        <f t="shared" si="14"/>
        <v>73</v>
      </c>
      <c r="P110" s="445">
        <f t="shared" si="15"/>
        <v>1</v>
      </c>
      <c r="Q110" s="249">
        <f>+'P01 2024'!DJ90</f>
        <v>5585.12</v>
      </c>
      <c r="R110" s="311">
        <f ca="1">SUMIF(T$3:$AM101,"SI",T110:AM110)</f>
        <v>3459.6681980000003</v>
      </c>
      <c r="S110" s="379">
        <f t="shared" ca="1" si="16"/>
        <v>0.61944384328358215</v>
      </c>
      <c r="T110" s="326">
        <f>+'P01 2025'!G88</f>
        <v>0</v>
      </c>
      <c r="U110" s="468">
        <f>+'P01 2024'!K87</f>
        <v>0</v>
      </c>
      <c r="V110" s="468">
        <v>0</v>
      </c>
      <c r="W110" s="326">
        <f>+'P01 2024'!Q58</f>
        <v>494.238314</v>
      </c>
      <c r="X110" s="326">
        <v>0</v>
      </c>
      <c r="Y110" s="249">
        <f>+'P01 2024'!AE68</f>
        <v>494.238314</v>
      </c>
      <c r="Z110" s="249">
        <v>0</v>
      </c>
      <c r="AA110" s="249">
        <f>+'P01 2024'!AT58</f>
        <v>494.238314</v>
      </c>
      <c r="AB110" s="249">
        <v>0</v>
      </c>
      <c r="AC110" s="249">
        <f>+'P01 2024'!BI54</f>
        <v>494.238314</v>
      </c>
      <c r="AD110" s="249">
        <v>0</v>
      </c>
      <c r="AE110" s="249">
        <f>+'P01 2024'!BX70</f>
        <v>494.238314</v>
      </c>
      <c r="AF110" s="249">
        <v>0</v>
      </c>
      <c r="AG110" s="327">
        <f>+'P01 2024'!CM70</f>
        <v>494.238314</v>
      </c>
      <c r="AH110" s="249">
        <v>0</v>
      </c>
      <c r="AI110" s="175">
        <f>+'P01 2024'!DB72</f>
        <v>494.238314</v>
      </c>
      <c r="AJ110" s="249">
        <f>+'P01 2024'!DR67</f>
        <v>474.31700000000001</v>
      </c>
      <c r="AK110" s="249">
        <f>'P01 2024'!EG65</f>
        <v>474.31700000000001</v>
      </c>
      <c r="AL110" s="249">
        <v>0</v>
      </c>
      <c r="AM110" s="175">
        <v>0</v>
      </c>
      <c r="AN110" s="1194"/>
      <c r="AO110" s="151"/>
      <c r="AP110" s="151"/>
      <c r="AQ110" s="151"/>
      <c r="AR110" s="151"/>
      <c r="AS110" s="151"/>
      <c r="AT110" s="151"/>
      <c r="AU110" s="151"/>
      <c r="AV110" s="151"/>
      <c r="AW110" s="1195"/>
      <c r="AX110" s="1196"/>
      <c r="AY110" s="148"/>
      <c r="AZ110" s="151"/>
      <c r="BA110" s="151"/>
      <c r="BB110" s="1172"/>
      <c r="BC110" s="151"/>
      <c r="BD110" s="151"/>
      <c r="BE110" s="1171"/>
      <c r="BF110" s="1171"/>
      <c r="BG110" s="1171"/>
      <c r="BH110" s="1171"/>
      <c r="BI110" s="151"/>
      <c r="BJ110" s="156"/>
      <c r="BK110" s="156"/>
      <c r="BL110" s="594"/>
      <c r="BM110" s="594"/>
      <c r="BN110" s="594"/>
      <c r="BO110" s="594"/>
      <c r="BP110" s="185"/>
      <c r="BQ110" s="156"/>
      <c r="BR110" s="594"/>
      <c r="BS110" s="594"/>
      <c r="BT110" s="594"/>
      <c r="BU110" s="594"/>
      <c r="BV110" s="156"/>
      <c r="BW110" s="158"/>
      <c r="BX110" s="185"/>
      <c r="BY110" s="185"/>
      <c r="BZ110" s="185"/>
      <c r="CA110" s="185"/>
      <c r="CB110" s="156"/>
      <c r="CC110" s="158"/>
      <c r="CD110" s="157"/>
      <c r="CE110" s="159"/>
      <c r="CF110" s="159"/>
    </row>
    <row r="111" spans="1:84" s="320" customFormat="1" ht="15" hidden="1" customHeight="1" x14ac:dyDescent="0.25">
      <c r="A111" s="329"/>
      <c r="B111" s="952" t="s">
        <v>556</v>
      </c>
      <c r="C111" s="955"/>
      <c r="D111" s="794"/>
      <c r="E111" s="933" t="s">
        <v>167</v>
      </c>
      <c r="F111" s="316"/>
      <c r="G111" s="315" t="str">
        <f t="shared" si="20"/>
        <v>22.05.008</v>
      </c>
      <c r="H111" s="501" t="s">
        <v>60</v>
      </c>
      <c r="I111" s="248">
        <f>+'P01 2025'!F89</f>
        <v>46193.417999999998</v>
      </c>
      <c r="J111" s="317">
        <f>'P01 2025'!DE93</f>
        <v>47698.767</v>
      </c>
      <c r="K111" s="317">
        <f ca="1">SUMIF(T$3:$AM103,"ok",T111:AM111)</f>
        <v>32765.430999999997</v>
      </c>
      <c r="L111" s="379">
        <f t="shared" ca="1" si="18"/>
        <v>0.68692406661161698</v>
      </c>
      <c r="M111" s="319">
        <f>'P01 2025'!DG93</f>
        <v>47698.767</v>
      </c>
      <c r="N111" s="379">
        <f t="shared" si="13"/>
        <v>1</v>
      </c>
      <c r="O111" s="317">
        <f t="shared" si="14"/>
        <v>0</v>
      </c>
      <c r="P111" s="445">
        <f t="shared" si="15"/>
        <v>0</v>
      </c>
      <c r="Q111" s="249">
        <f>+'P01 2024'!DJ91</f>
        <v>43543.354416000002</v>
      </c>
      <c r="R111" s="311">
        <f ca="1">SUMIF(T$3:$AM102,"SI",T111:AM111)</f>
        <v>21338.551152</v>
      </c>
      <c r="S111" s="379">
        <f t="shared" ca="1" si="16"/>
        <v>0.49005299288929266</v>
      </c>
      <c r="T111" s="326">
        <f>+'P01 2025'!G89</f>
        <v>1393.4169999999999</v>
      </c>
      <c r="U111" s="468">
        <f>+'P01 2024'!K88</f>
        <v>3267.5098520000001</v>
      </c>
      <c r="V111" s="468">
        <f>+'P01 2025'!N57</f>
        <v>3733.3330000000001</v>
      </c>
      <c r="W111" s="175">
        <v>0</v>
      </c>
      <c r="X111" s="175">
        <v>0</v>
      </c>
      <c r="Y111" s="249">
        <f>+'P01 2024'!AE69</f>
        <v>6535.0197040000003</v>
      </c>
      <c r="Z111" s="249">
        <f>+'P01 2025'!AR62</f>
        <v>11199.999</v>
      </c>
      <c r="AA111" s="249">
        <f>+'P01 2024'!AT59</f>
        <v>3267.5098520000001</v>
      </c>
      <c r="AB111" s="249">
        <f>'P01 2025'!BF57</f>
        <v>7466.6660000000002</v>
      </c>
      <c r="AC111" s="249">
        <f>+'P01 2024'!BI55</f>
        <v>3267.5098520000001</v>
      </c>
      <c r="AD111" s="249">
        <f>+'P01 2025'!BU68</f>
        <v>1505.35</v>
      </c>
      <c r="AE111" s="249">
        <f>+'P01 2024'!BX71</f>
        <v>3267.5098520000001</v>
      </c>
      <c r="AF111" s="249">
        <f>+'P01 2025'!CI53</f>
        <v>3733.3330000000001</v>
      </c>
      <c r="AG111" s="327">
        <f>+'P01 2024'!CM71</f>
        <v>1733.4920399999999</v>
      </c>
      <c r="AH111" s="327">
        <f>+'P01 2025'!CX56</f>
        <v>3733.3330000000001</v>
      </c>
      <c r="AI111" s="175">
        <v>0</v>
      </c>
      <c r="AJ111" s="249">
        <f>+'P01 2024'!DR68</f>
        <v>10466.518</v>
      </c>
      <c r="AK111" s="249">
        <f>'P01 2024'!EG66</f>
        <v>3135.806</v>
      </c>
      <c r="AL111" s="249">
        <f>+'P01 2024'!ET62</f>
        <v>813.97500000000002</v>
      </c>
      <c r="AM111" s="175">
        <f>+'P01 2024'!FL78</f>
        <v>5541.8459999999995</v>
      </c>
      <c r="AN111" s="1194"/>
      <c r="AO111" s="151"/>
      <c r="AP111" s="151"/>
      <c r="AQ111" s="151"/>
      <c r="AR111" s="151"/>
      <c r="AS111" s="151"/>
      <c r="AT111" s="151"/>
      <c r="AU111" s="151"/>
      <c r="AV111" s="151"/>
      <c r="AW111" s="1195"/>
      <c r="AX111" s="1196"/>
      <c r="AY111" s="148"/>
      <c r="AZ111" s="151"/>
      <c r="BA111" s="151"/>
      <c r="BB111" s="1172"/>
      <c r="BC111" s="151"/>
      <c r="BD111" s="151"/>
      <c r="BE111" s="1171"/>
      <c r="BF111" s="1171"/>
      <c r="BG111" s="1171"/>
      <c r="BH111" s="1171"/>
      <c r="BI111" s="151"/>
      <c r="BJ111" s="156"/>
      <c r="BK111" s="156"/>
      <c r="BL111" s="594"/>
      <c r="BM111" s="594"/>
      <c r="BN111" s="594"/>
      <c r="BO111" s="594"/>
      <c r="BP111" s="185"/>
      <c r="BQ111" s="156"/>
      <c r="BR111" s="594"/>
      <c r="BS111" s="594"/>
      <c r="BT111" s="594"/>
      <c r="BU111" s="594"/>
      <c r="BV111" s="156"/>
      <c r="BW111" s="158"/>
      <c r="BX111" s="185"/>
      <c r="BY111" s="185"/>
      <c r="BZ111" s="185"/>
      <c r="CA111" s="185"/>
      <c r="CB111" s="156"/>
      <c r="CC111" s="158"/>
      <c r="CD111" s="157"/>
      <c r="CE111" s="159"/>
      <c r="CF111" s="159"/>
    </row>
    <row r="112" spans="1:84" s="308" customFormat="1" ht="15" hidden="1" customHeight="1" x14ac:dyDescent="0.25">
      <c r="A112" s="84"/>
      <c r="B112" s="169" t="s">
        <v>378</v>
      </c>
      <c r="C112" s="508"/>
      <c r="D112" s="172" t="s">
        <v>178</v>
      </c>
      <c r="E112" s="309"/>
      <c r="F112" s="309"/>
      <c r="G112" s="309"/>
      <c r="H112" s="512" t="s">
        <v>110</v>
      </c>
      <c r="I112" s="381">
        <f>+'P01 2025'!F90</f>
        <v>37504.447</v>
      </c>
      <c r="J112" s="313">
        <f>'P01 2025'!DE94</f>
        <v>55586.82</v>
      </c>
      <c r="K112" s="313">
        <f ca="1">SUMIF(T$3:$AM104,"ok",T112:AM112)</f>
        <v>38286.381999999998</v>
      </c>
      <c r="L112" s="378">
        <f t="shared" ca="1" si="18"/>
        <v>0.68876726533376076</v>
      </c>
      <c r="M112" s="313">
        <f>'P01 2025'!DG94</f>
        <v>46148.872000000003</v>
      </c>
      <c r="N112" s="378">
        <f t="shared" si="13"/>
        <v>0.83021248562159167</v>
      </c>
      <c r="O112" s="306">
        <f t="shared" si="14"/>
        <v>9437.9479999999967</v>
      </c>
      <c r="P112" s="443">
        <f t="shared" si="15"/>
        <v>0.16978751437840836</v>
      </c>
      <c r="Q112" s="321">
        <f>+'P01 2024'!DJ92</f>
        <v>187074.185214</v>
      </c>
      <c r="R112" s="321">
        <f ca="1">SUMIF(T$3:$AM104,"SI",T112:AM112)</f>
        <v>17081.174643999999</v>
      </c>
      <c r="S112" s="378">
        <f t="shared" ca="1" si="16"/>
        <v>9.1306957314609236E-2</v>
      </c>
      <c r="T112" s="509">
        <f>+'P01 2025'!G90</f>
        <v>1884.96</v>
      </c>
      <c r="U112" s="467">
        <f>+'P01 2024'!K89</f>
        <v>809.78717400000005</v>
      </c>
      <c r="V112" s="467">
        <f>+'P01 2025'!N58</f>
        <v>3011.0569999999998</v>
      </c>
      <c r="W112" s="86">
        <f>+'P01 2024'!Q59</f>
        <v>508.42827</v>
      </c>
      <c r="X112" s="86">
        <f>+'P01 2025'!AC71</f>
        <v>18861.074000000001</v>
      </c>
      <c r="Y112" s="86">
        <f>+'P01 2024'!AE70</f>
        <v>1663.8822720000001</v>
      </c>
      <c r="Z112" s="86">
        <f>+'P01 2025'!AR63</f>
        <v>1225.489</v>
      </c>
      <c r="AA112" s="155">
        <f>+'P01 2024'!AT60</f>
        <v>3691.2016400000002</v>
      </c>
      <c r="AB112" s="155">
        <f>SUM(AB113:AB119)</f>
        <v>4866.7879999999996</v>
      </c>
      <c r="AC112" s="155">
        <f>+'P01 2024'!BI56</f>
        <v>770.73405600000001</v>
      </c>
      <c r="AD112" s="155">
        <f>+'P01 2025'!BU69</f>
        <v>4028.7779999999998</v>
      </c>
      <c r="AE112" s="155">
        <f>+'P01 2024'!BX72</f>
        <v>1396.7301440000001</v>
      </c>
      <c r="AF112" s="155">
        <f>+'P01 2025'!CI54</f>
        <v>2493.1190000000001</v>
      </c>
      <c r="AG112" s="155">
        <f>+'P01 2024'!CM72</f>
        <v>3655.8174039999999</v>
      </c>
      <c r="AH112" s="155">
        <f>+'P01 2025'!CX57</f>
        <v>1915.117</v>
      </c>
      <c r="AI112" s="86">
        <f>+'P01 2024'!DB73</f>
        <v>4584.5936839999995</v>
      </c>
      <c r="AJ112" s="155">
        <f>+'P01 2024'!DR69</f>
        <v>967.69500000000005</v>
      </c>
      <c r="AK112" s="155">
        <f>SUM(AK113:AK119)</f>
        <v>20973.005999999998</v>
      </c>
      <c r="AL112" s="155">
        <f>+'P01 2024'!ET63</f>
        <v>19912.942999999999</v>
      </c>
      <c r="AM112" s="86">
        <f>+'P01 2024'!FL79</f>
        <v>4216.1959999999999</v>
      </c>
      <c r="AN112" s="1194"/>
      <c r="AO112" s="151"/>
      <c r="AP112" s="151"/>
      <c r="AQ112" s="151"/>
      <c r="AR112" s="151"/>
      <c r="AS112" s="151"/>
      <c r="AT112" s="151"/>
      <c r="AU112" s="151"/>
      <c r="AV112" s="151"/>
      <c r="AW112" s="1195"/>
      <c r="AX112" s="1196"/>
      <c r="AY112" s="148"/>
      <c r="AZ112" s="151"/>
      <c r="BA112" s="151"/>
      <c r="BB112" s="1172"/>
      <c r="BC112" s="151"/>
      <c r="BD112" s="151"/>
      <c r="BE112" s="1171"/>
      <c r="BF112" s="1171"/>
      <c r="BG112" s="1171"/>
      <c r="BH112" s="1171"/>
      <c r="BI112" s="1171"/>
      <c r="BJ112" s="932"/>
      <c r="BK112" s="156"/>
      <c r="BL112" s="594"/>
      <c r="BM112" s="594"/>
      <c r="BN112" s="594"/>
      <c r="BO112" s="594"/>
      <c r="BP112" s="185"/>
      <c r="BQ112" s="156"/>
      <c r="BR112" s="594"/>
      <c r="BS112" s="594"/>
      <c r="BT112" s="594"/>
      <c r="BU112" s="594"/>
      <c r="BV112" s="156"/>
      <c r="BW112" s="158"/>
      <c r="BX112" s="185"/>
      <c r="BY112" s="185"/>
      <c r="BZ112" s="185"/>
      <c r="CA112" s="185"/>
      <c r="CB112" s="151"/>
      <c r="CC112" s="148"/>
      <c r="CD112" s="123"/>
      <c r="CE112" s="152"/>
      <c r="CF112" s="152"/>
    </row>
    <row r="113" spans="1:84" s="320" customFormat="1" ht="15" hidden="1" customHeight="1" x14ac:dyDescent="0.25">
      <c r="A113" s="329"/>
      <c r="B113" s="952" t="s">
        <v>557</v>
      </c>
      <c r="C113" s="955"/>
      <c r="D113" s="794"/>
      <c r="E113" s="933" t="s">
        <v>165</v>
      </c>
      <c r="F113" s="316"/>
      <c r="G113" s="315" t="str">
        <f>+CONCATENATE($C$80,"",$D$112,"",E113)</f>
        <v>22.06.001</v>
      </c>
      <c r="H113" s="501" t="s">
        <v>111</v>
      </c>
      <c r="I113" s="248">
        <f>+'P01 2025'!F91</f>
        <v>17290.246999999999</v>
      </c>
      <c r="J113" s="317">
        <f>'P01 2025'!DE95</f>
        <v>28177.991999999998</v>
      </c>
      <c r="K113" s="317">
        <f ca="1">SUMIF(T$3:$AM105,"ok",T113:AM113)</f>
        <v>24143.892000000003</v>
      </c>
      <c r="L113" s="379">
        <f t="shared" ca="1" si="18"/>
        <v>0.85683507895097721</v>
      </c>
      <c r="M113" s="319">
        <f>'P01 2025'!DG95</f>
        <v>27606.792000000001</v>
      </c>
      <c r="N113" s="379">
        <f t="shared" si="13"/>
        <v>0.97972886073642163</v>
      </c>
      <c r="O113" s="317">
        <f t="shared" si="14"/>
        <v>571.19999999999709</v>
      </c>
      <c r="P113" s="445">
        <f t="shared" si="15"/>
        <v>2.0271139263578368E-2</v>
      </c>
      <c r="Q113" s="249">
        <f>+'P01 2024'!DJ93</f>
        <v>151854.33826000002</v>
      </c>
      <c r="R113" s="311">
        <f ca="1">SUMIF(T$3:$AM105,"SI",T113:AM113)</f>
        <v>5809.0770600000014</v>
      </c>
      <c r="S113" s="379">
        <f t="shared" ca="1" si="16"/>
        <v>3.8254271340301717E-2</v>
      </c>
      <c r="T113" s="326">
        <f>+'P01 2025'!G91</f>
        <v>1884.96</v>
      </c>
      <c r="U113" s="468">
        <f>+'P01 2024'!K90</f>
        <v>64.80198</v>
      </c>
      <c r="V113" s="468">
        <f>+'P01 2025'!N59</f>
        <v>2618.5949999999998</v>
      </c>
      <c r="W113" s="175">
        <v>0</v>
      </c>
      <c r="X113" s="319">
        <f>+'P01 2025'!AC72</f>
        <v>15149.718000000001</v>
      </c>
      <c r="Y113" s="249">
        <v>0</v>
      </c>
      <c r="Z113" s="249">
        <v>0</v>
      </c>
      <c r="AA113" s="249">
        <f>+'P01 2024'!AT61</f>
        <v>2064.9730800000002</v>
      </c>
      <c r="AB113" s="249">
        <f>'P01 2025'!BF59</f>
        <v>3784.95</v>
      </c>
      <c r="AC113" s="249">
        <v>0</v>
      </c>
      <c r="AD113" s="249">
        <f>+'P01 2025'!BU70</f>
        <v>487.9</v>
      </c>
      <c r="AE113" s="249">
        <v>0</v>
      </c>
      <c r="AF113" s="249">
        <f>+'P01 2025'!CI55</f>
        <v>217.76900000000001</v>
      </c>
      <c r="AG113" s="327">
        <f>+'P01 2024'!CM73</f>
        <v>2216.1256000000003</v>
      </c>
      <c r="AH113" s="249">
        <v>0</v>
      </c>
      <c r="AI113" s="175">
        <f>+'P01 2024'!DB74</f>
        <v>1463.1764000000001</v>
      </c>
      <c r="AJ113" s="249">
        <f>+'P01 2024'!DR70</f>
        <v>371.28</v>
      </c>
      <c r="AK113" s="249">
        <f>'P01 2024'!EG68</f>
        <v>17663.476999999999</v>
      </c>
      <c r="AL113" s="249">
        <f>+'P01 2024'!ET64</f>
        <v>3447.87</v>
      </c>
      <c r="AM113" s="175">
        <f>+'P01 2024'!FL80</f>
        <v>2337.7150000000001</v>
      </c>
      <c r="AN113" s="1194"/>
      <c r="AO113" s="151"/>
      <c r="AP113" s="151"/>
      <c r="AQ113" s="151"/>
      <c r="AR113" s="151"/>
      <c r="AS113" s="151"/>
      <c r="AT113" s="151"/>
      <c r="AU113" s="151"/>
      <c r="AV113" s="151"/>
      <c r="AW113" s="1195"/>
      <c r="AX113" s="1196"/>
      <c r="AY113" s="148"/>
      <c r="AZ113" s="151"/>
      <c r="BA113" s="151"/>
      <c r="BB113" s="1172"/>
      <c r="BC113" s="151"/>
      <c r="BD113" s="151"/>
      <c r="BE113" s="1171"/>
      <c r="BF113" s="1171"/>
      <c r="BG113" s="1171"/>
      <c r="BH113" s="1171"/>
      <c r="BI113" s="151"/>
      <c r="BJ113" s="156"/>
      <c r="BK113" s="156"/>
      <c r="BL113" s="594"/>
      <c r="BM113" s="594"/>
      <c r="BN113" s="594"/>
      <c r="BO113" s="594"/>
      <c r="BP113" s="185"/>
      <c r="BQ113" s="156"/>
      <c r="BR113" s="594"/>
      <c r="BS113" s="594"/>
      <c r="BT113" s="594"/>
      <c r="BU113" s="594"/>
      <c r="BV113" s="156"/>
      <c r="BW113" s="158"/>
      <c r="BX113" s="185"/>
      <c r="BY113" s="185"/>
      <c r="BZ113" s="185"/>
      <c r="CA113" s="185"/>
      <c r="CB113" s="156"/>
      <c r="CC113" s="158"/>
      <c r="CD113" s="157"/>
      <c r="CE113" s="159"/>
      <c r="CF113" s="159"/>
    </row>
    <row r="114" spans="1:84" s="320" customFormat="1" ht="15" hidden="1" customHeight="1" x14ac:dyDescent="0.25">
      <c r="A114" s="329"/>
      <c r="B114" s="952" t="s">
        <v>558</v>
      </c>
      <c r="C114" s="955"/>
      <c r="D114" s="794"/>
      <c r="E114" s="933" t="s">
        <v>161</v>
      </c>
      <c r="F114" s="316"/>
      <c r="G114" s="315" t="str">
        <f>+CONCATENATE($C$80,"",$D$112,"",E114)</f>
        <v>22.06.002</v>
      </c>
      <c r="H114" s="501" t="s">
        <v>61</v>
      </c>
      <c r="I114" s="248">
        <f>+'P01 2025'!F92</f>
        <v>14000</v>
      </c>
      <c r="J114" s="317">
        <f>'P01 2025'!DE96</f>
        <v>13847.65</v>
      </c>
      <c r="K114" s="317">
        <f ca="1">SUMIF(T$3:$AM106,"ok",T114:AM114)</f>
        <v>9480.5990000000002</v>
      </c>
      <c r="L114" s="379">
        <f t="shared" ca="1" si="18"/>
        <v>0.68463594905994885</v>
      </c>
      <c r="M114" s="319">
        <f>'P01 2025'!DG96</f>
        <v>10759.397000000001</v>
      </c>
      <c r="N114" s="379">
        <f t="shared" si="13"/>
        <v>0.77698360371615405</v>
      </c>
      <c r="O114" s="317">
        <f t="shared" si="14"/>
        <v>3088.2529999999988</v>
      </c>
      <c r="P114" s="445">
        <f t="shared" si="15"/>
        <v>0.22301639628384592</v>
      </c>
      <c r="Q114" s="249">
        <f>+'P01 2024'!DJ94</f>
        <v>19005.159914</v>
      </c>
      <c r="R114" s="311">
        <f ca="1">SUMIF(T$3:$AM106,"SI",T114:AM114)</f>
        <v>8366.4399460000004</v>
      </c>
      <c r="S114" s="379">
        <f t="shared" ca="1" si="16"/>
        <v>0.44021939219974304</v>
      </c>
      <c r="T114" s="326">
        <f>+'P01 2025'!G92</f>
        <v>0</v>
      </c>
      <c r="U114" s="468">
        <f>+'P01 2024'!K91</f>
        <v>744.98519399999998</v>
      </c>
      <c r="V114" s="468">
        <f>+'P01 2025'!N60</f>
        <v>172.55</v>
      </c>
      <c r="W114" s="175">
        <f>+'P01 2024'!Q60</f>
        <v>508.42827</v>
      </c>
      <c r="X114" s="319">
        <f>+'P01 2025'!AC73</f>
        <v>2767.0810000000001</v>
      </c>
      <c r="Y114" s="249">
        <f>+'P01 2024'!AE71</f>
        <v>1097.56465</v>
      </c>
      <c r="Z114" s="249">
        <f>+'P01 2025'!AR64</f>
        <v>1225.489</v>
      </c>
      <c r="AA114" s="249">
        <f>+'P01 2024'!AT62</f>
        <v>955.71093799999994</v>
      </c>
      <c r="AB114" s="249">
        <f>'P01 2025'!BF60</f>
        <v>494.92</v>
      </c>
      <c r="AC114" s="249">
        <f>+'P01 2024'!BI57</f>
        <v>770.73405600000001</v>
      </c>
      <c r="AD114" s="249">
        <f>+'P01 2025'!BU71</f>
        <v>1627.11</v>
      </c>
      <c r="AE114" s="249">
        <f>+'P01 2024'!BX73</f>
        <v>830.41252200000008</v>
      </c>
      <c r="AF114" s="249">
        <f>+'P01 2025'!CI56</f>
        <v>1865.25</v>
      </c>
      <c r="AG114" s="327">
        <f>+'P01 2024'!CM74</f>
        <v>1439.691804</v>
      </c>
      <c r="AH114" s="327">
        <f>+'P01 2025'!CX58</f>
        <v>1328.1990000000001</v>
      </c>
      <c r="AI114" s="175">
        <f>+'P01 2024'!DB75</f>
        <v>2018.9125120000001</v>
      </c>
      <c r="AJ114" s="249">
        <f>+'P01 2024'!DR71</f>
        <v>596.41499999999996</v>
      </c>
      <c r="AK114" s="249">
        <f>'P01 2024'!EG69</f>
        <v>1849.7329999999999</v>
      </c>
      <c r="AL114" s="249">
        <f>+'P01 2024'!ET65</f>
        <v>299.71800000000002</v>
      </c>
      <c r="AM114" s="175">
        <f>+'P01 2024'!FL81</f>
        <v>906.59</v>
      </c>
      <c r="AN114" s="1194"/>
      <c r="AO114" s="151"/>
      <c r="AP114" s="151"/>
      <c r="AQ114" s="151"/>
      <c r="AR114" s="151"/>
      <c r="AS114" s="151"/>
      <c r="AT114" s="151"/>
      <c r="AU114" s="151"/>
      <c r="AV114" s="151"/>
      <c r="AW114" s="1195"/>
      <c r="AX114" s="1196"/>
      <c r="AY114" s="148"/>
      <c r="AZ114" s="151"/>
      <c r="BA114" s="151"/>
      <c r="BB114" s="1172"/>
      <c r="BC114" s="151"/>
      <c r="BD114" s="151"/>
      <c r="BE114" s="1171"/>
      <c r="BF114" s="1171"/>
      <c r="BG114" s="1171"/>
      <c r="BH114" s="1171"/>
      <c r="BI114" s="151"/>
      <c r="BJ114" s="156"/>
      <c r="BK114" s="156"/>
      <c r="BL114" s="594"/>
      <c r="BM114" s="594"/>
      <c r="BN114" s="594"/>
      <c r="BO114" s="594"/>
      <c r="BP114" s="185"/>
      <c r="BQ114" s="156"/>
      <c r="BR114" s="594"/>
      <c r="BS114" s="594"/>
      <c r="BT114" s="594"/>
      <c r="BU114" s="594"/>
      <c r="BV114" s="156"/>
      <c r="BW114" s="158"/>
      <c r="BX114" s="185"/>
      <c r="BY114" s="185"/>
      <c r="BZ114" s="185"/>
      <c r="CA114" s="185"/>
      <c r="CB114" s="156"/>
      <c r="CC114" s="158"/>
      <c r="CD114" s="157"/>
      <c r="CE114" s="159"/>
      <c r="CF114" s="159"/>
    </row>
    <row r="115" spans="1:84" s="320" customFormat="1" ht="15" hidden="1" customHeight="1" x14ac:dyDescent="0.25">
      <c r="A115" s="329"/>
      <c r="B115" s="952" t="s">
        <v>559</v>
      </c>
      <c r="C115" s="955"/>
      <c r="D115" s="794"/>
      <c r="E115" s="933" t="s">
        <v>162</v>
      </c>
      <c r="F115" s="316"/>
      <c r="G115" s="315" t="str">
        <f>+CONCATENATE($C$80,"",$D$112,"",E115)</f>
        <v>22.06.003</v>
      </c>
      <c r="H115" s="501" t="s">
        <v>112</v>
      </c>
      <c r="I115" s="248">
        <v>0</v>
      </c>
      <c r="J115" s="317">
        <f>'P01 2025'!DE97</f>
        <v>1560.2090000000001</v>
      </c>
      <c r="K115" s="317">
        <f ca="1">SUMIF(T$3:$AM107,"ok",T115:AM115)</f>
        <v>0</v>
      </c>
      <c r="L115" s="379">
        <f t="shared" ca="1" si="18"/>
        <v>0</v>
      </c>
      <c r="M115" s="319">
        <f>'P01 2025'!DG97</f>
        <v>1560.2090000000001</v>
      </c>
      <c r="N115" s="379">
        <f t="shared" si="13"/>
        <v>1</v>
      </c>
      <c r="O115" s="317">
        <f t="shared" si="14"/>
        <v>0</v>
      </c>
      <c r="P115" s="445">
        <f t="shared" si="15"/>
        <v>0</v>
      </c>
      <c r="Q115" s="249">
        <v>0</v>
      </c>
      <c r="R115" s="311">
        <f ca="1">SUMIF(T$3:$AM107,"SI",T115:AM115)</f>
        <v>0</v>
      </c>
      <c r="S115" s="379" t="str">
        <f t="shared" ca="1" si="16"/>
        <v>0,00%</v>
      </c>
      <c r="T115" s="326">
        <v>0</v>
      </c>
      <c r="U115" s="468">
        <f>+'P01 2024'!K92</f>
        <v>0</v>
      </c>
      <c r="V115" s="468">
        <v>0</v>
      </c>
      <c r="W115" s="175">
        <v>0</v>
      </c>
      <c r="X115" s="319">
        <v>0</v>
      </c>
      <c r="Y115" s="249">
        <v>0</v>
      </c>
      <c r="Z115" s="249">
        <v>0</v>
      </c>
      <c r="AA115" s="249">
        <v>0</v>
      </c>
      <c r="AB115" s="249">
        <v>0</v>
      </c>
      <c r="AC115" s="249">
        <v>0</v>
      </c>
      <c r="AD115" s="249">
        <v>0</v>
      </c>
      <c r="AE115" s="249">
        <v>0</v>
      </c>
      <c r="AF115" s="249">
        <v>0</v>
      </c>
      <c r="AG115" s="249">
        <v>0</v>
      </c>
      <c r="AH115" s="249">
        <v>0</v>
      </c>
      <c r="AI115" s="175">
        <v>0</v>
      </c>
      <c r="AJ115" s="249">
        <v>0</v>
      </c>
      <c r="AK115" s="249">
        <v>0</v>
      </c>
      <c r="AL115" s="249">
        <v>0</v>
      </c>
      <c r="AM115" s="175">
        <v>0</v>
      </c>
      <c r="AN115" s="1194"/>
      <c r="AO115" s="151"/>
      <c r="AP115" s="151"/>
      <c r="AQ115" s="151"/>
      <c r="AR115" s="151"/>
      <c r="AS115" s="151"/>
      <c r="AT115" s="151"/>
      <c r="AU115" s="151"/>
      <c r="AV115" s="151"/>
      <c r="AW115" s="1195"/>
      <c r="AX115" s="1196"/>
      <c r="AY115" s="148"/>
      <c r="AZ115" s="151"/>
      <c r="BA115" s="151"/>
      <c r="BB115" s="1172"/>
      <c r="BC115" s="151"/>
      <c r="BD115" s="151"/>
      <c r="BE115" s="1171"/>
      <c r="BF115" s="1171"/>
      <c r="BG115" s="1171"/>
      <c r="BH115" s="1171"/>
      <c r="BI115" s="151"/>
      <c r="BJ115" s="156"/>
      <c r="BK115" s="156"/>
      <c r="BL115" s="594"/>
      <c r="BM115" s="594"/>
      <c r="BN115" s="594"/>
      <c r="BO115" s="594"/>
      <c r="BP115" s="185"/>
      <c r="BQ115" s="156"/>
      <c r="BR115" s="594"/>
      <c r="BS115" s="594"/>
      <c r="BT115" s="594"/>
      <c r="BU115" s="594"/>
      <c r="BV115" s="156"/>
      <c r="BW115" s="158"/>
      <c r="BX115" s="185"/>
      <c r="BY115" s="185"/>
      <c r="BZ115" s="185"/>
      <c r="CA115" s="185"/>
      <c r="CB115" s="156"/>
      <c r="CC115" s="158"/>
      <c r="CD115" s="157"/>
      <c r="CE115" s="159"/>
      <c r="CF115" s="159"/>
    </row>
    <row r="116" spans="1:84" s="320" customFormat="1" ht="15" hidden="1" customHeight="1" x14ac:dyDescent="0.25">
      <c r="A116" s="329"/>
      <c r="B116" s="952" t="s">
        <v>560</v>
      </c>
      <c r="C116" s="955"/>
      <c r="D116" s="794"/>
      <c r="E116" s="933" t="s">
        <v>175</v>
      </c>
      <c r="F116" s="316"/>
      <c r="G116" s="315" t="s">
        <v>744</v>
      </c>
      <c r="H116" s="941" t="s">
        <v>605</v>
      </c>
      <c r="I116" s="246">
        <f>+'P01 2025'!F93</f>
        <v>214.2</v>
      </c>
      <c r="J116" s="317">
        <f>'P01 2025'!DE98</f>
        <v>2290.8690000000001</v>
      </c>
      <c r="K116" s="317">
        <f ca="1">SUMIF(T$3:$AM108,"ok",T116:AM116)</f>
        <v>1904.1189999999999</v>
      </c>
      <c r="L116" s="379">
        <f t="shared" ca="1" si="18"/>
        <v>0.83117760116357586</v>
      </c>
      <c r="M116" s="319">
        <f>'P01 2025'!DG98</f>
        <v>2290.8690000000001</v>
      </c>
      <c r="N116" s="379">
        <f t="shared" si="13"/>
        <v>1</v>
      </c>
      <c r="O116" s="317">
        <f t="shared" si="14"/>
        <v>0</v>
      </c>
      <c r="P116" s="445">
        <f t="shared" si="15"/>
        <v>0</v>
      </c>
      <c r="Q116" s="249">
        <f>+'P01 2024'!DJ95</f>
        <v>640.38715000000002</v>
      </c>
      <c r="R116" s="311">
        <f ca="1">SUMIF(T$3:$AM108,"SI",T116:AM116)</f>
        <v>640.38715000000013</v>
      </c>
      <c r="S116" s="379">
        <f t="shared" ca="1" si="16"/>
        <v>1.0000000000000002</v>
      </c>
      <c r="T116" s="326">
        <f>+'P01 2025'!G93</f>
        <v>0</v>
      </c>
      <c r="U116" s="468">
        <v>0</v>
      </c>
      <c r="V116" s="468">
        <f>+'P01 2025'!N61</f>
        <v>219.91200000000001</v>
      </c>
      <c r="W116" s="175">
        <v>0</v>
      </c>
      <c r="X116" s="175">
        <f>+'P01 2025'!AC74</f>
        <v>357.35700000000003</v>
      </c>
      <c r="Y116" s="249">
        <v>0</v>
      </c>
      <c r="Z116" s="249">
        <v>0</v>
      </c>
      <c r="AA116" s="249">
        <f>+'P01 2024'!AT63</f>
        <v>104.2</v>
      </c>
      <c r="AB116" s="249">
        <v>0</v>
      </c>
      <c r="AC116" s="249">
        <v>0</v>
      </c>
      <c r="AD116" s="249">
        <f>+'P01 2025'!BU72</f>
        <v>1326.85</v>
      </c>
      <c r="AE116" s="249">
        <v>0</v>
      </c>
      <c r="AF116" s="249">
        <v>0</v>
      </c>
      <c r="AG116" s="249">
        <v>0</v>
      </c>
      <c r="AH116" s="249">
        <v>0</v>
      </c>
      <c r="AI116" s="175">
        <f>+'P01 2024'!DB76</f>
        <v>536.18715000000009</v>
      </c>
      <c r="AJ116" s="249">
        <v>0</v>
      </c>
      <c r="AK116" s="249">
        <v>0</v>
      </c>
      <c r="AL116" s="249">
        <f>+'P01 2024'!ET66</f>
        <v>4888.884</v>
      </c>
      <c r="AM116" s="253">
        <f>+'P01 2024'!FL82</f>
        <v>428.4</v>
      </c>
      <c r="AN116" s="1194"/>
      <c r="AO116" s="151"/>
      <c r="AP116" s="151"/>
      <c r="AQ116" s="151"/>
      <c r="AR116" s="151"/>
      <c r="AS116" s="151"/>
      <c r="AT116" s="151"/>
      <c r="AU116" s="151"/>
      <c r="AV116" s="151"/>
      <c r="AW116" s="1195"/>
      <c r="AX116" s="1196"/>
      <c r="AY116" s="148"/>
      <c r="AZ116" s="151"/>
      <c r="BA116" s="151"/>
      <c r="BB116" s="1172"/>
      <c r="BC116" s="151"/>
      <c r="BD116" s="151"/>
      <c r="BE116" s="1171"/>
      <c r="BF116" s="1171"/>
      <c r="BG116" s="1171"/>
      <c r="BH116" s="1171"/>
      <c r="BI116" s="151"/>
      <c r="BJ116" s="156"/>
      <c r="BK116" s="156"/>
      <c r="BL116" s="594"/>
      <c r="BM116" s="594"/>
      <c r="BN116" s="594"/>
      <c r="BO116" s="594"/>
      <c r="BP116" s="185"/>
      <c r="BQ116" s="156"/>
      <c r="BR116" s="594"/>
      <c r="BS116" s="594"/>
      <c r="BT116" s="594"/>
      <c r="BU116" s="594"/>
      <c r="BV116" s="156"/>
      <c r="BW116" s="158"/>
      <c r="BX116" s="185"/>
      <c r="BY116" s="185"/>
      <c r="BZ116" s="185"/>
      <c r="CA116" s="185"/>
      <c r="CB116" s="159"/>
      <c r="CC116" s="159"/>
    </row>
    <row r="117" spans="1:84" s="320" customFormat="1" ht="15" hidden="1" customHeight="1" x14ac:dyDescent="0.25">
      <c r="A117" s="329"/>
      <c r="B117" s="952" t="s">
        <v>942</v>
      </c>
      <c r="C117" s="955"/>
      <c r="D117" s="794"/>
      <c r="E117" s="933" t="s">
        <v>177</v>
      </c>
      <c r="F117" s="316"/>
      <c r="G117" s="315" t="str">
        <f>+CONCATENATE($C$80,"",$D$112,"",E117)</f>
        <v>22.06.006</v>
      </c>
      <c r="H117" s="501" t="s">
        <v>638</v>
      </c>
      <c r="I117" s="246">
        <v>0</v>
      </c>
      <c r="J117" s="317">
        <v>0</v>
      </c>
      <c r="K117" s="317">
        <f ca="1">SUMIF(T$3:$AM109,"ok",T117:AM117)</f>
        <v>0</v>
      </c>
      <c r="L117" s="379">
        <f t="shared" ca="1" si="18"/>
        <v>0</v>
      </c>
      <c r="M117" s="319">
        <v>0</v>
      </c>
      <c r="N117" s="379">
        <f t="shared" si="13"/>
        <v>0</v>
      </c>
      <c r="O117" s="317">
        <f t="shared" si="14"/>
        <v>0</v>
      </c>
      <c r="P117" s="445">
        <f t="shared" si="15"/>
        <v>0</v>
      </c>
      <c r="Q117" s="249">
        <v>0</v>
      </c>
      <c r="R117" s="311">
        <f ca="1">SUMIF(T$3:$AM109,"SI",T117:AM117)</f>
        <v>0</v>
      </c>
      <c r="S117" s="379" t="str">
        <f t="shared" ca="1" si="16"/>
        <v>0,00%</v>
      </c>
      <c r="T117" s="326">
        <v>0</v>
      </c>
      <c r="U117" s="468">
        <v>0</v>
      </c>
      <c r="V117" s="468">
        <v>0</v>
      </c>
      <c r="W117" s="175">
        <v>0</v>
      </c>
      <c r="X117" s="175">
        <v>0</v>
      </c>
      <c r="Y117" s="249">
        <v>0</v>
      </c>
      <c r="Z117" s="249">
        <v>0</v>
      </c>
      <c r="AA117" s="249">
        <v>0</v>
      </c>
      <c r="AB117" s="249">
        <v>0</v>
      </c>
      <c r="AC117" s="249">
        <v>0</v>
      </c>
      <c r="AD117" s="249">
        <v>0</v>
      </c>
      <c r="AE117" s="253">
        <v>0</v>
      </c>
      <c r="AF117" s="253">
        <v>0</v>
      </c>
      <c r="AG117" s="249">
        <v>0</v>
      </c>
      <c r="AH117" s="249">
        <v>0</v>
      </c>
      <c r="AI117" s="175">
        <v>0</v>
      </c>
      <c r="AJ117" s="249">
        <v>0</v>
      </c>
      <c r="AK117" s="249">
        <v>0</v>
      </c>
      <c r="AL117" s="249">
        <v>0</v>
      </c>
      <c r="AM117" s="253">
        <v>0</v>
      </c>
      <c r="AN117" s="1139"/>
      <c r="AO117" s="156"/>
      <c r="AP117" s="156"/>
      <c r="AQ117" s="156"/>
      <c r="AR117" s="156"/>
      <c r="AS117" s="156"/>
      <c r="AT117" s="156"/>
      <c r="AU117" s="156"/>
      <c r="AV117" s="156"/>
      <c r="AW117" s="1140"/>
      <c r="AX117" s="1197"/>
      <c r="AY117" s="148"/>
      <c r="AZ117" s="151"/>
      <c r="BA117" s="151"/>
      <c r="BB117" s="1172"/>
      <c r="BC117" s="151"/>
      <c r="BD117" s="151"/>
      <c r="BE117" s="1171"/>
      <c r="BF117" s="1171"/>
      <c r="BG117" s="1171"/>
      <c r="BH117" s="1171"/>
      <c r="BI117" s="151"/>
      <c r="BJ117" s="156"/>
      <c r="BK117" s="156"/>
      <c r="BL117" s="594"/>
      <c r="BM117" s="594"/>
      <c r="BN117" s="594"/>
      <c r="BO117" s="594"/>
      <c r="BP117" s="185"/>
      <c r="BQ117" s="156"/>
      <c r="BR117" s="594"/>
      <c r="BS117" s="594"/>
      <c r="BT117" s="594"/>
      <c r="BU117" s="594"/>
      <c r="BV117" s="156"/>
      <c r="BW117" s="158"/>
      <c r="BX117" s="185"/>
      <c r="BY117" s="185"/>
      <c r="BZ117" s="185"/>
      <c r="CA117" s="185"/>
      <c r="CB117" s="159"/>
      <c r="CC117" s="159"/>
    </row>
    <row r="118" spans="1:84" s="320" customFormat="1" ht="15" hidden="1" customHeight="1" x14ac:dyDescent="0.25">
      <c r="A118" s="329"/>
      <c r="B118" s="952" t="s">
        <v>561</v>
      </c>
      <c r="C118" s="955"/>
      <c r="D118" s="794"/>
      <c r="E118" s="933" t="s">
        <v>166</v>
      </c>
      <c r="F118" s="316"/>
      <c r="G118" s="315" t="str">
        <f>+CONCATENATE($C$80,"",$D$112,"",E118)</f>
        <v>22.06.007</v>
      </c>
      <c r="H118" s="501" t="s">
        <v>63</v>
      </c>
      <c r="I118" s="248">
        <f>+'P01 2025'!F94</f>
        <v>6000</v>
      </c>
      <c r="J118" s="317">
        <f>'P01 2025'!DE99</f>
        <v>9300</v>
      </c>
      <c r="K118" s="317">
        <f ca="1">SUMIF(T$3:$AM110,"ok",T118:AM118)</f>
        <v>2347.672</v>
      </c>
      <c r="L118" s="379">
        <f t="shared" ca="1" si="18"/>
        <v>0.25243784946236558</v>
      </c>
      <c r="M118" s="319">
        <f>+'P01 2025'!DG99</f>
        <v>3521.5050000000001</v>
      </c>
      <c r="N118" s="379">
        <f t="shared" si="13"/>
        <v>0.37865645161290323</v>
      </c>
      <c r="O118" s="317">
        <f t="shared" si="14"/>
        <v>5778.4949999999999</v>
      </c>
      <c r="P118" s="445">
        <f t="shared" si="15"/>
        <v>0.62134354838709671</v>
      </c>
      <c r="Q118" s="249">
        <f>+'P01 2024'!DJ96</f>
        <v>15276.70469</v>
      </c>
      <c r="R118" s="311">
        <f ca="1">SUMIF(T$3:$AM110,"SI",T118:AM118)</f>
        <v>2265.2704880000001</v>
      </c>
      <c r="S118" s="379">
        <f t="shared" ca="1" si="16"/>
        <v>0.14828266527157696</v>
      </c>
      <c r="T118" s="326">
        <f>+'P01 2025'!G94</f>
        <v>0</v>
      </c>
      <c r="U118" s="468">
        <f>+'P01 2024'!K92</f>
        <v>0</v>
      </c>
      <c r="V118" s="468">
        <v>0</v>
      </c>
      <c r="W118" s="175">
        <v>0</v>
      </c>
      <c r="X118" s="175">
        <f>+'P01 2025'!AC75</f>
        <v>586.91800000000001</v>
      </c>
      <c r="Y118" s="249">
        <f>+'P01 2024'!AE72</f>
        <v>566.31762200000003</v>
      </c>
      <c r="Z118" s="249">
        <v>0</v>
      </c>
      <c r="AA118" s="249">
        <f>+'P01 2024'!AT64</f>
        <v>566.31762200000003</v>
      </c>
      <c r="AB118" s="249">
        <f>'P01 2025'!BF61</f>
        <v>586.91800000000001</v>
      </c>
      <c r="AC118" s="249">
        <v>0</v>
      </c>
      <c r="AD118" s="249">
        <f>+'P01 2025'!BU73</f>
        <v>586.91800000000001</v>
      </c>
      <c r="AE118" s="249">
        <f>+'P01 2024'!BX74</f>
        <v>566.31762200000003</v>
      </c>
      <c r="AF118" s="249">
        <v>0</v>
      </c>
      <c r="AG118" s="249">
        <v>0</v>
      </c>
      <c r="AH118" s="249">
        <f>+'P01 2025'!CX59</f>
        <v>586.91800000000001</v>
      </c>
      <c r="AI118" s="175">
        <f>+'P01 2024'!DB77</f>
        <v>566.31762200000003</v>
      </c>
      <c r="AJ118" s="249">
        <v>0</v>
      </c>
      <c r="AK118" s="249">
        <f>'P01 2024'!EG70</f>
        <v>1174.1959999999999</v>
      </c>
      <c r="AL118" s="249">
        <f>+'P01 2024'!ET67</f>
        <v>11276.471</v>
      </c>
      <c r="AM118" s="175">
        <f>+'P01 2024'!FL83</f>
        <v>543.49099999999999</v>
      </c>
      <c r="AN118" s="1194"/>
      <c r="AO118" s="151"/>
      <c r="AP118" s="151"/>
      <c r="AQ118" s="151"/>
      <c r="AR118" s="151"/>
      <c r="AS118" s="151"/>
      <c r="AT118" s="151"/>
      <c r="AU118" s="151"/>
      <c r="AV118" s="151"/>
      <c r="AW118" s="1195"/>
      <c r="AX118" s="1196"/>
      <c r="AY118" s="148"/>
      <c r="AZ118" s="151"/>
      <c r="BA118" s="151"/>
      <c r="BB118" s="1172"/>
      <c r="BC118" s="151"/>
      <c r="BD118" s="151"/>
      <c r="BE118" s="1171"/>
      <c r="BF118" s="1171"/>
      <c r="BG118" s="1171"/>
      <c r="BH118" s="1171"/>
      <c r="BI118" s="151"/>
      <c r="BJ118" s="156"/>
      <c r="BK118" s="156"/>
      <c r="BL118" s="594"/>
      <c r="BM118" s="594"/>
      <c r="BN118" s="594"/>
      <c r="BO118" s="594"/>
      <c r="BP118" s="185"/>
      <c r="BQ118" s="156"/>
      <c r="BR118" s="594"/>
      <c r="BS118" s="594"/>
      <c r="BT118" s="594"/>
      <c r="BU118" s="594"/>
      <c r="BV118" s="156"/>
      <c r="BW118" s="158"/>
      <c r="BX118" s="185"/>
      <c r="BY118" s="185"/>
      <c r="BZ118" s="185"/>
      <c r="CA118" s="185"/>
      <c r="CB118" s="159"/>
      <c r="CC118" s="159"/>
    </row>
    <row r="119" spans="1:84" s="320" customFormat="1" ht="15" hidden="1" customHeight="1" x14ac:dyDescent="0.25">
      <c r="A119" s="329"/>
      <c r="B119" s="952" t="s">
        <v>379</v>
      </c>
      <c r="C119" s="955"/>
      <c r="D119" s="794"/>
      <c r="E119" s="933" t="s">
        <v>173</v>
      </c>
      <c r="F119" s="316"/>
      <c r="G119" s="315" t="str">
        <f>+CONCATENATE($C$80,"",$D$112,"",E119)</f>
        <v>22.06.999</v>
      </c>
      <c r="H119" s="501" t="s">
        <v>51</v>
      </c>
      <c r="I119" s="246">
        <v>0</v>
      </c>
      <c r="J119" s="317">
        <f>'P01 2025'!DE100</f>
        <v>410.1</v>
      </c>
      <c r="K119" s="317">
        <f ca="1">SUMIF(T$3:$AM111,"ok",T119:AM119)</f>
        <v>410.1</v>
      </c>
      <c r="L119" s="379">
        <f t="shared" ca="1" si="18"/>
        <v>1</v>
      </c>
      <c r="M119" s="319">
        <f>+'P01 2025'!DG100</f>
        <v>410.1</v>
      </c>
      <c r="N119" s="379">
        <f t="shared" si="13"/>
        <v>1</v>
      </c>
      <c r="O119" s="317">
        <f t="shared" si="14"/>
        <v>0</v>
      </c>
      <c r="P119" s="445">
        <f t="shared" si="15"/>
        <v>0</v>
      </c>
      <c r="Q119" s="249">
        <f>+'P01 2024'!DJ97</f>
        <v>297.59520000000003</v>
      </c>
      <c r="R119" s="311">
        <f ca="1">SUMIF(T$3:$AM111,"SI",T119:AM119)</f>
        <v>0</v>
      </c>
      <c r="S119" s="379">
        <f t="shared" ca="1" si="16"/>
        <v>0</v>
      </c>
      <c r="T119" s="326">
        <v>0</v>
      </c>
      <c r="U119" s="468">
        <v>0</v>
      </c>
      <c r="V119" s="468">
        <v>0</v>
      </c>
      <c r="W119" s="175">
        <v>0</v>
      </c>
      <c r="X119" s="175">
        <v>0</v>
      </c>
      <c r="Y119" s="249">
        <v>0</v>
      </c>
      <c r="Z119" s="249">
        <v>0</v>
      </c>
      <c r="AA119" s="249">
        <v>0</v>
      </c>
      <c r="AB119" s="249">
        <v>0</v>
      </c>
      <c r="AC119" s="249">
        <v>0</v>
      </c>
      <c r="AD119" s="249">
        <v>0</v>
      </c>
      <c r="AE119" s="253">
        <v>0</v>
      </c>
      <c r="AF119" s="253">
        <f>+'P01 2025'!CI57</f>
        <v>410.1</v>
      </c>
      <c r="AG119" s="249">
        <v>0</v>
      </c>
      <c r="AH119" s="249">
        <v>0</v>
      </c>
      <c r="AI119" s="175">
        <v>0</v>
      </c>
      <c r="AJ119" s="249">
        <v>0</v>
      </c>
      <c r="AK119" s="249">
        <f>'P01 2024'!EG71</f>
        <v>285.60000000000002</v>
      </c>
      <c r="AL119" s="249">
        <v>0</v>
      </c>
      <c r="AM119" s="253">
        <v>0</v>
      </c>
      <c r="AN119" s="1194"/>
      <c r="AO119" s="151"/>
      <c r="AP119" s="151"/>
      <c r="AQ119" s="151"/>
      <c r="AR119" s="151"/>
      <c r="AS119" s="151"/>
      <c r="AT119" s="151"/>
      <c r="AU119" s="151"/>
      <c r="AV119" s="151"/>
      <c r="AW119" s="1195"/>
      <c r="AX119" s="1196"/>
      <c r="AY119" s="148"/>
      <c r="AZ119" s="151"/>
      <c r="BA119" s="151"/>
      <c r="BB119" s="1172"/>
      <c r="BC119" s="151"/>
      <c r="BD119" s="151"/>
      <c r="BE119" s="1171"/>
      <c r="BF119" s="1171"/>
      <c r="BG119" s="1171"/>
      <c r="BH119" s="1171"/>
      <c r="BI119" s="151"/>
      <c r="BJ119" s="156"/>
      <c r="BK119" s="156"/>
      <c r="BL119" s="594"/>
      <c r="BM119" s="594"/>
      <c r="BN119" s="594"/>
      <c r="BO119" s="594"/>
      <c r="BP119" s="185"/>
      <c r="BQ119" s="156"/>
      <c r="BR119" s="594"/>
      <c r="BS119" s="594"/>
      <c r="BT119" s="594"/>
      <c r="BU119" s="594"/>
      <c r="BV119" s="156"/>
      <c r="BW119" s="158"/>
      <c r="BX119" s="185"/>
      <c r="BY119" s="185"/>
      <c r="BZ119" s="185"/>
      <c r="CA119" s="185"/>
      <c r="CB119" s="159"/>
      <c r="CC119" s="159"/>
    </row>
    <row r="120" spans="1:84" s="308" customFormat="1" ht="15" hidden="1" customHeight="1" x14ac:dyDescent="0.25">
      <c r="A120" s="84"/>
      <c r="B120" s="169" t="s">
        <v>380</v>
      </c>
      <c r="C120" s="508"/>
      <c r="D120" s="172" t="s">
        <v>179</v>
      </c>
      <c r="E120" s="309"/>
      <c r="F120" s="309"/>
      <c r="G120" s="309"/>
      <c r="H120" s="502" t="s">
        <v>64</v>
      </c>
      <c r="I120" s="381">
        <f>+'P01 2025'!F95</f>
        <v>16010</v>
      </c>
      <c r="J120" s="313">
        <f>'P01 2025'!DE101</f>
        <v>161423.95000000001</v>
      </c>
      <c r="K120" s="306">
        <f ca="1">SUMIF(T$3:$AM112,"ok",T120:AM120)</f>
        <v>8218.9989999999998</v>
      </c>
      <c r="L120" s="378">
        <f t="shared" ca="1" si="18"/>
        <v>5.0915610725669885E-2</v>
      </c>
      <c r="M120" s="313">
        <f>+'P01 2025'!DG101</f>
        <v>160700.149</v>
      </c>
      <c r="N120" s="378">
        <f t="shared" si="13"/>
        <v>0.99551614862602478</v>
      </c>
      <c r="O120" s="306">
        <f t="shared" si="14"/>
        <v>723.80100000000675</v>
      </c>
      <c r="P120" s="443">
        <f t="shared" si="15"/>
        <v>4.4838513739752167E-3</v>
      </c>
      <c r="Q120" s="321">
        <f>+'P01 2024'!DJ98</f>
        <v>285652.993258</v>
      </c>
      <c r="R120" s="155">
        <f ca="1">SUM(R121:R122)</f>
        <v>52730.592350000006</v>
      </c>
      <c r="S120" s="378">
        <f t="shared" ca="1" si="16"/>
        <v>0.18459667356740794</v>
      </c>
      <c r="T120" s="509">
        <f>+'P01 2025'!G95</f>
        <v>10</v>
      </c>
      <c r="U120" s="467">
        <f>+'P01 2024'!K94</f>
        <v>1243.9291800000001</v>
      </c>
      <c r="V120" s="467">
        <f>+'P01 2025'!N62</f>
        <v>3465.203</v>
      </c>
      <c r="W120" s="86">
        <v>0</v>
      </c>
      <c r="X120" s="86">
        <f>+'P01 2025'!AC76</f>
        <v>1503.681</v>
      </c>
      <c r="Y120" s="86">
        <f>+'P01 2024'!AE73</f>
        <v>2531.6411160000002</v>
      </c>
      <c r="Z120" s="86">
        <f>+'P01 2025'!AR65</f>
        <v>76</v>
      </c>
      <c r="AA120" s="155">
        <f>+'P01 2024'!AT65</f>
        <v>1125.3568740000001</v>
      </c>
      <c r="AB120" s="155">
        <f>SUM(AB121:AB122)</f>
        <v>707.98299999999995</v>
      </c>
      <c r="AC120" s="155">
        <f>+'P01 2024'!BI58</f>
        <v>7848.030358</v>
      </c>
      <c r="AD120" s="155">
        <f>+'P01 2025'!BU74</f>
        <v>275.14</v>
      </c>
      <c r="AE120" s="155">
        <f>+'P01 2024'!BX75</f>
        <v>121.67017200000001</v>
      </c>
      <c r="AF120" s="155">
        <v>0</v>
      </c>
      <c r="AG120" s="155">
        <f>+'P01 2024'!CM75</f>
        <v>36269.689046</v>
      </c>
      <c r="AH120" s="155">
        <f>+'P01 2025'!CX60</f>
        <v>2180.9920000000002</v>
      </c>
      <c r="AI120" s="86">
        <f>+'P01 2024'!DB78</f>
        <v>3590.2756039999999</v>
      </c>
      <c r="AJ120" s="155">
        <f>+'P01 2024'!DR72</f>
        <v>65494.006000000001</v>
      </c>
      <c r="AK120" s="155">
        <f>SUM(AK121:AK122)</f>
        <v>1838.7070000000001</v>
      </c>
      <c r="AL120" s="155">
        <f>+'P01 2024'!ET68</f>
        <v>486.24400000000003</v>
      </c>
      <c r="AM120" s="155">
        <f>+'P01 2024'!FL84</f>
        <v>1590.7539999999999</v>
      </c>
      <c r="AN120" s="1194"/>
      <c r="AO120" s="151"/>
      <c r="AP120" s="151"/>
      <c r="AQ120" s="151"/>
      <c r="AR120" s="151"/>
      <c r="AS120" s="151"/>
      <c r="AT120" s="151"/>
      <c r="AU120" s="151"/>
      <c r="AV120" s="151"/>
      <c r="AW120" s="1195"/>
      <c r="AX120" s="1196"/>
      <c r="AY120" s="148"/>
      <c r="AZ120" s="151"/>
      <c r="BA120" s="151"/>
      <c r="BB120" s="1172"/>
      <c r="BC120" s="151"/>
      <c r="BD120" s="151"/>
      <c r="BE120" s="1171"/>
      <c r="BF120" s="1171"/>
      <c r="BG120" s="1171"/>
      <c r="BH120" s="1171"/>
      <c r="BI120" s="1171"/>
      <c r="BJ120" s="932"/>
      <c r="BK120" s="156"/>
      <c r="BL120" s="594"/>
      <c r="BM120" s="594"/>
      <c r="BN120" s="594"/>
      <c r="BO120" s="594"/>
      <c r="BP120" s="185"/>
      <c r="BQ120" s="156"/>
      <c r="BR120" s="594"/>
      <c r="BS120" s="594"/>
      <c r="BT120" s="594"/>
      <c r="BU120" s="594"/>
      <c r="BV120" s="156"/>
      <c r="BW120" s="158"/>
      <c r="BX120" s="185"/>
      <c r="BY120" s="185"/>
      <c r="BZ120" s="185"/>
      <c r="CA120" s="185"/>
      <c r="CB120" s="152"/>
      <c r="CC120" s="152"/>
    </row>
    <row r="121" spans="1:84" s="320" customFormat="1" ht="15" hidden="1" customHeight="1" x14ac:dyDescent="0.25">
      <c r="A121" s="329"/>
      <c r="B121" s="952" t="s">
        <v>381</v>
      </c>
      <c r="C121" s="955"/>
      <c r="D121" s="794"/>
      <c r="E121" s="933" t="s">
        <v>165</v>
      </c>
      <c r="F121" s="316"/>
      <c r="G121" s="315" t="str">
        <f>+CONCATENATE($C$80,"",$D$120,"",E121)</f>
        <v>22.07.001</v>
      </c>
      <c r="H121" s="501" t="s">
        <v>65</v>
      </c>
      <c r="I121" s="248">
        <f>+'P01 2025'!F96</f>
        <v>9000</v>
      </c>
      <c r="J121" s="317">
        <f>'P01 2025'!DE102</f>
        <v>158654.9</v>
      </c>
      <c r="K121" s="248">
        <f ca="1">SUMIF(T$3:$AM113,"ok",T121:AM121)</f>
        <v>7932.0990000000011</v>
      </c>
      <c r="L121" s="379">
        <f t="shared" ca="1" si="18"/>
        <v>4.9995928269470413E-2</v>
      </c>
      <c r="M121" s="319">
        <f>+'P01 2025'!DG102</f>
        <v>157932.09899999999</v>
      </c>
      <c r="N121" s="379">
        <f t="shared" si="13"/>
        <v>0.99544419365553782</v>
      </c>
      <c r="O121" s="317">
        <f t="shared" si="14"/>
        <v>722.80100000000675</v>
      </c>
      <c r="P121" s="445">
        <f t="shared" si="15"/>
        <v>4.5558063444621428E-3</v>
      </c>
      <c r="Q121" s="249">
        <f>+'P01 2024'!DJ99</f>
        <v>277083.87493400002</v>
      </c>
      <c r="R121" s="311">
        <f ca="1">SUMIF(T$3:$AM111,"SI",T121:AM121)</f>
        <v>46141.274026000006</v>
      </c>
      <c r="S121" s="379">
        <f t="shared" ca="1" si="16"/>
        <v>0.16652457324335682</v>
      </c>
      <c r="T121" s="326">
        <f>+'P01 2025'!G96</f>
        <v>0</v>
      </c>
      <c r="U121" s="468">
        <f>+'P01 2024'!K95</f>
        <v>996.55317000000002</v>
      </c>
      <c r="V121" s="468">
        <f>+'P01 2025'!N63</f>
        <v>3405.703</v>
      </c>
      <c r="W121" s="175">
        <v>0</v>
      </c>
      <c r="X121" s="175">
        <f>+'P01 2025'!AC77</f>
        <v>1362.2809999999999</v>
      </c>
      <c r="Y121" s="249">
        <f>+'P01 2024'!AE74</f>
        <v>1925.9984140000001</v>
      </c>
      <c r="Z121" s="249">
        <v>0</v>
      </c>
      <c r="AA121" s="249">
        <f>+'P01 2024'!AT66</f>
        <v>815.36187399999994</v>
      </c>
      <c r="AB121" s="249">
        <f>'P01 2025'!BF63</f>
        <v>707.98299999999995</v>
      </c>
      <c r="AC121" s="249">
        <f>+'P01 2024'!BI59</f>
        <v>2657.4740780000002</v>
      </c>
      <c r="AD121" s="249">
        <f>+'P01 2025'!BU75</f>
        <v>275.14</v>
      </c>
      <c r="AE121" s="249">
        <v>0</v>
      </c>
      <c r="AF121" s="249">
        <v>0</v>
      </c>
      <c r="AG121" s="249">
        <f>+'P01 2024'!CM76</f>
        <v>36155.610886000002</v>
      </c>
      <c r="AH121" s="249">
        <f>+'P01 2025'!CX61</f>
        <v>2180.9920000000002</v>
      </c>
      <c r="AI121" s="175">
        <f>+'P01 2024'!DB79</f>
        <v>3590.2756039999999</v>
      </c>
      <c r="AJ121" s="249">
        <f>+'P01 2024'!DR73</f>
        <v>64439.665999999997</v>
      </c>
      <c r="AK121" s="249">
        <f>'P01 2024'!EG73</f>
        <v>1838.7070000000001</v>
      </c>
      <c r="AL121" s="249">
        <f>+'P01 2024'!ET69</f>
        <v>486.24400000000003</v>
      </c>
      <c r="AM121" s="175">
        <f>+'P01 2024'!FL85</f>
        <v>1590.7539999999999</v>
      </c>
      <c r="AN121" s="1194"/>
      <c r="AO121" s="151"/>
      <c r="AP121" s="151"/>
      <c r="AQ121" s="151"/>
      <c r="AR121" s="151"/>
      <c r="AS121" s="151"/>
      <c r="AT121" s="151"/>
      <c r="AU121" s="151"/>
      <c r="AV121" s="151"/>
      <c r="AW121" s="1195"/>
      <c r="AX121" s="1196"/>
      <c r="AY121" s="148"/>
      <c r="AZ121" s="151"/>
      <c r="BA121" s="151"/>
      <c r="BB121" s="1172"/>
      <c r="BC121" s="151"/>
      <c r="BD121" s="151"/>
      <c r="BE121" s="1171"/>
      <c r="BF121" s="1171"/>
      <c r="BG121" s="1171"/>
      <c r="BH121" s="1171"/>
      <c r="BI121" s="151"/>
      <c r="BJ121" s="156"/>
      <c r="BK121" s="156"/>
      <c r="BL121" s="594"/>
      <c r="BM121" s="594"/>
      <c r="BN121" s="594"/>
      <c r="BO121" s="594"/>
      <c r="BP121" s="185"/>
      <c r="BQ121" s="156"/>
      <c r="BR121" s="594"/>
      <c r="BS121" s="594"/>
      <c r="BT121" s="594"/>
      <c r="BU121" s="594"/>
      <c r="BV121" s="156"/>
      <c r="BW121" s="158"/>
      <c r="BX121" s="185"/>
      <c r="BY121" s="185"/>
      <c r="BZ121" s="185"/>
      <c r="CA121" s="185"/>
      <c r="CB121" s="159"/>
      <c r="CC121" s="159"/>
    </row>
    <row r="122" spans="1:84" s="320" customFormat="1" ht="15" hidden="1" customHeight="1" x14ac:dyDescent="0.25">
      <c r="A122" s="329"/>
      <c r="B122" s="952" t="s">
        <v>382</v>
      </c>
      <c r="C122" s="955"/>
      <c r="D122" s="794"/>
      <c r="E122" s="933" t="s">
        <v>161</v>
      </c>
      <c r="F122" s="316"/>
      <c r="G122" s="315" t="str">
        <f>+CONCATENATE($C$80,"",$D$120,"",E122)</f>
        <v>22.07.002</v>
      </c>
      <c r="H122" s="501" t="s">
        <v>66</v>
      </c>
      <c r="I122" s="248">
        <f>+'P01 2025'!F97</f>
        <v>7010</v>
      </c>
      <c r="J122" s="317">
        <f>'P01 2025'!DE103</f>
        <v>287.89999999999998</v>
      </c>
      <c r="K122" s="248">
        <f ca="1">SUMIF(T$3:$AM114,"ok",T122:AM122)</f>
        <v>286.89999999999998</v>
      </c>
      <c r="L122" s="379">
        <f t="shared" ca="1" si="18"/>
        <v>0.99652657172629389</v>
      </c>
      <c r="M122" s="319">
        <f>+'P01 2025'!DG103</f>
        <v>286.89999999999998</v>
      </c>
      <c r="N122" s="379">
        <f t="shared" si="13"/>
        <v>0.99652657172629389</v>
      </c>
      <c r="O122" s="317">
        <f t="shared" si="14"/>
        <v>1</v>
      </c>
      <c r="P122" s="445">
        <f t="shared" si="15"/>
        <v>3.4734282737061482E-3</v>
      </c>
      <c r="Q122" s="249">
        <f>+'P01 2024'!DJ100</f>
        <v>8569.1183240000009</v>
      </c>
      <c r="R122" s="311">
        <f ca="1">SUMIF(T$3:$AM112,"SI",T122:AM122)</f>
        <v>6589.3183240000008</v>
      </c>
      <c r="S122" s="379">
        <f t="shared" ca="1" si="16"/>
        <v>0.76896106167012945</v>
      </c>
      <c r="T122" s="326">
        <f>+'P01 2025'!G97</f>
        <v>10</v>
      </c>
      <c r="U122" s="468">
        <f>+'P01 2024'!K96</f>
        <v>247.37601000000001</v>
      </c>
      <c r="V122" s="468">
        <f>+'P01 2025'!N64</f>
        <v>59.5</v>
      </c>
      <c r="W122" s="175">
        <v>0</v>
      </c>
      <c r="X122" s="175">
        <f>+'P01 2025'!AC78</f>
        <v>141.4</v>
      </c>
      <c r="Y122" s="249">
        <f>+'P01 2024'!AE75</f>
        <v>605.64270199999999</v>
      </c>
      <c r="Z122" s="249">
        <f>+'P01 2025'!AR66</f>
        <v>76</v>
      </c>
      <c r="AA122" s="249">
        <f>+'P01 2024'!AT67</f>
        <v>309.995</v>
      </c>
      <c r="AB122" s="249">
        <v>0</v>
      </c>
      <c r="AC122" s="249">
        <f>+'P01 2024'!BI60</f>
        <v>5190.5562800000007</v>
      </c>
      <c r="AD122" s="249">
        <v>0</v>
      </c>
      <c r="AE122" s="253">
        <f>+'P01 2024'!BX76</f>
        <v>121.67017200000001</v>
      </c>
      <c r="AF122" s="253">
        <v>0</v>
      </c>
      <c r="AG122" s="249">
        <f>+'P01 2024'!CM77</f>
        <v>114.07816000000001</v>
      </c>
      <c r="AH122" s="249">
        <v>0</v>
      </c>
      <c r="AI122" s="175">
        <v>0</v>
      </c>
      <c r="AJ122" s="249">
        <f>+'P01 2024'!DR74</f>
        <v>1054.3399999999999</v>
      </c>
      <c r="AK122" s="249">
        <v>0</v>
      </c>
      <c r="AL122" s="249">
        <v>0</v>
      </c>
      <c r="AM122" s="175">
        <v>0</v>
      </c>
      <c r="AN122" s="1194"/>
      <c r="AO122" s="151"/>
      <c r="AP122" s="151"/>
      <c r="AQ122" s="151"/>
      <c r="AR122" s="151"/>
      <c r="AS122" s="151"/>
      <c r="AT122" s="151"/>
      <c r="AU122" s="151"/>
      <c r="AV122" s="151"/>
      <c r="AW122" s="1195"/>
      <c r="AX122" s="1196"/>
      <c r="AY122" s="148"/>
      <c r="AZ122" s="151"/>
      <c r="BA122" s="151"/>
      <c r="BB122" s="1172"/>
      <c r="BC122" s="151"/>
      <c r="BD122" s="151"/>
      <c r="BE122" s="1171"/>
      <c r="BF122" s="1171"/>
      <c r="BG122" s="1171"/>
      <c r="BH122" s="1171"/>
      <c r="BI122" s="151"/>
      <c r="BJ122" s="156"/>
      <c r="BK122" s="156"/>
      <c r="BL122" s="594"/>
      <c r="BM122" s="594"/>
      <c r="BN122" s="594"/>
      <c r="BO122" s="594"/>
      <c r="BP122" s="185"/>
      <c r="BQ122" s="156"/>
      <c r="BR122" s="594"/>
      <c r="BS122" s="594"/>
      <c r="BT122" s="594"/>
      <c r="BU122" s="594"/>
      <c r="BV122" s="156"/>
      <c r="BW122" s="158"/>
      <c r="BX122" s="185"/>
      <c r="BY122" s="185"/>
      <c r="BZ122" s="185"/>
      <c r="CA122" s="185"/>
      <c r="CB122" s="159"/>
      <c r="CC122" s="159"/>
    </row>
    <row r="123" spans="1:84" s="320" customFormat="1" ht="15" hidden="1" customHeight="1" x14ac:dyDescent="0.25">
      <c r="A123" s="329"/>
      <c r="B123" s="952" t="s">
        <v>1155</v>
      </c>
      <c r="C123" s="955"/>
      <c r="D123" s="794"/>
      <c r="E123" s="933"/>
      <c r="F123" s="316"/>
      <c r="G123" s="315"/>
      <c r="H123" s="501" t="s">
        <v>1157</v>
      </c>
      <c r="I123" s="248">
        <v>0</v>
      </c>
      <c r="J123" s="317">
        <f>'P01 2025'!DE104</f>
        <v>2481.15</v>
      </c>
      <c r="K123" s="248">
        <f ca="1">SUMIF(T$3:$AM115,"ok",T123:AM123)</f>
        <v>0</v>
      </c>
      <c r="L123" s="379">
        <f t="shared" ca="1" si="18"/>
        <v>0</v>
      </c>
      <c r="M123" s="319">
        <f>+'P01 2025'!DG104</f>
        <v>2481.15</v>
      </c>
      <c r="N123" s="379">
        <f t="shared" si="13"/>
        <v>1</v>
      </c>
      <c r="O123" s="317">
        <f t="shared" si="14"/>
        <v>0</v>
      </c>
      <c r="P123" s="445">
        <f t="shared" si="15"/>
        <v>0</v>
      </c>
      <c r="Q123" s="249">
        <v>0</v>
      </c>
      <c r="R123" s="311">
        <v>0</v>
      </c>
      <c r="S123" s="379" t="str">
        <f t="shared" si="16"/>
        <v>0,00%</v>
      </c>
      <c r="T123" s="326">
        <v>0</v>
      </c>
      <c r="U123" s="326">
        <v>0</v>
      </c>
      <c r="V123" s="326">
        <v>0</v>
      </c>
      <c r="W123" s="326">
        <v>0</v>
      </c>
      <c r="X123" s="326">
        <v>0</v>
      </c>
      <c r="Y123" s="326">
        <v>0</v>
      </c>
      <c r="Z123" s="326">
        <v>0</v>
      </c>
      <c r="AA123" s="326">
        <v>0</v>
      </c>
      <c r="AB123" s="326">
        <v>0</v>
      </c>
      <c r="AC123" s="326">
        <v>0</v>
      </c>
      <c r="AD123" s="326">
        <v>0</v>
      </c>
      <c r="AE123" s="326">
        <v>0</v>
      </c>
      <c r="AF123" s="326">
        <v>0</v>
      </c>
      <c r="AG123" s="326">
        <v>0</v>
      </c>
      <c r="AH123" s="249">
        <v>0</v>
      </c>
      <c r="AI123" s="175">
        <v>0</v>
      </c>
      <c r="AJ123" s="249"/>
      <c r="AK123" s="249"/>
      <c r="AL123" s="249"/>
      <c r="AM123" s="175"/>
      <c r="AN123" s="1139"/>
      <c r="AO123" s="156"/>
      <c r="AP123" s="156"/>
      <c r="AQ123" s="156"/>
      <c r="AR123" s="156"/>
      <c r="AS123" s="156"/>
      <c r="AT123" s="156"/>
      <c r="AU123" s="156"/>
      <c r="AV123" s="156"/>
      <c r="AW123" s="1140"/>
      <c r="AX123" s="1197"/>
      <c r="AY123" s="158"/>
      <c r="AZ123" s="156"/>
      <c r="BA123" s="156"/>
      <c r="BB123" s="185"/>
      <c r="BC123" s="156"/>
      <c r="BD123" s="156"/>
      <c r="BE123" s="932"/>
      <c r="BF123" s="932"/>
      <c r="BG123" s="932"/>
      <c r="BH123" s="932"/>
      <c r="BI123" s="156"/>
      <c r="BJ123" s="156"/>
      <c r="BK123" s="156"/>
      <c r="BL123" s="594"/>
      <c r="BM123" s="594"/>
      <c r="BN123" s="594"/>
      <c r="BO123" s="594"/>
      <c r="BP123" s="185"/>
      <c r="BQ123" s="156"/>
      <c r="BR123" s="594"/>
      <c r="BS123" s="594"/>
      <c r="BT123" s="594"/>
      <c r="BU123" s="594"/>
      <c r="BV123" s="156"/>
      <c r="BW123" s="158"/>
      <c r="BX123" s="185"/>
      <c r="BY123" s="185"/>
      <c r="BZ123" s="185"/>
      <c r="CA123" s="185"/>
      <c r="CB123" s="159"/>
      <c r="CC123" s="159"/>
    </row>
    <row r="124" spans="1:84" s="308" customFormat="1" ht="15" hidden="1" customHeight="1" x14ac:dyDescent="0.25">
      <c r="A124" s="84"/>
      <c r="B124" s="169" t="s">
        <v>383</v>
      </c>
      <c r="C124" s="38"/>
      <c r="D124" s="38" t="s">
        <v>180</v>
      </c>
      <c r="E124" s="309"/>
      <c r="F124" s="309"/>
      <c r="G124" s="309"/>
      <c r="H124" s="502" t="s">
        <v>67</v>
      </c>
      <c r="I124" s="381">
        <f>+'P01 2025'!F98</f>
        <v>286316.47200000001</v>
      </c>
      <c r="J124" s="306">
        <f>'P01 2025'!DE105</f>
        <v>781249.45200000005</v>
      </c>
      <c r="K124" s="306">
        <f ca="1">SUMIF(T$3:$AM115,"ok",T124:AM124)</f>
        <v>424464.06</v>
      </c>
      <c r="L124" s="378">
        <f t="shared" ca="1" si="18"/>
        <v>0.5433143779024372</v>
      </c>
      <c r="M124" s="323">
        <f>+'P01 2025'!DG105</f>
        <v>651772.13899999997</v>
      </c>
      <c r="N124" s="378">
        <f t="shared" si="13"/>
        <v>0.83426892310959333</v>
      </c>
      <c r="O124" s="306">
        <f t="shared" si="14"/>
        <v>129477.31300000008</v>
      </c>
      <c r="P124" s="443">
        <f t="shared" si="15"/>
        <v>0.16573107689040667</v>
      </c>
      <c r="Q124" s="321">
        <f>+'P01 2024'!DJ101</f>
        <v>854657.774874</v>
      </c>
      <c r="R124" s="155">
        <f ca="1">SUMIF(T$3:$AM115,"SI",T124:AM124)</f>
        <v>541280.89197600004</v>
      </c>
      <c r="S124" s="378">
        <f t="shared" ca="1" si="16"/>
        <v>0.63333056562411749</v>
      </c>
      <c r="T124" s="509">
        <f>+'P01 2025'!G98</f>
        <v>11402.038</v>
      </c>
      <c r="U124" s="467">
        <f>+'P01 2024'!K97</f>
        <v>25480.114570000002</v>
      </c>
      <c r="V124" s="467">
        <f>+'P01 2025'!N65</f>
        <v>29443.781999999999</v>
      </c>
      <c r="W124" s="86">
        <f>+'P01 2024'!Q61</f>
        <v>35282.563891999998</v>
      </c>
      <c r="X124" s="86">
        <f>+'P01 2025'!AC79</f>
        <v>45627.004000000001</v>
      </c>
      <c r="Y124" s="86">
        <f>+'P01 2024'!AE76</f>
        <v>39835.355735999998</v>
      </c>
      <c r="Z124" s="86">
        <f>+'P01 2025'!AR67</f>
        <v>50895.673000000003</v>
      </c>
      <c r="AA124" s="155">
        <f>+'P01 2024'!AT68</f>
        <v>51096.643612000007</v>
      </c>
      <c r="AB124" s="155">
        <f>SUM(AB125:AB131)</f>
        <v>27940.293999999998</v>
      </c>
      <c r="AC124" s="155">
        <f>+'P01 2024'!BI61</f>
        <v>36591.513872000003</v>
      </c>
      <c r="AD124" s="155">
        <f>+'P01 2025'!BU76</f>
        <v>64248.688999999998</v>
      </c>
      <c r="AE124" s="155">
        <f>+'P01 2024'!BX77</f>
        <v>125375.92517</v>
      </c>
      <c r="AF124" s="155">
        <f>+'P01 2025'!CI58</f>
        <v>73261.538</v>
      </c>
      <c r="AG124" s="155">
        <f>+'P01 2024'!CM78</f>
        <v>176953.558066</v>
      </c>
      <c r="AH124" s="155">
        <f>+'P01 2025'!CX62</f>
        <v>121645.042</v>
      </c>
      <c r="AI124" s="155">
        <f>+'P01 2024'!DB80</f>
        <v>50665.217058000002</v>
      </c>
      <c r="AJ124" s="155">
        <f>+'P01 2024'!DR75</f>
        <v>29949.192999999999</v>
      </c>
      <c r="AK124" s="155">
        <f>SUM(AK125:AK131)</f>
        <v>83266.028999999995</v>
      </c>
      <c r="AL124" s="155">
        <f>+'P01 2024'!ET70</f>
        <v>134955.799</v>
      </c>
      <c r="AM124" s="155">
        <f>+'P01 2024'!FL86</f>
        <v>66026.34</v>
      </c>
      <c r="AN124" s="1194"/>
      <c r="AO124" s="151"/>
      <c r="AP124" s="151"/>
      <c r="AQ124" s="151"/>
      <c r="AR124" s="151"/>
      <c r="AS124" s="151"/>
      <c r="AT124" s="151"/>
      <c r="AU124" s="151"/>
      <c r="AV124" s="151"/>
      <c r="AW124" s="1195"/>
      <c r="AX124" s="1196"/>
      <c r="AY124" s="148"/>
      <c r="AZ124" s="151"/>
      <c r="BA124" s="151"/>
      <c r="BB124" s="1172"/>
      <c r="BC124" s="151"/>
      <c r="BD124" s="151"/>
      <c r="BE124" s="1171"/>
      <c r="BF124" s="1171"/>
      <c r="BG124" s="1171"/>
      <c r="BH124" s="1171"/>
      <c r="BI124" s="1171"/>
      <c r="BJ124" s="932"/>
      <c r="BK124" s="156"/>
      <c r="BL124" s="594"/>
      <c r="BM124" s="594"/>
      <c r="BN124" s="594"/>
      <c r="BO124" s="594"/>
      <c r="BP124" s="185"/>
      <c r="BQ124" s="156"/>
      <c r="BR124" s="594"/>
      <c r="BS124" s="594"/>
      <c r="BT124" s="594"/>
      <c r="BU124" s="594"/>
      <c r="BV124" s="156"/>
      <c r="BW124" s="158"/>
      <c r="BX124" s="185"/>
      <c r="BY124" s="185"/>
      <c r="BZ124" s="185"/>
      <c r="CA124" s="185"/>
      <c r="CB124" s="152"/>
      <c r="CC124" s="152"/>
    </row>
    <row r="125" spans="1:84" s="320" customFormat="1" ht="15" hidden="1" customHeight="1" x14ac:dyDescent="0.25">
      <c r="A125" s="329"/>
      <c r="B125" s="952" t="s">
        <v>384</v>
      </c>
      <c r="C125" s="955"/>
      <c r="D125" s="794"/>
      <c r="E125" s="933" t="s">
        <v>165</v>
      </c>
      <c r="F125" s="316"/>
      <c r="G125" s="315" t="str">
        <f>+CONCATENATE($C$80,"",$D$124,"",E125)</f>
        <v>22.08.001</v>
      </c>
      <c r="H125" s="501" t="s">
        <v>68</v>
      </c>
      <c r="I125" s="248">
        <f>+'P01 2025'!F99</f>
        <v>118014.527</v>
      </c>
      <c r="J125" s="317">
        <f>'P01 2025'!DE106</f>
        <v>121752.088</v>
      </c>
      <c r="K125" s="248">
        <f ca="1">SUMIF(T$3:$AM116,"ok",T125:AM125)</f>
        <v>68704.842000000004</v>
      </c>
      <c r="L125" s="379">
        <f t="shared" ca="1" si="18"/>
        <v>0.56430113954185335</v>
      </c>
      <c r="M125" s="319">
        <f>+'P01 2025'!DG106</f>
        <v>110080.34699999999</v>
      </c>
      <c r="N125" s="379">
        <f t="shared" si="13"/>
        <v>0.90413518821952354</v>
      </c>
      <c r="O125" s="317">
        <f t="shared" si="14"/>
        <v>11671.741000000009</v>
      </c>
      <c r="P125" s="445">
        <f t="shared" si="15"/>
        <v>9.5864811780476483E-2</v>
      </c>
      <c r="Q125" s="249">
        <f>+'P01 2024'!DJ102</f>
        <v>129291.58194600001</v>
      </c>
      <c r="R125" s="311">
        <f ca="1">SUMIF(T$3:$AM117,"SI",T125:AM125)</f>
        <v>57086.938018000001</v>
      </c>
      <c r="S125" s="379">
        <f t="shared" ca="1" si="16"/>
        <v>0.44153638743350643</v>
      </c>
      <c r="T125" s="326">
        <f>+'P01 2025'!G99</f>
        <v>4190.2839999999997</v>
      </c>
      <c r="U125" s="468">
        <f>+'P01 2024'!K98</f>
        <v>5246.8763800000006</v>
      </c>
      <c r="V125" s="468">
        <f>+'P01 2025'!N66</f>
        <v>8118.8469999999998</v>
      </c>
      <c r="W125" s="175">
        <f>+'P01 2024'!Q62</f>
        <v>6838.1239580000001</v>
      </c>
      <c r="X125" s="175">
        <f>+'P01 2025'!AC80</f>
        <v>9462.7479999999996</v>
      </c>
      <c r="Y125" s="249">
        <f>+'P01 2024'!AE77</f>
        <v>6573.0308220000006</v>
      </c>
      <c r="Z125" s="249">
        <f>+'P01 2025'!AR68</f>
        <v>10307.261</v>
      </c>
      <c r="AA125" s="249">
        <f>+'P01 2024'!AT69</f>
        <v>5613.3081839999995</v>
      </c>
      <c r="AB125" s="249">
        <f>'P01 2025'!BF65</f>
        <v>8975.2569999999996</v>
      </c>
      <c r="AC125" s="249">
        <f>+'P01 2024'!BI62</f>
        <v>9717.2210160000013</v>
      </c>
      <c r="AD125" s="249">
        <f>+'P01 2025'!BU77</f>
        <v>7980.7849999999999</v>
      </c>
      <c r="AE125" s="249">
        <f>+'P01 2024'!BX78</f>
        <v>7404.3832280000006</v>
      </c>
      <c r="AF125" s="253">
        <f>+'P01 2025'!CI59</f>
        <v>9572.0750000000007</v>
      </c>
      <c r="AG125" s="249">
        <f>+'P01 2024'!CM79</f>
        <v>9062.4990720000005</v>
      </c>
      <c r="AH125" s="327">
        <f>+'P01 2025'!CX63</f>
        <v>10097.584999999999</v>
      </c>
      <c r="AI125" s="175">
        <f>+'P01 2024'!DB81</f>
        <v>6631.4953580000001</v>
      </c>
      <c r="AJ125" s="249">
        <f>+'P01 2024'!DR76</f>
        <v>10287.043</v>
      </c>
      <c r="AK125" s="249">
        <f>'P01 2024'!EG75</f>
        <v>7206.26</v>
      </c>
      <c r="AL125" s="249">
        <f>+'P01 2024'!ET71</f>
        <v>8445.4770000000008</v>
      </c>
      <c r="AM125" s="175">
        <f>+'P01 2024'!FL87</f>
        <v>9351.259</v>
      </c>
      <c r="AN125" s="1194"/>
      <c r="AO125" s="151"/>
      <c r="AP125" s="151"/>
      <c r="AQ125" s="151"/>
      <c r="AR125" s="151"/>
      <c r="AS125" s="151"/>
      <c r="AT125" s="151"/>
      <c r="AU125" s="151"/>
      <c r="AV125" s="151"/>
      <c r="AW125" s="1195"/>
      <c r="AX125" s="1196"/>
      <c r="AY125" s="148"/>
      <c r="AZ125" s="151"/>
      <c r="BA125" s="151"/>
      <c r="BB125" s="1172"/>
      <c r="BC125" s="151"/>
      <c r="BD125" s="151"/>
      <c r="BE125" s="1171"/>
      <c r="BF125" s="1171"/>
      <c r="BG125" s="1171"/>
      <c r="BH125" s="1171"/>
      <c r="BI125" s="151"/>
      <c r="BJ125" s="156"/>
      <c r="BK125" s="156"/>
      <c r="BL125" s="594"/>
      <c r="BM125" s="594"/>
      <c r="BN125" s="594"/>
      <c r="BO125" s="594"/>
      <c r="BP125" s="185"/>
      <c r="BQ125" s="156"/>
      <c r="BR125" s="594"/>
      <c r="BS125" s="594"/>
      <c r="BT125" s="594"/>
      <c r="BU125" s="594"/>
      <c r="BV125" s="156"/>
      <c r="BW125" s="158"/>
      <c r="BX125" s="185"/>
      <c r="BY125" s="185"/>
      <c r="BZ125" s="185"/>
      <c r="CA125" s="185"/>
      <c r="CB125" s="159"/>
      <c r="CC125" s="159"/>
    </row>
    <row r="126" spans="1:84" s="320" customFormat="1" ht="15" hidden="1" customHeight="1" x14ac:dyDescent="0.25">
      <c r="A126" s="329"/>
      <c r="B126" s="952" t="s">
        <v>468</v>
      </c>
      <c r="C126" s="955"/>
      <c r="D126" s="794"/>
      <c r="E126" s="933" t="s">
        <v>161</v>
      </c>
      <c r="F126" s="316"/>
      <c r="G126" s="315" t="str">
        <f>+CONCATENATE($C$80,"",$D$124,"",E126)</f>
        <v>22.08.002</v>
      </c>
      <c r="H126" s="501" t="s">
        <v>69</v>
      </c>
      <c r="I126" s="248">
        <f>+'P01 2025'!F100</f>
        <v>500</v>
      </c>
      <c r="J126" s="317">
        <f>'P01 2025'!DE107</f>
        <v>13342.777</v>
      </c>
      <c r="K126" s="248">
        <f ca="1">SUMIF(T$3:$AM117,"ok",T126:AM126)</f>
        <v>6804.3850000000002</v>
      </c>
      <c r="L126" s="379">
        <f t="shared" ca="1" si="18"/>
        <v>0.50996767764311735</v>
      </c>
      <c r="M126" s="319">
        <f>+'P01 2025'!DG107</f>
        <v>12775.58</v>
      </c>
      <c r="N126" s="379">
        <f t="shared" si="13"/>
        <v>0.95749033353401614</v>
      </c>
      <c r="O126" s="317">
        <f t="shared" si="14"/>
        <v>567.19700000000012</v>
      </c>
      <c r="P126" s="445">
        <f t="shared" si="15"/>
        <v>4.2509666465983816E-2</v>
      </c>
      <c r="Q126" s="249">
        <f>+'P01 2024'!DJ103</f>
        <v>33228.329663999997</v>
      </c>
      <c r="R126" s="311">
        <f ca="1">SUMIF(T$3:$AM118,"SI",T126:AM126)</f>
        <v>18824.171808000003</v>
      </c>
      <c r="S126" s="379">
        <f t="shared" ca="1" si="16"/>
        <v>0.5665097222264035</v>
      </c>
      <c r="T126" s="326">
        <f>+'P01 2025'!G100</f>
        <v>0</v>
      </c>
      <c r="U126" s="468">
        <f>+'P01 2024'!K99</f>
        <v>0</v>
      </c>
      <c r="V126" s="468">
        <f>+'P01 2025'!N67</f>
        <v>972.05499999999995</v>
      </c>
      <c r="W126" s="175">
        <f>+'P01 2024'!Q63</f>
        <v>12075.969324</v>
      </c>
      <c r="X126" s="175">
        <f>+'P01 2025'!AC81</f>
        <v>972.05499999999995</v>
      </c>
      <c r="Y126" s="249">
        <f>+'P01 2024'!AE78</f>
        <v>2407.282584</v>
      </c>
      <c r="Z126" s="249">
        <f>+'P01 2025'!AR69</f>
        <v>972.05499999999995</v>
      </c>
      <c r="AA126" s="249">
        <f>+'P01 2024'!AT70</f>
        <v>868.18398000000013</v>
      </c>
      <c r="AB126" s="249">
        <v>0</v>
      </c>
      <c r="AC126" s="249">
        <f>+'P01 2024'!BI63</f>
        <v>868.18398000000013</v>
      </c>
      <c r="AD126" s="249">
        <f>+'P01 2025'!BU78</f>
        <v>972.05499999999995</v>
      </c>
      <c r="AE126" s="249">
        <f>+'P01 2024'!BX79</f>
        <v>868.18398000000013</v>
      </c>
      <c r="AF126" s="249">
        <v>0</v>
      </c>
      <c r="AG126" s="249">
        <f>+'P01 2024'!CM80</f>
        <v>868.18398000000013</v>
      </c>
      <c r="AH126" s="327">
        <f>+'P01 2025'!CX64</f>
        <v>2916.165</v>
      </c>
      <c r="AI126" s="175">
        <f>+'P01 2024'!DB82</f>
        <v>868.18398000000013</v>
      </c>
      <c r="AJ126" s="249">
        <f>+'P01 2024'!DR77</f>
        <v>833.19</v>
      </c>
      <c r="AK126" s="249">
        <f>'P01 2024'!EG76</f>
        <v>833.19</v>
      </c>
      <c r="AL126" s="249">
        <f>+'P01 2024'!ET72</f>
        <v>3926.18</v>
      </c>
      <c r="AM126" s="175">
        <f>+'P01 2024'!FL88</f>
        <v>1944.11</v>
      </c>
      <c r="AN126" s="1194"/>
      <c r="AO126" s="151"/>
      <c r="AP126" s="151"/>
      <c r="AQ126" s="151"/>
      <c r="AR126" s="151"/>
      <c r="AS126" s="151"/>
      <c r="AT126" s="151"/>
      <c r="AU126" s="151"/>
      <c r="AV126" s="151"/>
      <c r="AW126" s="1195"/>
      <c r="AX126" s="1196"/>
      <c r="AY126" s="148"/>
      <c r="AZ126" s="151"/>
      <c r="BA126" s="151"/>
      <c r="BB126" s="1172"/>
      <c r="BC126" s="151"/>
      <c r="BD126" s="151"/>
      <c r="BE126" s="1171"/>
      <c r="BF126" s="1171"/>
      <c r="BG126" s="1171"/>
      <c r="BH126" s="1171"/>
      <c r="BI126" s="151"/>
      <c r="BJ126" s="156"/>
      <c r="BK126" s="156"/>
      <c r="BL126" s="594"/>
      <c r="BM126" s="594"/>
      <c r="BN126" s="594"/>
      <c r="BO126" s="594"/>
      <c r="BP126" s="185"/>
      <c r="BQ126" s="156"/>
      <c r="BR126" s="594"/>
      <c r="BS126" s="594"/>
      <c r="BT126" s="594"/>
      <c r="BU126" s="594"/>
      <c r="BV126" s="156"/>
      <c r="BW126" s="158"/>
      <c r="BX126" s="185"/>
      <c r="BY126" s="185"/>
      <c r="BZ126" s="185"/>
      <c r="CA126" s="185"/>
      <c r="CB126" s="159"/>
      <c r="CC126" s="159"/>
    </row>
    <row r="127" spans="1:84" s="320" customFormat="1" ht="15" hidden="1" customHeight="1" x14ac:dyDescent="0.25">
      <c r="A127" s="329"/>
      <c r="B127" s="952" t="s">
        <v>821</v>
      </c>
      <c r="C127" s="955"/>
      <c r="D127" s="794"/>
      <c r="E127" s="933"/>
      <c r="F127" s="316"/>
      <c r="G127" s="315" t="s">
        <v>1013</v>
      </c>
      <c r="H127" s="1062" t="s">
        <v>985</v>
      </c>
      <c r="I127" s="1031">
        <v>0</v>
      </c>
      <c r="J127" s="317">
        <v>0</v>
      </c>
      <c r="K127" s="317">
        <f ca="1">SUMIF(T$3:$AM118,"ok",T127:AM127)</f>
        <v>0</v>
      </c>
      <c r="L127" s="1063">
        <f t="shared" ca="1" si="18"/>
        <v>0</v>
      </c>
      <c r="M127" s="319">
        <v>0</v>
      </c>
      <c r="N127" s="1063">
        <f t="shared" si="13"/>
        <v>0</v>
      </c>
      <c r="O127" s="317">
        <f t="shared" si="14"/>
        <v>0</v>
      </c>
      <c r="P127" s="1030">
        <f t="shared" si="15"/>
        <v>0</v>
      </c>
      <c r="Q127" s="89">
        <v>0</v>
      </c>
      <c r="R127" s="1064">
        <f ca="1">SUMIF(T$3:$AM119,"SI",T127:AM127)</f>
        <v>0</v>
      </c>
      <c r="S127" s="1063" t="str">
        <f t="shared" ca="1" si="16"/>
        <v>0,00%</v>
      </c>
      <c r="T127" s="1065">
        <v>0</v>
      </c>
      <c r="U127" s="1066">
        <v>0</v>
      </c>
      <c r="V127" s="1066">
        <v>0</v>
      </c>
      <c r="W127" s="91"/>
      <c r="X127" s="91">
        <v>0</v>
      </c>
      <c r="Y127" s="89"/>
      <c r="Z127" s="89">
        <v>0</v>
      </c>
      <c r="AA127" s="89"/>
      <c r="AB127" s="89">
        <v>0</v>
      </c>
      <c r="AC127" s="89"/>
      <c r="AD127" s="89">
        <v>0</v>
      </c>
      <c r="AE127" s="89"/>
      <c r="AF127" s="89">
        <v>0</v>
      </c>
      <c r="AG127" s="89"/>
      <c r="AH127" s="327"/>
      <c r="AI127" s="91"/>
      <c r="AJ127" s="89"/>
      <c r="AK127" s="89"/>
      <c r="AL127" s="89"/>
      <c r="AM127" s="89">
        <f>+'P01 2024'!FL89</f>
        <v>100</v>
      </c>
      <c r="AN127" s="1139"/>
      <c r="AO127" s="156"/>
      <c r="AP127" s="156"/>
      <c r="AQ127" s="156"/>
      <c r="AR127" s="156"/>
      <c r="AS127" s="156"/>
      <c r="AT127" s="156"/>
      <c r="AU127" s="156"/>
      <c r="AV127" s="156"/>
      <c r="AW127" s="1140"/>
      <c r="AX127" s="1197"/>
      <c r="AY127" s="148"/>
      <c r="AZ127" s="151"/>
      <c r="BA127" s="151"/>
      <c r="BB127" s="1172"/>
      <c r="BC127" s="151"/>
      <c r="BD127" s="151"/>
      <c r="BE127" s="1171"/>
      <c r="BF127" s="1171"/>
      <c r="BG127" s="1171"/>
      <c r="BH127" s="1171"/>
      <c r="BI127" s="151"/>
      <c r="BJ127" s="156"/>
      <c r="BK127" s="156"/>
      <c r="BL127" s="594"/>
      <c r="BM127" s="594"/>
      <c r="BN127" s="594"/>
      <c r="BO127" s="594"/>
      <c r="BP127" s="185"/>
      <c r="BQ127" s="156"/>
      <c r="BR127" s="594"/>
      <c r="BS127" s="594"/>
      <c r="BT127" s="594"/>
      <c r="BU127" s="594"/>
      <c r="BV127" s="156"/>
      <c r="BW127" s="158"/>
      <c r="BX127" s="185"/>
      <c r="BY127" s="185"/>
      <c r="BZ127" s="185"/>
      <c r="CA127" s="185"/>
      <c r="CB127" s="159"/>
      <c r="CC127" s="159"/>
    </row>
    <row r="128" spans="1:84" s="320" customFormat="1" ht="15" hidden="1" customHeight="1" x14ac:dyDescent="0.25">
      <c r="A128" s="329"/>
      <c r="B128" s="952" t="s">
        <v>562</v>
      </c>
      <c r="C128" s="955"/>
      <c r="D128" s="794"/>
      <c r="E128" s="933" t="s">
        <v>166</v>
      </c>
      <c r="F128" s="316"/>
      <c r="G128" s="315" t="str">
        <f>+CONCATENATE($C$80,"",$D$124,"",E128)</f>
        <v>22.08.007</v>
      </c>
      <c r="H128" s="501" t="s">
        <v>113</v>
      </c>
      <c r="I128" s="248">
        <f>+'P01 2025'!F101</f>
        <v>48503.898999999998</v>
      </c>
      <c r="J128" s="317">
        <f>'P01 2025'!DE108</f>
        <v>170112.65599999999</v>
      </c>
      <c r="K128" s="317">
        <f ca="1">SUMIF(T$3:$AM118,"ok",T128:AM128)</f>
        <v>109083.47</v>
      </c>
      <c r="L128" s="379">
        <f t="shared" ca="1" si="18"/>
        <v>0.64124253047933133</v>
      </c>
      <c r="M128" s="319">
        <f>'P01 2025'!DG108</f>
        <v>140358.43100000001</v>
      </c>
      <c r="N128" s="379">
        <f t="shared" si="13"/>
        <v>0.82509105612929834</v>
      </c>
      <c r="O128" s="317">
        <f t="shared" si="14"/>
        <v>29754.224999999977</v>
      </c>
      <c r="P128" s="445">
        <f t="shared" si="15"/>
        <v>0.17490894387070166</v>
      </c>
      <c r="Q128" s="249">
        <f>+'P01 2024'!DJ104</f>
        <v>162738.35023800001</v>
      </c>
      <c r="R128" s="311">
        <f ca="1">SUMIF(T$3:$AM119,"SI",T128:AM128)</f>
        <v>119647.297804</v>
      </c>
      <c r="S128" s="379">
        <f t="shared" ca="1" si="16"/>
        <v>0.73521267500266152</v>
      </c>
      <c r="T128" s="326">
        <f>+'P01 2025'!G101</f>
        <v>6652.2539999999999</v>
      </c>
      <c r="U128" s="468">
        <f>+'P01 2024'!K100</f>
        <v>7523.0253480000001</v>
      </c>
      <c r="V128" s="468">
        <f>+'P01 2025'!N68</f>
        <v>9602.3619999999992</v>
      </c>
      <c r="W128" s="175">
        <f>+'P01 2024'!Q64</f>
        <v>7735.2557400000005</v>
      </c>
      <c r="X128" s="175">
        <f>+'P01 2025'!AC82</f>
        <v>28364.576000000001</v>
      </c>
      <c r="Y128" s="249">
        <f>+'P01 2024'!AE79</f>
        <v>22307.904996000001</v>
      </c>
      <c r="Z128" s="249">
        <f>+'P01 2025'!AR70</f>
        <v>19741.949000000001</v>
      </c>
      <c r="AA128" s="249">
        <f>+'P01 2024'!AT71</f>
        <v>20289.442627999997</v>
      </c>
      <c r="AB128" s="249">
        <f>'P01 2025'!BF66</f>
        <v>8370.9210000000003</v>
      </c>
      <c r="AC128" s="249">
        <f>+'P01 2024'!BI64</f>
        <v>16540.275569999998</v>
      </c>
      <c r="AD128" s="249">
        <f>+'P01 2025'!BU79</f>
        <v>10181.267</v>
      </c>
      <c r="AE128" s="249">
        <f>+'P01 2024'!BX80</f>
        <v>18411.322029999999</v>
      </c>
      <c r="AF128" s="249">
        <f>+'P01 2025'!CI60</f>
        <v>8104.2079999999996</v>
      </c>
      <c r="AG128" s="249">
        <f>+'P01 2024'!CM81</f>
        <v>16219.625078000001</v>
      </c>
      <c r="AH128" s="327">
        <f>+'P01 2025'!CX65</f>
        <v>18065.933000000001</v>
      </c>
      <c r="AI128" s="175">
        <f>+'P01 2024'!DB83</f>
        <v>10620.446414</v>
      </c>
      <c r="AJ128" s="249">
        <f>+'P01 2024'!DR78</f>
        <v>9065.4969999999994</v>
      </c>
      <c r="AK128" s="249">
        <f>'P01 2024'!EG77</f>
        <v>14866.347</v>
      </c>
      <c r="AL128" s="249">
        <f>+'P01 2024'!ET73</f>
        <v>16122.638999999999</v>
      </c>
      <c r="AM128" s="175">
        <f>+'P01 2024'!FL90</f>
        <v>14959.124</v>
      </c>
      <c r="AN128" s="1194"/>
      <c r="AO128" s="151"/>
      <c r="AP128" s="151"/>
      <c r="AQ128" s="151"/>
      <c r="AR128" s="151"/>
      <c r="AS128" s="151"/>
      <c r="AT128" s="151"/>
      <c r="AU128" s="151"/>
      <c r="AV128" s="151"/>
      <c r="AW128" s="1195"/>
      <c r="AX128" s="1196"/>
      <c r="AY128" s="148"/>
      <c r="AZ128" s="151"/>
      <c r="BA128" s="151"/>
      <c r="BB128" s="1172"/>
      <c r="BC128" s="151"/>
      <c r="BD128" s="151"/>
      <c r="BE128" s="1171"/>
      <c r="BF128" s="1171"/>
      <c r="BG128" s="1171"/>
      <c r="BH128" s="1171"/>
      <c r="BI128" s="151"/>
      <c r="BJ128" s="156"/>
      <c r="BK128" s="156"/>
      <c r="BL128" s="594"/>
      <c r="BM128" s="594"/>
      <c r="BN128" s="594"/>
      <c r="BO128" s="594"/>
      <c r="BP128" s="185"/>
      <c r="BQ128" s="156"/>
      <c r="BR128" s="594"/>
      <c r="BS128" s="594"/>
      <c r="BT128" s="594"/>
      <c r="BU128" s="594"/>
      <c r="BV128" s="156"/>
      <c r="BW128" s="158"/>
      <c r="BX128" s="185"/>
      <c r="BY128" s="185"/>
      <c r="BZ128" s="185"/>
      <c r="CA128" s="185"/>
      <c r="CB128" s="159"/>
      <c r="CC128" s="159"/>
    </row>
    <row r="129" spans="1:81" s="320" customFormat="1" ht="15" hidden="1" customHeight="1" x14ac:dyDescent="0.25">
      <c r="A129" s="329"/>
      <c r="B129" s="952" t="s">
        <v>563</v>
      </c>
      <c r="C129" s="955"/>
      <c r="D129" s="794"/>
      <c r="E129" s="933" t="s">
        <v>167</v>
      </c>
      <c r="F129" s="316"/>
      <c r="G129" s="315" t="str">
        <f>+CONCATENATE($C$80,"",$D$124,"",E129)</f>
        <v>22.08.008</v>
      </c>
      <c r="H129" s="501" t="s">
        <v>114</v>
      </c>
      <c r="I129" s="248">
        <f>+'P01 2025'!F102</f>
        <v>41983.249000000003</v>
      </c>
      <c r="J129" s="317">
        <f>'P01 2025'!DE109</f>
        <v>84496.68</v>
      </c>
      <c r="K129" s="317">
        <f ca="1">SUMIF(T$3:$AM119,"ok",T129:AM129)</f>
        <v>41539.165000000001</v>
      </c>
      <c r="L129" s="379">
        <f t="shared" ca="1" si="18"/>
        <v>0.49160706669185111</v>
      </c>
      <c r="M129" s="319">
        <f>'P01 2025'!DG109</f>
        <v>70633.519</v>
      </c>
      <c r="N129" s="379">
        <f t="shared" si="13"/>
        <v>0.83593247687364769</v>
      </c>
      <c r="O129" s="317">
        <f t="shared" si="14"/>
        <v>13863.160999999993</v>
      </c>
      <c r="P129" s="445">
        <f t="shared" si="15"/>
        <v>0.16406752312635234</v>
      </c>
      <c r="Q129" s="249">
        <f>+'P01 2024'!DJ105</f>
        <v>80244.421042000002</v>
      </c>
      <c r="R129" s="311">
        <f ca="1">SUMIF(T$3:$AM120,"SI",T129:AM129)</f>
        <v>43364.270044000004</v>
      </c>
      <c r="S129" s="379">
        <f t="shared" ca="1" si="16"/>
        <v>0.54040230437083103</v>
      </c>
      <c r="T129" s="326">
        <f>+'P01 2025'!G102</f>
        <v>0</v>
      </c>
      <c r="U129" s="468">
        <f>+'P01 2024'!K101</f>
        <v>239.66</v>
      </c>
      <c r="V129" s="468">
        <f>+'P01 2025'!N69</f>
        <v>4512.18</v>
      </c>
      <c r="W129" s="175">
        <f>+'P01 2024'!Q65</f>
        <v>4650.1959200000001</v>
      </c>
      <c r="X129" s="175">
        <f>+'P01 2025'!AC83</f>
        <v>3791.1590000000001</v>
      </c>
      <c r="Y129" s="249">
        <f>+'P01 2024'!AE80</f>
        <v>3863.6734800000004</v>
      </c>
      <c r="Z129" s="249">
        <f>+'P01 2025'!AR71</f>
        <v>7444.8040000000001</v>
      </c>
      <c r="AA129" s="249">
        <f>+'P01 2024'!AT72</f>
        <v>8735.0234800000017</v>
      </c>
      <c r="AB129" s="249">
        <f>'P01 2025'!BF67</f>
        <v>6332.7259999999997</v>
      </c>
      <c r="AC129" s="249">
        <f>+'P01 2024'!BI65</f>
        <v>6750.0134799999996</v>
      </c>
      <c r="AD129" s="249">
        <f>+'P01 2025'!BU80</f>
        <v>7563.1670000000004</v>
      </c>
      <c r="AE129" s="249">
        <f>+'P01 2024'!BX81</f>
        <v>6958.4134800000002</v>
      </c>
      <c r="AF129" s="249">
        <f>+'P01 2025'!CI61</f>
        <v>5629.1670000000004</v>
      </c>
      <c r="AG129" s="249">
        <f>+'P01 2024'!CM82</f>
        <v>5800.670204</v>
      </c>
      <c r="AH129" s="249">
        <f>+'P01 2025'!CX66</f>
        <v>6265.9620000000004</v>
      </c>
      <c r="AI129" s="175">
        <f>+'P01 2024'!DB84</f>
        <v>6366.62</v>
      </c>
      <c r="AJ129" s="249">
        <f>+'P01 2024'!DR79</f>
        <v>7084.982</v>
      </c>
      <c r="AK129" s="249">
        <f>'P01 2024'!EG78</f>
        <v>7418.3310000000001</v>
      </c>
      <c r="AL129" s="249">
        <f>+'P01 2024'!ET74</f>
        <v>6584.9949999999999</v>
      </c>
      <c r="AM129" s="175">
        <f>+'P01 2024'!FL91</f>
        <v>10960.8</v>
      </c>
      <c r="AN129" s="1194"/>
      <c r="AO129" s="151"/>
      <c r="AP129" s="151"/>
      <c r="AQ129" s="151"/>
      <c r="AR129" s="151"/>
      <c r="AS129" s="151"/>
      <c r="AT129" s="151"/>
      <c r="AU129" s="151"/>
      <c r="AV129" s="151"/>
      <c r="AW129" s="1195"/>
      <c r="AX129" s="1196"/>
      <c r="AY129" s="148"/>
      <c r="AZ129" s="151"/>
      <c r="BA129" s="151"/>
      <c r="BB129" s="1172"/>
      <c r="BC129" s="151"/>
      <c r="BD129" s="151"/>
      <c r="BE129" s="1171"/>
      <c r="BF129" s="1171"/>
      <c r="BG129" s="1171"/>
      <c r="BH129" s="1171"/>
      <c r="BI129" s="151"/>
      <c r="BJ129" s="156"/>
      <c r="BK129" s="156"/>
      <c r="BL129" s="594"/>
      <c r="BM129" s="594"/>
      <c r="BN129" s="594"/>
      <c r="BO129" s="594"/>
      <c r="BP129" s="185"/>
      <c r="BQ129" s="156"/>
      <c r="BR129" s="594"/>
      <c r="BS129" s="594"/>
      <c r="BT129" s="594"/>
      <c r="BU129" s="594"/>
      <c r="BV129" s="156"/>
      <c r="BW129" s="158"/>
      <c r="BX129" s="185"/>
      <c r="BY129" s="185"/>
      <c r="BZ129" s="185"/>
      <c r="CA129" s="185"/>
      <c r="CB129" s="159"/>
      <c r="CC129" s="159"/>
    </row>
    <row r="130" spans="1:81" s="320" customFormat="1" ht="15" hidden="1" customHeight="1" x14ac:dyDescent="0.25">
      <c r="A130" s="329"/>
      <c r="B130" s="952" t="s">
        <v>564</v>
      </c>
      <c r="C130" s="955"/>
      <c r="D130" s="794"/>
      <c r="E130" s="933" t="s">
        <v>169</v>
      </c>
      <c r="F130" s="316"/>
      <c r="G130" s="315" t="str">
        <f>+CONCATENATE($C$80,"",$D$124,"",E130)</f>
        <v>22.08.010</v>
      </c>
      <c r="H130" s="501" t="s">
        <v>70</v>
      </c>
      <c r="I130" s="248">
        <f>+'P01 2025'!F103</f>
        <v>3000</v>
      </c>
      <c r="J130" s="317">
        <f>'P01 2025'!DE110</f>
        <v>2793.7750000000001</v>
      </c>
      <c r="K130" s="317">
        <f ca="1">SUMIF(T$3:$AM120,"ok",T130:AM130)</f>
        <v>2515.62</v>
      </c>
      <c r="L130" s="379">
        <f t="shared" ca="1" si="18"/>
        <v>0.90043757997691287</v>
      </c>
      <c r="M130" s="319">
        <f>'P01 2025'!DG110</f>
        <v>2649.31</v>
      </c>
      <c r="N130" s="379">
        <f t="shared" si="13"/>
        <v>0.94829039561167228</v>
      </c>
      <c r="O130" s="317">
        <f t="shared" si="14"/>
        <v>144.46500000000015</v>
      </c>
      <c r="P130" s="445">
        <f t="shared" si="15"/>
        <v>5.1709604388327675E-2</v>
      </c>
      <c r="Q130" s="249">
        <f>+'P01 2024'!DJ106</f>
        <v>2904.9709600000001</v>
      </c>
      <c r="R130" s="311">
        <f ca="1">SUMIF(T$3:$AM121,"SI",T130:AM130)</f>
        <v>2214.6428339999998</v>
      </c>
      <c r="S130" s="379">
        <f t="shared" ca="1" si="16"/>
        <v>0.76236315766819218</v>
      </c>
      <c r="T130" s="326">
        <f>+'P01 2025'!G103</f>
        <v>262</v>
      </c>
      <c r="U130" s="468">
        <f>+'P01 2024'!K102</f>
        <v>0</v>
      </c>
      <c r="V130" s="468">
        <f>+'P01 2025'!N70</f>
        <v>149.881</v>
      </c>
      <c r="W130" s="175">
        <f>+'P01 2024'!Q66</f>
        <v>1565.0579499999999</v>
      </c>
      <c r="X130" s="175">
        <f>+'P01 2025'!AC84</f>
        <v>1185.2159999999999</v>
      </c>
      <c r="Y130" s="249">
        <f>+'P01 2024'!AE81</f>
        <v>99.905918000000014</v>
      </c>
      <c r="Z130" s="249">
        <f>+'P01 2025'!AR72</f>
        <v>918.52300000000002</v>
      </c>
      <c r="AA130" s="249">
        <f>+'P01 2024'!AT73</f>
        <v>274.83896200000004</v>
      </c>
      <c r="AB130" s="249">
        <v>0</v>
      </c>
      <c r="AC130" s="249">
        <f>+'P01 2024'!BI66</f>
        <v>274.84000400000002</v>
      </c>
      <c r="AD130" s="249">
        <v>0</v>
      </c>
      <c r="AE130" s="249">
        <v>0</v>
      </c>
      <c r="AF130" s="249">
        <v>0</v>
      </c>
      <c r="AG130" s="249">
        <v>0</v>
      </c>
      <c r="AH130" s="249">
        <v>0</v>
      </c>
      <c r="AI130" s="175">
        <v>0</v>
      </c>
      <c r="AJ130" s="249">
        <f>+'P01 2024'!DR80</f>
        <v>131.881</v>
      </c>
      <c r="AK130" s="249">
        <v>0</v>
      </c>
      <c r="AL130" s="249">
        <v>0</v>
      </c>
      <c r="AM130" s="175">
        <f>+'P01 2024'!FL92</f>
        <v>246.846</v>
      </c>
      <c r="AN130" s="1194"/>
      <c r="AO130" s="151"/>
      <c r="AP130" s="151"/>
      <c r="AQ130" s="151"/>
      <c r="AR130" s="151"/>
      <c r="AS130" s="151"/>
      <c r="AT130" s="151"/>
      <c r="AU130" s="151"/>
      <c r="AV130" s="151"/>
      <c r="AW130" s="1195"/>
      <c r="AX130" s="1196"/>
      <c r="AY130" s="148"/>
      <c r="AZ130" s="151"/>
      <c r="BA130" s="151"/>
      <c r="BB130" s="1172"/>
      <c r="BC130" s="151"/>
      <c r="BD130" s="151"/>
      <c r="BE130" s="1171"/>
      <c r="BF130" s="1171"/>
      <c r="BG130" s="1171"/>
      <c r="BH130" s="1171"/>
      <c r="BI130" s="151"/>
      <c r="BJ130" s="156"/>
      <c r="BK130" s="156"/>
      <c r="BL130" s="594"/>
      <c r="BM130" s="594"/>
      <c r="BN130" s="594"/>
      <c r="BO130" s="594"/>
      <c r="BP130" s="185"/>
      <c r="BQ130" s="156"/>
      <c r="BR130" s="594"/>
      <c r="BS130" s="594"/>
      <c r="BT130" s="594"/>
      <c r="BU130" s="594"/>
      <c r="BV130" s="156"/>
      <c r="BW130" s="158"/>
      <c r="BX130" s="185"/>
      <c r="BY130" s="185"/>
      <c r="BZ130" s="185"/>
      <c r="CA130" s="185"/>
      <c r="CB130" s="159"/>
      <c r="CC130" s="159"/>
    </row>
    <row r="131" spans="1:81" s="320" customFormat="1" ht="15" hidden="1" customHeight="1" x14ac:dyDescent="0.25">
      <c r="A131" s="329"/>
      <c r="B131" s="952" t="s">
        <v>385</v>
      </c>
      <c r="C131" s="955"/>
      <c r="D131" s="794"/>
      <c r="E131" s="933" t="s">
        <v>173</v>
      </c>
      <c r="F131" s="316"/>
      <c r="G131" s="315" t="str">
        <f>+CONCATENATE($C$80,"",$D$124,"",E131)</f>
        <v>22.08.999</v>
      </c>
      <c r="H131" s="501" t="s">
        <v>109</v>
      </c>
      <c r="I131" s="248">
        <f>+'P01 2025'!F104</f>
        <v>74314.797000000006</v>
      </c>
      <c r="J131" s="317">
        <f>'P01 2025'!DE111</f>
        <v>388751.47600000002</v>
      </c>
      <c r="K131" s="317">
        <f ca="1">SUMIF(T$3:$AM121,"ok",T131:AM131)</f>
        <v>195816.57800000001</v>
      </c>
      <c r="L131" s="379">
        <f t="shared" ca="1" si="18"/>
        <v>0.5037063267638886</v>
      </c>
      <c r="M131" s="319">
        <f>'P01 2025'!DG111</f>
        <v>315274.95199999999</v>
      </c>
      <c r="N131" s="379">
        <f t="shared" si="13"/>
        <v>0.81099358192533255</v>
      </c>
      <c r="O131" s="317">
        <f t="shared" si="14"/>
        <v>73476.524000000034</v>
      </c>
      <c r="P131" s="445">
        <f t="shared" si="15"/>
        <v>0.18900641807466739</v>
      </c>
      <c r="Q131" s="249">
        <f>+'P01 2024'!DJ107</f>
        <v>446250.12102399999</v>
      </c>
      <c r="R131" s="311">
        <f ca="1">SUMIF(T$3:$AM122,"SI",T131:AM131)</f>
        <v>300143.57146800007</v>
      </c>
      <c r="S131" s="379">
        <f t="shared" ca="1" si="16"/>
        <v>0.67259045393481898</v>
      </c>
      <c r="T131" s="326">
        <f>+'P01 2025'!G104</f>
        <v>297.5</v>
      </c>
      <c r="U131" s="468">
        <f>+'P01 2024'!K103</f>
        <v>12470.552842000001</v>
      </c>
      <c r="V131" s="468">
        <f>+'P01 2025'!N71</f>
        <v>6088.4570000000003</v>
      </c>
      <c r="W131" s="175">
        <f>+'P01 2024'!Q67</f>
        <v>2417.9610000000002</v>
      </c>
      <c r="X131" s="175">
        <f>+'P01 2025'!AC85</f>
        <v>1851.25</v>
      </c>
      <c r="Y131" s="249">
        <f>+'P01 2024'!AE82</f>
        <v>4583.5579360000002</v>
      </c>
      <c r="Z131" s="249">
        <f>+'P01 2025'!AR73</f>
        <v>11511.081</v>
      </c>
      <c r="AA131" s="249">
        <f>+'P01 2024'!AT74</f>
        <v>15315.846378</v>
      </c>
      <c r="AB131" s="249">
        <f>'P01 2025'!BF68</f>
        <v>4261.3900000000003</v>
      </c>
      <c r="AC131" s="249">
        <f>+'P01 2024'!BI67</f>
        <v>2440.9798219999998</v>
      </c>
      <c r="AD131" s="249">
        <f>+'P01 2025'!BU81</f>
        <v>37551.415000000001</v>
      </c>
      <c r="AE131" s="249">
        <f>+'P01 2024'!BX82</f>
        <v>91733.622451999996</v>
      </c>
      <c r="AF131" s="249">
        <f>+'P01 2025'!CI62</f>
        <v>49956.088000000003</v>
      </c>
      <c r="AG131" s="249">
        <f>+'P01 2024'!CM83</f>
        <v>145002.57973200001</v>
      </c>
      <c r="AH131" s="249">
        <f>+'P01 2025'!CX67</f>
        <v>84299.396999999997</v>
      </c>
      <c r="AI131" s="175">
        <f>+'P01 2024'!DB85</f>
        <v>26178.471306000003</v>
      </c>
      <c r="AJ131" s="249">
        <f>+'P01 2024'!DR81</f>
        <v>2546.6</v>
      </c>
      <c r="AK131" s="249">
        <f>'P01 2024'!EG79</f>
        <v>52941.900999999998</v>
      </c>
      <c r="AL131" s="249">
        <f>+'P01 2024'!ET75</f>
        <v>99876.508000000002</v>
      </c>
      <c r="AM131" s="175">
        <f>+'P01 2024'!FL93</f>
        <v>28464.201000000001</v>
      </c>
      <c r="AN131" s="1194"/>
      <c r="AO131" s="151"/>
      <c r="AP131" s="151"/>
      <c r="AQ131" s="151"/>
      <c r="AR131" s="151"/>
      <c r="AS131" s="151"/>
      <c r="AT131" s="151"/>
      <c r="AU131" s="151"/>
      <c r="AV131" s="151"/>
      <c r="AW131" s="1195"/>
      <c r="AX131" s="1196"/>
      <c r="AY131" s="148"/>
      <c r="AZ131" s="151"/>
      <c r="BA131" s="151"/>
      <c r="BB131" s="1172"/>
      <c r="BC131" s="151"/>
      <c r="BD131" s="151"/>
      <c r="BE131" s="1171"/>
      <c r="BF131" s="1171"/>
      <c r="BG131" s="1171"/>
      <c r="BH131" s="1171"/>
      <c r="BI131" s="151"/>
      <c r="BJ131" s="156"/>
      <c r="BK131" s="156"/>
      <c r="BL131" s="594"/>
      <c r="BM131" s="594"/>
      <c r="BN131" s="594"/>
      <c r="BO131" s="594"/>
      <c r="BP131" s="185"/>
      <c r="BQ131" s="156"/>
      <c r="BR131" s="594"/>
      <c r="BS131" s="594"/>
      <c r="BT131" s="594"/>
      <c r="BU131" s="594"/>
      <c r="BV131" s="156"/>
      <c r="BW131" s="158"/>
      <c r="BX131" s="185"/>
      <c r="BY131" s="185"/>
      <c r="BZ131" s="185"/>
      <c r="CA131" s="185"/>
      <c r="CB131" s="159"/>
      <c r="CC131" s="159"/>
    </row>
    <row r="132" spans="1:81" s="308" customFormat="1" ht="15" hidden="1" customHeight="1" x14ac:dyDescent="0.25">
      <c r="A132" s="84"/>
      <c r="B132" s="169" t="s">
        <v>386</v>
      </c>
      <c r="C132" s="508"/>
      <c r="D132" s="172" t="s">
        <v>181</v>
      </c>
      <c r="E132" s="309"/>
      <c r="F132" s="309"/>
      <c r="G132" s="309"/>
      <c r="H132" s="502" t="s">
        <v>115</v>
      </c>
      <c r="I132" s="381">
        <f>+'P01 2025'!F105</f>
        <v>1017845.671</v>
      </c>
      <c r="J132" s="306">
        <f>'P01 2025'!DE112</f>
        <v>1014324.047</v>
      </c>
      <c r="K132" s="381">
        <f ca="1">SUMIF(T$3:$AM122,"ok",T132:AM132)</f>
        <v>557267.54200000002</v>
      </c>
      <c r="L132" s="378">
        <f t="shared" ca="1" si="18"/>
        <v>0.54939794008452603</v>
      </c>
      <c r="M132" s="323">
        <f>'P01 2025'!DG112</f>
        <v>1014323.6850000001</v>
      </c>
      <c r="N132" s="378">
        <f t="shared" si="13"/>
        <v>0.99999964311207934</v>
      </c>
      <c r="O132" s="306">
        <f t="shared" si="14"/>
        <v>0.36199999996460974</v>
      </c>
      <c r="P132" s="443">
        <f t="shared" si="15"/>
        <v>3.5688792061597426E-7</v>
      </c>
      <c r="Q132" s="321">
        <f>+'P01 2024'!DJ108</f>
        <v>1107110.211936</v>
      </c>
      <c r="R132" s="155">
        <f ca="1">SUMIF(T$3:$AM124,"SI",T132:AM132)</f>
        <v>524992.59909799998</v>
      </c>
      <c r="S132" s="378">
        <f t="shared" ca="1" si="16"/>
        <v>0.47420084598438228</v>
      </c>
      <c r="T132" s="509">
        <f>+'P01 2025'!G105</f>
        <v>9220.8619999999992</v>
      </c>
      <c r="U132" s="467">
        <f>+'P01 2024'!K104</f>
        <v>10675.20664</v>
      </c>
      <c r="V132" s="467">
        <f>+'P01 2025'!N72</f>
        <v>52687.199000000001</v>
      </c>
      <c r="W132" s="86">
        <f>+'P01 2024'!Q68</f>
        <v>57682.739029999997</v>
      </c>
      <c r="X132" s="155">
        <f>+'P01 2025'!AC86</f>
        <v>105914.07399999999</v>
      </c>
      <c r="Y132" s="86">
        <f>+'P01 2024'!AE83</f>
        <v>60457.515216</v>
      </c>
      <c r="Z132" s="86">
        <f>+'P01 2025'!AR74</f>
        <v>90365.353000000003</v>
      </c>
      <c r="AA132" s="155">
        <f>+'P01 2024'!AT75</f>
        <v>60293.961854000001</v>
      </c>
      <c r="AB132" s="155">
        <f>SUM(AB133:AB136)</f>
        <v>53880.137999999999</v>
      </c>
      <c r="AC132" s="155">
        <f>+'P01 2024'!BI68</f>
        <v>131102.28931200001</v>
      </c>
      <c r="AD132" s="155">
        <f>+'P01 2025'!BU82</f>
        <v>116089.96</v>
      </c>
      <c r="AE132" s="155">
        <f>+'P01 2024'!BX83</f>
        <v>32109.588448000002</v>
      </c>
      <c r="AF132" s="155">
        <f>+'P01 2025'!CI63</f>
        <v>83240.691999999995</v>
      </c>
      <c r="AG132" s="155">
        <f>+'P01 2024'!CM84</f>
        <v>129029.903444</v>
      </c>
      <c r="AH132" s="155">
        <f>+'P01 2025'!CX68</f>
        <v>45869.264000000003</v>
      </c>
      <c r="AI132" s="155">
        <f>+'P01 2024'!DB86</f>
        <v>43641.395153999998</v>
      </c>
      <c r="AJ132" s="155">
        <f>+'P01 2024'!DR82</f>
        <v>267682.679</v>
      </c>
      <c r="AK132" s="155">
        <f>SUM(AK133:AK136)</f>
        <v>54470.190999999999</v>
      </c>
      <c r="AL132" s="155">
        <f>+'P01 2024'!ET76</f>
        <v>49829.192999999999</v>
      </c>
      <c r="AM132" s="155">
        <f>+'P01 2024'!FL94</f>
        <v>73359.603000000003</v>
      </c>
      <c r="AN132" s="1194"/>
      <c r="AO132" s="151"/>
      <c r="AP132" s="151"/>
      <c r="AQ132" s="151"/>
      <c r="AR132" s="151"/>
      <c r="AS132" s="151"/>
      <c r="AT132" s="151"/>
      <c r="AU132" s="151"/>
      <c r="AV132" s="151"/>
      <c r="AW132" s="1195"/>
      <c r="AX132" s="1196"/>
      <c r="AY132" s="148"/>
      <c r="AZ132" s="151"/>
      <c r="BA132" s="151"/>
      <c r="BB132" s="1172"/>
      <c r="BC132" s="151"/>
      <c r="BD132" s="151"/>
      <c r="BE132" s="1171"/>
      <c r="BF132" s="1171"/>
      <c r="BG132" s="1171"/>
      <c r="BH132" s="1171"/>
      <c r="BI132" s="1171"/>
      <c r="BJ132" s="932"/>
      <c r="BK132" s="156"/>
      <c r="BL132" s="594"/>
      <c r="BM132" s="594"/>
      <c r="BN132" s="594"/>
      <c r="BO132" s="594"/>
      <c r="BP132" s="185"/>
      <c r="BQ132" s="156"/>
      <c r="BR132" s="594"/>
      <c r="BS132" s="594"/>
      <c r="BT132" s="594"/>
      <c r="BU132" s="594"/>
      <c r="BV132" s="156"/>
      <c r="BW132" s="158"/>
      <c r="BX132" s="185"/>
      <c r="BY132" s="185"/>
      <c r="BZ132" s="185"/>
      <c r="CA132" s="185"/>
      <c r="CB132" s="152"/>
      <c r="CC132" s="152"/>
    </row>
    <row r="133" spans="1:81" s="320" customFormat="1" ht="15" hidden="1" customHeight="1" x14ac:dyDescent="0.25">
      <c r="A133" s="329"/>
      <c r="B133" s="952" t="s">
        <v>387</v>
      </c>
      <c r="C133" s="955"/>
      <c r="D133" s="794"/>
      <c r="E133" s="933" t="s">
        <v>161</v>
      </c>
      <c r="F133" s="316"/>
      <c r="G133" s="315" t="str">
        <f>+CONCATENATE($C$80,"",$D$132,"",E133)</f>
        <v>22.09.002</v>
      </c>
      <c r="H133" s="501" t="s">
        <v>71</v>
      </c>
      <c r="I133" s="248">
        <f>+'P01 2025'!F106</f>
        <v>874508.88199999998</v>
      </c>
      <c r="J133" s="317">
        <f>'P01 2025'!DE113</f>
        <v>845657.38899999997</v>
      </c>
      <c r="K133" s="317">
        <f ca="1">SUMIF(T$3:$AM124,"ok",T133:AM133)</f>
        <v>453954.63</v>
      </c>
      <c r="L133" s="379">
        <f t="shared" ca="1" si="18"/>
        <v>0.5368067918578785</v>
      </c>
      <c r="M133" s="319">
        <f>'P01 2025'!DG113</f>
        <v>845657.38899999997</v>
      </c>
      <c r="N133" s="379">
        <f t="shared" si="13"/>
        <v>1</v>
      </c>
      <c r="O133" s="317">
        <f t="shared" si="14"/>
        <v>0</v>
      </c>
      <c r="P133" s="445">
        <f t="shared" si="15"/>
        <v>0</v>
      </c>
      <c r="Q133" s="249">
        <f>+'P01 2024'!DJ109</f>
        <v>926670.19793599995</v>
      </c>
      <c r="R133" s="311">
        <f ca="1">SUMIF(T$3:$AM125,"SI",T133:AM133)</f>
        <v>423388.13357000006</v>
      </c>
      <c r="S133" s="379">
        <f t="shared" ca="1" si="16"/>
        <v>0.4568919282318834</v>
      </c>
      <c r="T133" s="326">
        <f>+'P01 2025'!G106</f>
        <v>9220.8619999999992</v>
      </c>
      <c r="U133" s="468">
        <f>+'P01 2024'!K105</f>
        <v>8965.0147620000007</v>
      </c>
      <c r="V133" s="468">
        <f>+'P01 2025'!N73</f>
        <v>37955.684999999998</v>
      </c>
      <c r="W133" s="175">
        <f>+'P01 2024'!Q69</f>
        <v>50069.816174</v>
      </c>
      <c r="X133" s="175">
        <f>+'P01 2025'!AC87</f>
        <v>91362.240999999995</v>
      </c>
      <c r="Y133" s="249">
        <f>+'P01 2024'!AE84</f>
        <v>52919.059932000004</v>
      </c>
      <c r="Z133" s="249">
        <f>+'P01 2025'!AR75</f>
        <v>75328.326000000001</v>
      </c>
      <c r="AA133" s="249">
        <f>+'P01 2024'!AT76</f>
        <v>35199.062180000001</v>
      </c>
      <c r="AB133" s="249">
        <f>'P01 2025'!BF70</f>
        <v>41226.091</v>
      </c>
      <c r="AC133" s="249">
        <f>+'P01 2024'!BI69</f>
        <v>115158.961996</v>
      </c>
      <c r="AD133" s="249">
        <f>+'P01 2025'!BU83</f>
        <v>101331.538</v>
      </c>
      <c r="AE133" s="249">
        <f>+'P01 2024'!BX84</f>
        <v>17298.357662000002</v>
      </c>
      <c r="AF133" s="249">
        <f>+'P01 2025'!CI64</f>
        <v>66363.563999999998</v>
      </c>
      <c r="AG133" s="249">
        <f>+'P01 2024'!CM85</f>
        <v>114564.81359600001</v>
      </c>
      <c r="AH133" s="249">
        <f>+'P01 2025'!CX69</f>
        <v>31166.323</v>
      </c>
      <c r="AI133" s="175">
        <f>+'P01 2024'!DB87</f>
        <v>29213.047268000002</v>
      </c>
      <c r="AJ133" s="249">
        <f>+'P01 2024'!DR83</f>
        <v>251659.42600000001</v>
      </c>
      <c r="AK133" s="249">
        <f>'P01 2024'!EG81</f>
        <v>40621.712</v>
      </c>
      <c r="AL133" s="249">
        <f>+'P01 2024'!ET77</f>
        <v>33601.290999999997</v>
      </c>
      <c r="AM133" s="175">
        <f>+'P01 2024'!FL95</f>
        <v>46270.148999999998</v>
      </c>
      <c r="AN133" s="1194"/>
      <c r="AO133" s="151"/>
      <c r="AP133" s="151"/>
      <c r="AQ133" s="151"/>
      <c r="AR133" s="151"/>
      <c r="AS133" s="151"/>
      <c r="AT133" s="151"/>
      <c r="AU133" s="151"/>
      <c r="AV133" s="151"/>
      <c r="AW133" s="1195"/>
      <c r="AX133" s="1196"/>
      <c r="AY133" s="148"/>
      <c r="AZ133" s="151"/>
      <c r="BA133" s="151"/>
      <c r="BB133" s="1172"/>
      <c r="BC133" s="151"/>
      <c r="BD133" s="151"/>
      <c r="BE133" s="1171"/>
      <c r="BF133" s="1171"/>
      <c r="BG133" s="1171"/>
      <c r="BH133" s="1171"/>
      <c r="BI133" s="151"/>
      <c r="BJ133" s="156"/>
      <c r="BK133" s="156"/>
      <c r="BL133" s="594"/>
      <c r="BM133" s="594"/>
      <c r="BN133" s="594"/>
      <c r="BO133" s="594"/>
      <c r="BP133" s="185"/>
      <c r="BQ133" s="156"/>
      <c r="BR133" s="594"/>
      <c r="BS133" s="594"/>
      <c r="BT133" s="594"/>
      <c r="BU133" s="594"/>
      <c r="BV133" s="156"/>
      <c r="BW133" s="158"/>
      <c r="BX133" s="185"/>
      <c r="BY133" s="185"/>
      <c r="BZ133" s="185"/>
      <c r="CA133" s="185"/>
      <c r="CB133" s="159"/>
      <c r="CC133" s="159"/>
    </row>
    <row r="134" spans="1:81" s="320" customFormat="1" ht="15" hidden="1" customHeight="1" x14ac:dyDescent="0.25">
      <c r="A134" s="329"/>
      <c r="B134" s="952" t="s">
        <v>565</v>
      </c>
      <c r="C134" s="955"/>
      <c r="D134" s="794"/>
      <c r="E134" s="933" t="s">
        <v>176</v>
      </c>
      <c r="F134" s="316"/>
      <c r="G134" s="315" t="str">
        <f>+CONCATENATE($C$80,"",$D$132,"",E134)</f>
        <v>22.09.005</v>
      </c>
      <c r="H134" s="501" t="s">
        <v>116</v>
      </c>
      <c r="I134" s="248">
        <f>+'P01 2025'!F107</f>
        <v>28000</v>
      </c>
      <c r="J134" s="317">
        <f>'P01 2025'!DE114</f>
        <v>28000</v>
      </c>
      <c r="K134" s="317">
        <f ca="1">SUMIF(T$3:$AM125,"ok",T134:AM134)</f>
        <v>13717.465</v>
      </c>
      <c r="L134" s="379">
        <f t="shared" ca="1" si="18"/>
        <v>0.4899094642857143</v>
      </c>
      <c r="M134" s="319">
        <f>'P01 2025'!DG114</f>
        <v>28000</v>
      </c>
      <c r="N134" s="379">
        <f t="shared" si="13"/>
        <v>1</v>
      </c>
      <c r="O134" s="317">
        <f t="shared" si="14"/>
        <v>0</v>
      </c>
      <c r="P134" s="445">
        <f t="shared" si="15"/>
        <v>0</v>
      </c>
      <c r="Q134" s="249">
        <f>+'P01 2024'!DJ110</f>
        <v>28134</v>
      </c>
      <c r="R134" s="311">
        <f ca="1">SUMIF(T$3:$AM126,"SI",T134:AM134)</f>
        <v>14363.277070000002</v>
      </c>
      <c r="S134" s="379">
        <f t="shared" ca="1" si="16"/>
        <v>0.51053092592592597</v>
      </c>
      <c r="T134" s="326">
        <f>+'P01 2025'!G107</f>
        <v>0</v>
      </c>
      <c r="U134" s="468">
        <f>+'P01 2024'!K106</f>
        <v>1710.1918780000001</v>
      </c>
      <c r="V134" s="468">
        <f>+'P01 2025'!N74</f>
        <v>1862.6880000000001</v>
      </c>
      <c r="W134" s="175">
        <v>0</v>
      </c>
      <c r="X134" s="175">
        <f>+'P01 2025'!AC88</f>
        <v>1938.069</v>
      </c>
      <c r="Y134" s="249">
        <f>+'P01 2024'!AE85</f>
        <v>2188.0812120000001</v>
      </c>
      <c r="Z134" s="249">
        <f>+'P01 2025'!AR76</f>
        <v>1945.633</v>
      </c>
      <c r="AA134" s="249">
        <v>0</v>
      </c>
      <c r="AB134" s="249">
        <v>0</v>
      </c>
      <c r="AC134" s="249">
        <f>+'P01 2024'!BI70</f>
        <v>6171.4690300000002</v>
      </c>
      <c r="AD134" s="249">
        <f>+'P01 2025'!BU84</f>
        <v>2063.585</v>
      </c>
      <c r="AE134" s="249">
        <v>0</v>
      </c>
      <c r="AF134" s="249">
        <f>+'P01 2025'!CI65</f>
        <v>4024.7150000000001</v>
      </c>
      <c r="AG134" s="249">
        <f>+'P01 2024'!CM86</f>
        <v>2139.1634800000002</v>
      </c>
      <c r="AH134" s="249">
        <f>+'P01 2025'!CX70</f>
        <v>1882.7750000000001</v>
      </c>
      <c r="AI134" s="175">
        <f>+'P01 2024'!DB88</f>
        <v>2154.37147</v>
      </c>
      <c r="AJ134" s="249">
        <f>+'P01 2024'!DR84</f>
        <v>4140.4870000000001</v>
      </c>
      <c r="AK134" s="249">
        <f>'P01 2024'!EG82</f>
        <v>2061.6179999999999</v>
      </c>
      <c r="AL134" s="249">
        <f>+'P01 2024'!ET78</f>
        <v>1919.971</v>
      </c>
      <c r="AM134" s="175">
        <f>+'P01 2024'!FL96</f>
        <v>4325.7979999999998</v>
      </c>
      <c r="AN134" s="1194"/>
      <c r="AO134" s="151"/>
      <c r="AP134" s="151"/>
      <c r="AQ134" s="151"/>
      <c r="AR134" s="151"/>
      <c r="AS134" s="151"/>
      <c r="AT134" s="151"/>
      <c r="AU134" s="151"/>
      <c r="AV134" s="151"/>
      <c r="AW134" s="1195"/>
      <c r="AX134" s="1196"/>
      <c r="AY134" s="148"/>
      <c r="AZ134" s="151"/>
      <c r="BA134" s="151"/>
      <c r="BB134" s="1172"/>
      <c r="BC134" s="151"/>
      <c r="BD134" s="151"/>
      <c r="BE134" s="1171"/>
      <c r="BF134" s="1171"/>
      <c r="BG134" s="1171"/>
      <c r="BH134" s="1171"/>
      <c r="BI134" s="151"/>
      <c r="BJ134" s="156"/>
      <c r="BK134" s="156"/>
      <c r="BL134" s="594"/>
      <c r="BM134" s="594"/>
      <c r="BN134" s="594"/>
      <c r="BO134" s="594"/>
      <c r="BP134" s="185"/>
      <c r="BQ134" s="156"/>
      <c r="BR134" s="594"/>
      <c r="BS134" s="594"/>
      <c r="BT134" s="594"/>
      <c r="BU134" s="594"/>
      <c r="BV134" s="156"/>
      <c r="BW134" s="158"/>
      <c r="BX134" s="185"/>
      <c r="BY134" s="185"/>
      <c r="BZ134" s="185"/>
      <c r="CA134" s="185"/>
      <c r="CB134" s="159"/>
      <c r="CC134" s="159"/>
    </row>
    <row r="135" spans="1:81" s="320" customFormat="1" ht="15" hidden="1" customHeight="1" x14ac:dyDescent="0.25">
      <c r="A135" s="329"/>
      <c r="B135" s="952" t="s">
        <v>566</v>
      </c>
      <c r="C135" s="955"/>
      <c r="D135" s="794"/>
      <c r="E135" s="933" t="s">
        <v>177</v>
      </c>
      <c r="F135" s="316"/>
      <c r="G135" s="315" t="str">
        <f>+CONCATENATE($C$80,"",$D$132,"",E135)</f>
        <v>22.09.006</v>
      </c>
      <c r="H135" s="501" t="s">
        <v>117</v>
      </c>
      <c r="I135" s="248">
        <f>+'P01 2025'!F108</f>
        <v>112000</v>
      </c>
      <c r="J135" s="317">
        <f>'P01 2025'!DE115</f>
        <v>112000</v>
      </c>
      <c r="K135" s="317">
        <f ca="1">SUMIF(T$3:$AM126,"ok",T135:AM135)</f>
        <v>72873.441000000006</v>
      </c>
      <c r="L135" s="379">
        <f t="shared" ca="1" si="18"/>
        <v>0.65065572321428577</v>
      </c>
      <c r="M135" s="319">
        <f>'P01 2025'!DG115</f>
        <v>112000</v>
      </c>
      <c r="N135" s="379">
        <f t="shared" si="13"/>
        <v>1</v>
      </c>
      <c r="O135" s="317">
        <f t="shared" si="14"/>
        <v>0</v>
      </c>
      <c r="P135" s="445">
        <f t="shared" si="15"/>
        <v>0</v>
      </c>
      <c r="Q135" s="249">
        <f>+'P01 2024'!DJ111</f>
        <v>122057.796</v>
      </c>
      <c r="R135" s="311">
        <f ca="1">SUMIF(T$3:$AM128,"SI",T135:AM135)</f>
        <v>69444.864205999998</v>
      </c>
      <c r="S135" s="379">
        <f t="shared" ca="1" si="16"/>
        <v>0.5689506650275743</v>
      </c>
      <c r="T135" s="326">
        <f>+'P01 2025'!G108</f>
        <v>0</v>
      </c>
      <c r="U135" s="468">
        <f>+'P01 2024'!K107</f>
        <v>0</v>
      </c>
      <c r="V135" s="468">
        <f>+'P01 2025'!N75</f>
        <v>10479.968000000001</v>
      </c>
      <c r="W135" s="175">
        <f>+'P01 2024'!Q70</f>
        <v>7612.9228560000001</v>
      </c>
      <c r="X135" s="175">
        <f>+'P01 2025'!AC89</f>
        <v>10224.906000000001</v>
      </c>
      <c r="Y135" s="249">
        <v>0</v>
      </c>
      <c r="Z135" s="249">
        <f>+'P01 2025'!AR77</f>
        <v>10702.536</v>
      </c>
      <c r="AA135" s="249">
        <f>+'P01 2024'!AT77</f>
        <v>22605.709638</v>
      </c>
      <c r="AB135" s="249">
        <f>'P01 2025'!BF71</f>
        <v>10265.189</v>
      </c>
      <c r="AC135" s="249">
        <f>+'P01 2024'!BI71</f>
        <v>9771.8582860000006</v>
      </c>
      <c r="AD135" s="249">
        <f>+'P01 2025'!BU85</f>
        <v>10305.978999999999</v>
      </c>
      <c r="AE135" s="249">
        <f>+'P01 2024'!BX85</f>
        <v>9832.8507140000002</v>
      </c>
      <c r="AF135" s="249">
        <f>+'P01 2025'!CI66</f>
        <v>10463.555</v>
      </c>
      <c r="AG135" s="249">
        <f>+'P01 2024'!CM87</f>
        <v>9836.7363320000004</v>
      </c>
      <c r="AH135" s="249">
        <f>+'P01 2025'!CX71</f>
        <v>10431.308000000001</v>
      </c>
      <c r="AI135" s="175">
        <f>+'P01 2024'!DB89</f>
        <v>9784.7863799999996</v>
      </c>
      <c r="AJ135" s="249">
        <f>+'P01 2024'!DR85</f>
        <v>9493.9079999999994</v>
      </c>
      <c r="AK135" s="249">
        <f>'P01 2024'!EG83</f>
        <v>9398.0030000000006</v>
      </c>
      <c r="AL135" s="249">
        <f>+'P01 2024'!ET79</f>
        <v>9530.2150000000001</v>
      </c>
      <c r="AM135" s="175">
        <f>+'P01 2024'!FL97</f>
        <v>20374.797999999999</v>
      </c>
      <c r="AN135" s="1194"/>
      <c r="AO135" s="151"/>
      <c r="AP135" s="151"/>
      <c r="AQ135" s="151"/>
      <c r="AR135" s="151"/>
      <c r="AS135" s="151"/>
      <c r="AT135" s="151"/>
      <c r="AU135" s="151"/>
      <c r="AV135" s="151"/>
      <c r="AW135" s="1195"/>
      <c r="AX135" s="1196"/>
      <c r="AY135" s="148"/>
      <c r="AZ135" s="151"/>
      <c r="BA135" s="151"/>
      <c r="BB135" s="1172"/>
      <c r="BC135" s="151"/>
      <c r="BD135" s="151"/>
      <c r="BE135" s="1171"/>
      <c r="BF135" s="1171"/>
      <c r="BG135" s="1171"/>
      <c r="BH135" s="1171"/>
      <c r="BI135" s="151"/>
      <c r="BJ135" s="156"/>
      <c r="BK135" s="156"/>
      <c r="BL135" s="594"/>
      <c r="BM135" s="594"/>
      <c r="BN135" s="594"/>
      <c r="BO135" s="594"/>
      <c r="BP135" s="185"/>
      <c r="BQ135" s="156"/>
      <c r="BR135" s="594"/>
      <c r="BS135" s="594"/>
      <c r="BT135" s="594"/>
      <c r="BU135" s="594"/>
      <c r="BV135" s="156"/>
      <c r="BW135" s="158"/>
      <c r="BX135" s="185"/>
      <c r="BY135" s="185"/>
      <c r="BZ135" s="185"/>
      <c r="CA135" s="185"/>
      <c r="CB135" s="159"/>
      <c r="CC135" s="159"/>
    </row>
    <row r="136" spans="1:81" s="320" customFormat="1" ht="15" hidden="1" customHeight="1" x14ac:dyDescent="0.25">
      <c r="A136" s="329"/>
      <c r="B136" s="952" t="s">
        <v>469</v>
      </c>
      <c r="C136" s="955"/>
      <c r="D136" s="794"/>
      <c r="E136" s="933" t="s">
        <v>173</v>
      </c>
      <c r="F136" s="316"/>
      <c r="G136" s="315" t="str">
        <f>+CONCATENATE($C$80,"",$D$132,"",E136)</f>
        <v>22.09.999</v>
      </c>
      <c r="H136" s="501" t="s">
        <v>109</v>
      </c>
      <c r="I136" s="248">
        <f>+'P01 2025'!F109</f>
        <v>3336.7890000000002</v>
      </c>
      <c r="J136" s="317">
        <f>'P01 2025'!DE116</f>
        <v>28666.657999999999</v>
      </c>
      <c r="K136" s="317">
        <f ca="1">SUMIF(T$3:$AM128,"ok",T136:AM136)</f>
        <v>16722.006000000001</v>
      </c>
      <c r="L136" s="379">
        <f t="shared" ca="1" si="18"/>
        <v>0.58332596705203665</v>
      </c>
      <c r="M136" s="319">
        <f>'P01 2025'!DG116</f>
        <v>28666.295999999998</v>
      </c>
      <c r="N136" s="379">
        <f t="shared" si="13"/>
        <v>0.99998737208920552</v>
      </c>
      <c r="O136" s="317">
        <f t="shared" si="14"/>
        <v>0.36200000000098953</v>
      </c>
      <c r="P136" s="445">
        <f t="shared" si="15"/>
        <v>1.2627910794519177E-5</v>
      </c>
      <c r="Q136" s="249">
        <f>+'P01 2024'!DJ112</f>
        <v>30248.218000000001</v>
      </c>
      <c r="R136" s="311">
        <f ca="1">SUMIF(T$3:$AM129,"SI",T136:AM136)</f>
        <v>17796.324252000002</v>
      </c>
      <c r="S136" s="379">
        <f t="shared" ca="1" si="16"/>
        <v>0.58834289848082955</v>
      </c>
      <c r="T136" s="326">
        <f>+'P01 2025'!G109</f>
        <v>0</v>
      </c>
      <c r="U136" s="468">
        <f>+'P01 2024'!K108</f>
        <v>0</v>
      </c>
      <c r="V136" s="468">
        <f>+'P01 2025'!N76</f>
        <v>2388.8580000000002</v>
      </c>
      <c r="W136" s="175">
        <v>0</v>
      </c>
      <c r="X136" s="175">
        <f>+'P01 2025'!AC90</f>
        <v>2388.8580000000002</v>
      </c>
      <c r="Y136" s="249">
        <f>+'P01 2024'!AE86</f>
        <v>5350.3740720000005</v>
      </c>
      <c r="Z136" s="249">
        <f>+'P01 2025'!AR78</f>
        <v>2388.8580000000002</v>
      </c>
      <c r="AA136" s="249">
        <f>+'P01 2024'!AT78</f>
        <v>2489.1900360000004</v>
      </c>
      <c r="AB136" s="249">
        <f>'P01 2025'!BF72</f>
        <v>2388.8580000000002</v>
      </c>
      <c r="AC136" s="249">
        <v>0</v>
      </c>
      <c r="AD136" s="249">
        <f>+'P01 2025'!BU86</f>
        <v>2388.8580000000002</v>
      </c>
      <c r="AE136" s="249">
        <f>+'P01 2024'!BX86</f>
        <v>4978.3800720000008</v>
      </c>
      <c r="AF136" s="249">
        <f>+'P01 2025'!CI67</f>
        <v>2388.8580000000002</v>
      </c>
      <c r="AG136" s="249">
        <f>+'P01 2024'!CM88</f>
        <v>2489.1900360000004</v>
      </c>
      <c r="AH136" s="249">
        <f>+'P01 2025'!CX72</f>
        <v>2388.8580000000002</v>
      </c>
      <c r="AI136" s="175">
        <f>+'P01 2024'!DB90</f>
        <v>2489.1900360000004</v>
      </c>
      <c r="AJ136" s="249">
        <f>+'P01 2024'!DR86</f>
        <v>2388.8580000000002</v>
      </c>
      <c r="AK136" s="249">
        <f>'P01 2024'!EG84</f>
        <v>2388.8580000000002</v>
      </c>
      <c r="AL136" s="249">
        <f>+'P01 2024'!ET80</f>
        <v>4777.7160000000003</v>
      </c>
      <c r="AM136" s="175">
        <f>+'P01 2024'!FL98</f>
        <v>2388.8580000000002</v>
      </c>
      <c r="AN136" s="1194"/>
      <c r="AO136" s="151"/>
      <c r="AP136" s="151"/>
      <c r="AQ136" s="151"/>
      <c r="AR136" s="151"/>
      <c r="AS136" s="151"/>
      <c r="AT136" s="151"/>
      <c r="AU136" s="151"/>
      <c r="AV136" s="151"/>
      <c r="AW136" s="1195"/>
      <c r="AX136" s="1196"/>
      <c r="AY136" s="148"/>
      <c r="AZ136" s="151"/>
      <c r="BA136" s="151"/>
      <c r="BB136" s="1172"/>
      <c r="BC136" s="151"/>
      <c r="BD136" s="151"/>
      <c r="BE136" s="1171"/>
      <c r="BF136" s="1171"/>
      <c r="BG136" s="1171"/>
      <c r="BH136" s="1171"/>
      <c r="BI136" s="151"/>
      <c r="BJ136" s="156"/>
      <c r="BK136" s="156"/>
      <c r="BL136" s="594"/>
      <c r="BM136" s="594"/>
      <c r="BN136" s="594"/>
      <c r="BO136" s="594"/>
      <c r="BP136" s="185"/>
      <c r="BQ136" s="156"/>
      <c r="BR136" s="594"/>
      <c r="BS136" s="594"/>
      <c r="BT136" s="594"/>
      <c r="BU136" s="594"/>
      <c r="BV136" s="156"/>
      <c r="BW136" s="158"/>
      <c r="BX136" s="185"/>
      <c r="BY136" s="185"/>
      <c r="BZ136" s="185"/>
      <c r="CA136" s="185"/>
      <c r="CB136" s="159"/>
      <c r="CC136" s="159"/>
    </row>
    <row r="137" spans="1:81" s="308" customFormat="1" ht="15" hidden="1" customHeight="1" x14ac:dyDescent="0.25">
      <c r="A137" s="84"/>
      <c r="B137" s="169" t="s">
        <v>567</v>
      </c>
      <c r="C137" s="508"/>
      <c r="D137" s="172" t="s">
        <v>182</v>
      </c>
      <c r="E137" s="309"/>
      <c r="F137" s="309"/>
      <c r="G137" s="309"/>
      <c r="H137" s="502" t="s">
        <v>118</v>
      </c>
      <c r="I137" s="381">
        <f>+'P01 2025'!F110</f>
        <v>5000</v>
      </c>
      <c r="J137" s="306">
        <f>'P01 2025'!DE117</f>
        <v>19931.522000000001</v>
      </c>
      <c r="K137" s="381">
        <f ca="1">SUMIF(T$3:$AM129,"ok",T137:AM137)</f>
        <v>7431.521999999999</v>
      </c>
      <c r="L137" s="378">
        <f t="shared" ca="1" si="18"/>
        <v>0.3728527103951218</v>
      </c>
      <c r="M137" s="323">
        <f>'P01 2025'!DG117</f>
        <v>7431.5219999999999</v>
      </c>
      <c r="N137" s="378">
        <f t="shared" si="13"/>
        <v>0.37285271039512186</v>
      </c>
      <c r="O137" s="306">
        <f t="shared" si="14"/>
        <v>12500</v>
      </c>
      <c r="P137" s="443">
        <f t="shared" si="15"/>
        <v>0.62714728960487809</v>
      </c>
      <c r="Q137" s="321">
        <f>+'P01 2024'!DJ113</f>
        <v>15268.373900000001</v>
      </c>
      <c r="R137" s="155">
        <f ca="1">SUMIF(T$3:$AM130,"SI",T137:AM137)</f>
        <v>14644.359696000003</v>
      </c>
      <c r="S137" s="378">
        <f t="shared" ca="1" si="16"/>
        <v>0.95913027752090896</v>
      </c>
      <c r="T137" s="509">
        <f>+'P01 2025'!G110</f>
        <v>0</v>
      </c>
      <c r="U137" s="467">
        <f>+'P01 2024'!K109</f>
        <v>9.9656880000000001</v>
      </c>
      <c r="V137" s="467">
        <v>0</v>
      </c>
      <c r="W137" s="155">
        <v>0</v>
      </c>
      <c r="X137" s="155">
        <v>0</v>
      </c>
      <c r="Y137" s="86">
        <f>+'P01 2024'!AE87</f>
        <v>4716.4504480000005</v>
      </c>
      <c r="Z137" s="86">
        <f>+'P01 2025'!AR79</f>
        <v>4521.8119999999999</v>
      </c>
      <c r="AA137" s="155">
        <v>0</v>
      </c>
      <c r="AB137" s="155">
        <v>0</v>
      </c>
      <c r="AC137" s="155">
        <v>0</v>
      </c>
      <c r="AD137" s="155">
        <v>0</v>
      </c>
      <c r="AE137" s="155">
        <v>0</v>
      </c>
      <c r="AF137" s="155">
        <f>+'P01 2025'!CI68</f>
        <v>2899.8359999999998</v>
      </c>
      <c r="AG137" s="155">
        <f>+'P01 2024'!CM89</f>
        <v>9917.9435600000015</v>
      </c>
      <c r="AH137" s="155">
        <f>+'P01 2025'!CX73</f>
        <v>9.8740000000000006</v>
      </c>
      <c r="AI137" s="86">
        <v>0</v>
      </c>
      <c r="AJ137" s="155">
        <v>0</v>
      </c>
      <c r="AK137" s="155">
        <f>SUM(AK138:AK139)</f>
        <v>0</v>
      </c>
      <c r="AL137" s="155">
        <f>+'P01 2024'!ET81</f>
        <v>8.141</v>
      </c>
      <c r="AM137" s="155">
        <v>0</v>
      </c>
      <c r="AN137" s="1194"/>
      <c r="AO137" s="151"/>
      <c r="AP137" s="151"/>
      <c r="AQ137" s="151"/>
      <c r="AR137" s="151"/>
      <c r="AS137" s="151"/>
      <c r="AT137" s="151"/>
      <c r="AU137" s="151"/>
      <c r="AV137" s="151"/>
      <c r="AW137" s="1195"/>
      <c r="AX137" s="1196"/>
      <c r="AY137" s="148"/>
      <c r="AZ137" s="151"/>
      <c r="BA137" s="151"/>
      <c r="BB137" s="1172"/>
      <c r="BC137" s="151"/>
      <c r="BD137" s="151"/>
      <c r="BE137" s="1171"/>
      <c r="BF137" s="1171"/>
      <c r="BG137" s="1171"/>
      <c r="BH137" s="1171"/>
      <c r="BI137" s="1171"/>
      <c r="BJ137" s="932"/>
      <c r="BK137" s="156"/>
      <c r="BL137" s="594"/>
      <c r="BM137" s="594"/>
      <c r="BN137" s="594"/>
      <c r="BO137" s="594"/>
      <c r="BP137" s="185"/>
      <c r="BQ137" s="156"/>
      <c r="BR137" s="594"/>
      <c r="BS137" s="594"/>
      <c r="BT137" s="594"/>
      <c r="BU137" s="594"/>
      <c r="BV137" s="156"/>
      <c r="BW137" s="158"/>
      <c r="BX137" s="185"/>
      <c r="BY137" s="185"/>
      <c r="BZ137" s="185"/>
      <c r="CA137" s="185"/>
      <c r="CB137" s="152"/>
      <c r="CC137" s="152"/>
    </row>
    <row r="138" spans="1:81" s="320" customFormat="1" ht="15" hidden="1" customHeight="1" x14ac:dyDescent="0.25">
      <c r="A138" s="329"/>
      <c r="B138" s="952" t="s">
        <v>388</v>
      </c>
      <c r="C138" s="955"/>
      <c r="D138" s="794"/>
      <c r="E138" s="933" t="s">
        <v>161</v>
      </c>
      <c r="F138" s="316"/>
      <c r="G138" s="315" t="str">
        <f>+CONCATENATE($C$80,"",$D$137,"",E138)</f>
        <v>22.10.002</v>
      </c>
      <c r="H138" s="501" t="s">
        <v>119</v>
      </c>
      <c r="I138" s="248">
        <f>+'P01 2025'!F111</f>
        <v>5000</v>
      </c>
      <c r="J138" s="317">
        <f>'P01 2025'!DE118</f>
        <v>19911.434000000001</v>
      </c>
      <c r="K138" s="317">
        <f ca="1">SUMIF(T$3:$AM130,"ok",T138:AM138)</f>
        <v>7411.4339999999993</v>
      </c>
      <c r="L138" s="379">
        <f t="shared" ca="1" si="18"/>
        <v>0.37222000183412196</v>
      </c>
      <c r="M138" s="319">
        <f>'P01 2025'!DG118</f>
        <v>7411.4340000000002</v>
      </c>
      <c r="N138" s="379">
        <f t="shared" si="13"/>
        <v>0.37222000183412202</v>
      </c>
      <c r="O138" s="317">
        <f t="shared" si="14"/>
        <v>12500</v>
      </c>
      <c r="P138" s="445">
        <f t="shared" si="15"/>
        <v>0.62777999816587793</v>
      </c>
      <c r="Q138" s="249">
        <f>+'P01 2024'!DJ114</f>
        <v>15227.26179</v>
      </c>
      <c r="R138" s="311">
        <f ca="1">SUMIF(T$3:$AM131,"SI",T138:AM138)</f>
        <v>14603.247586000001</v>
      </c>
      <c r="S138" s="379">
        <f t="shared" ca="1" si="16"/>
        <v>0.95901993328769064</v>
      </c>
      <c r="T138" s="326">
        <f>+'P01 2025'!G111</f>
        <v>0</v>
      </c>
      <c r="U138" s="468">
        <f>+'P01 2024'!K110</f>
        <v>0</v>
      </c>
      <c r="V138" s="468">
        <v>0</v>
      </c>
      <c r="W138" s="175">
        <v>0</v>
      </c>
      <c r="X138" s="175">
        <v>0</v>
      </c>
      <c r="Y138" s="249">
        <f>+'P01 2024'!AE88</f>
        <v>4716.4504480000005</v>
      </c>
      <c r="Z138" s="249">
        <f>+'P01 2025'!AR80</f>
        <v>4511.598</v>
      </c>
      <c r="AA138" s="249">
        <v>0</v>
      </c>
      <c r="AB138" s="249">
        <v>0</v>
      </c>
      <c r="AC138" s="249">
        <v>0</v>
      </c>
      <c r="AD138" s="249">
        <v>0</v>
      </c>
      <c r="AE138" s="249">
        <v>0</v>
      </c>
      <c r="AF138" s="249">
        <f>+'P01 2025'!CI69</f>
        <v>2899.8359999999998</v>
      </c>
      <c r="AG138" s="249">
        <f>+'P01 2024'!CM90</f>
        <v>9886.7971380000017</v>
      </c>
      <c r="AH138" s="249">
        <v>0</v>
      </c>
      <c r="AI138" s="175">
        <v>0</v>
      </c>
      <c r="AJ138" s="249">
        <v>0</v>
      </c>
      <c r="AK138" s="249">
        <v>0</v>
      </c>
      <c r="AL138" s="249">
        <v>0</v>
      </c>
      <c r="AM138" s="253">
        <v>0</v>
      </c>
      <c r="AN138" s="1194"/>
      <c r="AO138" s="151"/>
      <c r="AP138" s="151"/>
      <c r="AQ138" s="151"/>
      <c r="AR138" s="151"/>
      <c r="AS138" s="151"/>
      <c r="AT138" s="151"/>
      <c r="AU138" s="151"/>
      <c r="AV138" s="151"/>
      <c r="AW138" s="1195"/>
      <c r="AX138" s="1196"/>
      <c r="AY138" s="148"/>
      <c r="AZ138" s="151"/>
      <c r="BA138" s="151"/>
      <c r="BB138" s="1172"/>
      <c r="BC138" s="151"/>
      <c r="BD138" s="151"/>
      <c r="BE138" s="1171"/>
      <c r="BF138" s="1171"/>
      <c r="BG138" s="1171"/>
      <c r="BH138" s="1171"/>
      <c r="BI138" s="151"/>
      <c r="BJ138" s="156"/>
      <c r="BK138" s="156"/>
      <c r="BL138" s="594"/>
      <c r="BM138" s="594"/>
      <c r="BN138" s="594"/>
      <c r="BO138" s="594"/>
      <c r="BP138" s="185"/>
      <c r="BQ138" s="156"/>
      <c r="BR138" s="594"/>
      <c r="BS138" s="594"/>
      <c r="BT138" s="594"/>
      <c r="BU138" s="594"/>
      <c r="BV138" s="156"/>
      <c r="BW138" s="158"/>
      <c r="BX138" s="185"/>
      <c r="BY138" s="185"/>
      <c r="BZ138" s="185"/>
      <c r="CA138" s="185"/>
      <c r="CB138" s="159"/>
      <c r="CC138" s="159"/>
    </row>
    <row r="139" spans="1:81" s="320" customFormat="1" ht="15" hidden="1" customHeight="1" x14ac:dyDescent="0.25">
      <c r="A139" s="329"/>
      <c r="B139" s="952" t="s">
        <v>478</v>
      </c>
      <c r="C139" s="955"/>
      <c r="D139" s="794"/>
      <c r="E139" s="933" t="s">
        <v>175</v>
      </c>
      <c r="F139" s="316"/>
      <c r="G139" s="315" t="str">
        <f>+CONCATENATE($C$80,"",$D$137,"",E139)</f>
        <v>22.10.004</v>
      </c>
      <c r="H139" s="501" t="s">
        <v>72</v>
      </c>
      <c r="I139" s="248">
        <v>0</v>
      </c>
      <c r="J139" s="317">
        <f>'P01 2025'!DE119</f>
        <v>20.088000000000001</v>
      </c>
      <c r="K139" s="317">
        <f ca="1">SUMIF(T$3:$AM131,"ok",T139:AM139)</f>
        <v>20.088000000000001</v>
      </c>
      <c r="L139" s="379">
        <f t="shared" ca="1" si="18"/>
        <v>1</v>
      </c>
      <c r="M139" s="319">
        <f>'P01 2025'!DG119</f>
        <v>20.088000000000001</v>
      </c>
      <c r="N139" s="379">
        <f t="shared" si="13"/>
        <v>1</v>
      </c>
      <c r="O139" s="317">
        <f t="shared" si="14"/>
        <v>0</v>
      </c>
      <c r="P139" s="445">
        <f t="shared" si="15"/>
        <v>0</v>
      </c>
      <c r="Q139" s="249">
        <f>+'P01 2024'!DJ115</f>
        <v>41.112110000000001</v>
      </c>
      <c r="R139" s="311">
        <f ca="1">SUMIF(T$3:$AM132,"SI",T139:AM139)</f>
        <v>41.112110000000001</v>
      </c>
      <c r="S139" s="379">
        <f t="shared" ca="1" si="16"/>
        <v>1</v>
      </c>
      <c r="T139" s="326">
        <v>0</v>
      </c>
      <c r="U139" s="468">
        <f>+'P01 2024'!K111</f>
        <v>9.9656880000000001</v>
      </c>
      <c r="V139" s="468">
        <v>0</v>
      </c>
      <c r="W139" s="319">
        <v>0</v>
      </c>
      <c r="X139" s="319">
        <v>0</v>
      </c>
      <c r="Y139" s="249">
        <v>0</v>
      </c>
      <c r="Z139" s="249">
        <f>+'P01 2025'!AR81</f>
        <v>10.214</v>
      </c>
      <c r="AA139" s="249">
        <v>0</v>
      </c>
      <c r="AB139" s="249">
        <v>0</v>
      </c>
      <c r="AC139" s="249">
        <v>0</v>
      </c>
      <c r="AD139" s="249">
        <v>0</v>
      </c>
      <c r="AE139" s="328">
        <v>0</v>
      </c>
      <c r="AF139" s="328">
        <v>0</v>
      </c>
      <c r="AG139" s="249">
        <f>+'P01 2024'!CM91</f>
        <v>31.146421999999998</v>
      </c>
      <c r="AH139" s="249">
        <f>+'P01 2025'!CX74</f>
        <v>9.8740000000000006</v>
      </c>
      <c r="AI139" s="175">
        <v>0</v>
      </c>
      <c r="AJ139" s="249">
        <v>0</v>
      </c>
      <c r="AK139" s="249">
        <v>0</v>
      </c>
      <c r="AL139" s="249">
        <f>+'P01 2024'!ET82</f>
        <v>8.141</v>
      </c>
      <c r="AM139" s="253">
        <v>0</v>
      </c>
      <c r="AN139" s="1194"/>
      <c r="AO139" s="151"/>
      <c r="AP139" s="151"/>
      <c r="AQ139" s="151"/>
      <c r="AR139" s="151"/>
      <c r="AS139" s="151"/>
      <c r="AT139" s="151"/>
      <c r="AU139" s="151"/>
      <c r="AV139" s="151"/>
      <c r="AW139" s="1195"/>
      <c r="AX139" s="1196"/>
      <c r="AY139" s="148"/>
      <c r="AZ139" s="151"/>
      <c r="BA139" s="151"/>
      <c r="BB139" s="1172"/>
      <c r="BC139" s="151"/>
      <c r="BD139" s="151"/>
      <c r="BE139" s="1171"/>
      <c r="BF139" s="1171"/>
      <c r="BG139" s="1171"/>
      <c r="BH139" s="1171"/>
      <c r="BI139" s="151"/>
      <c r="BJ139" s="156"/>
      <c r="BK139" s="156"/>
      <c r="BL139" s="594"/>
      <c r="BM139" s="594"/>
      <c r="BN139" s="594"/>
      <c r="BO139" s="594"/>
      <c r="BP139" s="185"/>
      <c r="BQ139" s="156"/>
      <c r="BR139" s="594"/>
      <c r="BS139" s="594"/>
      <c r="BT139" s="594"/>
      <c r="BU139" s="594"/>
      <c r="BV139" s="156"/>
      <c r="BW139" s="158"/>
      <c r="BX139" s="185"/>
      <c r="BY139" s="185"/>
      <c r="BZ139" s="185"/>
      <c r="CA139" s="185"/>
      <c r="CB139" s="159"/>
      <c r="CC139" s="159"/>
    </row>
    <row r="140" spans="1:81" s="308" customFormat="1" ht="15" hidden="1" customHeight="1" x14ac:dyDescent="0.25">
      <c r="A140" s="84"/>
      <c r="B140" s="169" t="s">
        <v>568</v>
      </c>
      <c r="C140" s="38"/>
      <c r="D140" s="38" t="s">
        <v>183</v>
      </c>
      <c r="E140" s="309"/>
      <c r="F140" s="309"/>
      <c r="G140" s="309"/>
      <c r="H140" s="502" t="s">
        <v>73</v>
      </c>
      <c r="I140" s="381">
        <f>+'P01 2025'!F112</f>
        <v>1263759.7879999999</v>
      </c>
      <c r="J140" s="306">
        <f>'P01 2025'!DE120</f>
        <v>2190322.87</v>
      </c>
      <c r="K140" s="381">
        <f ca="1">SUMIF(T$3:$AM132,"ok",T140:AM140)</f>
        <v>900083.72</v>
      </c>
      <c r="L140" s="378">
        <f t="shared" ca="1" si="18"/>
        <v>0.41093654836375787</v>
      </c>
      <c r="M140" s="323">
        <f>'P01 2025'!DG120</f>
        <v>1411445.895</v>
      </c>
      <c r="N140" s="378">
        <f t="shared" ref="N140:N149" si="21">+IFERROR(M140/J140,0%)</f>
        <v>0.64440083895028677</v>
      </c>
      <c r="O140" s="306">
        <f t="shared" ref="O140:O149" si="22">J140-M140</f>
        <v>778876.97500000009</v>
      </c>
      <c r="P140" s="443">
        <f t="shared" ref="P140:P174" si="23">+IFERROR(O140/J140,0)</f>
        <v>0.35559916104971323</v>
      </c>
      <c r="Q140" s="321">
        <f>+'P01 2024'!DJ116</f>
        <v>2212803.387232</v>
      </c>
      <c r="R140" s="155">
        <f ca="1">SUMIF(T$3:$AM133,"SI",T140:AM140)</f>
        <v>1057610.5271040001</v>
      </c>
      <c r="S140" s="378">
        <f t="shared" ref="S140:S174" ca="1" si="24">IFERROR(R140/Q140,"0,00%")</f>
        <v>0.47795051887866419</v>
      </c>
      <c r="T140" s="509">
        <f>+'P01 2025'!G112</f>
        <v>0</v>
      </c>
      <c r="U140" s="467">
        <f>+'P01 2024'!K112</f>
        <v>991.98400000000004</v>
      </c>
      <c r="V140" s="467">
        <f>+'P01 2025'!N77</f>
        <v>1866.674</v>
      </c>
      <c r="W140" s="155">
        <f>+'P01 2024'!Q71</f>
        <v>26502.842780000003</v>
      </c>
      <c r="X140" s="155">
        <f>+'P01 2025'!AC91</f>
        <v>188635.81700000001</v>
      </c>
      <c r="Y140" s="86">
        <f>+'P01 2024'!AE89</f>
        <v>215750.28050399999</v>
      </c>
      <c r="Z140" s="86">
        <f>+'P01 2025'!AR82</f>
        <v>136640.929</v>
      </c>
      <c r="AA140" s="155">
        <f>+'P01 2024'!AT79</f>
        <v>156997.69194000002</v>
      </c>
      <c r="AB140" s="155">
        <f>SUM(AB141:AB144)</f>
        <v>83905.735000000001</v>
      </c>
      <c r="AC140" s="155">
        <f>+'P01 2024'!BI72</f>
        <v>116534.259242</v>
      </c>
      <c r="AD140" s="155">
        <f>+'P01 2025'!BU87</f>
        <v>250024.68100000001</v>
      </c>
      <c r="AE140" s="155">
        <f>+'P01 2024'!BX87</f>
        <v>166545.15760999999</v>
      </c>
      <c r="AF140" s="155">
        <f>+'P01 2025'!CI70</f>
        <v>35078.131999999998</v>
      </c>
      <c r="AG140" s="155">
        <f>+'P01 2024'!CM92</f>
        <v>165831.36260200001</v>
      </c>
      <c r="AH140" s="155">
        <f>+'P01 2025'!CX75</f>
        <v>203931.75200000001</v>
      </c>
      <c r="AI140" s="86">
        <f>+'P01 2024'!DB91</f>
        <v>208456.94842599999</v>
      </c>
      <c r="AJ140" s="155">
        <f>+'P01 2024'!DR87</f>
        <v>27381</v>
      </c>
      <c r="AK140" s="155">
        <f>SUM(AK141:AK144)</f>
        <v>133317.15700000001</v>
      </c>
      <c r="AL140" s="155">
        <f>+'P01 2024'!ET83</f>
        <v>279321.299</v>
      </c>
      <c r="AM140" s="155">
        <f>+'P01 2024'!FL99</f>
        <v>416616.41700000002</v>
      </c>
      <c r="AN140" s="1194"/>
      <c r="AO140" s="151"/>
      <c r="AP140" s="151"/>
      <c r="AQ140" s="151"/>
      <c r="AR140" s="151"/>
      <c r="AS140" s="151"/>
      <c r="AT140" s="151"/>
      <c r="AU140" s="151"/>
      <c r="AV140" s="151"/>
      <c r="AW140" s="1195"/>
      <c r="AX140" s="1196"/>
      <c r="AY140" s="148"/>
      <c r="AZ140" s="151"/>
      <c r="BA140" s="151"/>
      <c r="BB140" s="1172"/>
      <c r="BC140" s="151"/>
      <c r="BD140" s="151"/>
      <c r="BE140" s="1171"/>
      <c r="BF140" s="1171"/>
      <c r="BG140" s="1171"/>
      <c r="BH140" s="1171"/>
      <c r="BI140" s="1171"/>
      <c r="BJ140" s="932"/>
      <c r="BK140" s="156"/>
      <c r="BL140" s="594"/>
      <c r="BM140" s="594"/>
      <c r="BN140" s="594"/>
      <c r="BO140" s="594"/>
      <c r="BP140" s="185"/>
      <c r="BQ140" s="156"/>
      <c r="BR140" s="594"/>
      <c r="BS140" s="594"/>
      <c r="BT140" s="594"/>
      <c r="BU140" s="594"/>
      <c r="BV140" s="156"/>
      <c r="BW140" s="158"/>
      <c r="BX140" s="185"/>
      <c r="BY140" s="185"/>
      <c r="BZ140" s="185"/>
      <c r="CA140" s="185"/>
      <c r="CB140" s="152"/>
      <c r="CC140" s="152"/>
    </row>
    <row r="141" spans="1:81" s="320" customFormat="1" ht="15" hidden="1" customHeight="1" x14ac:dyDescent="0.25">
      <c r="A141" s="329"/>
      <c r="B141" s="952" t="s">
        <v>389</v>
      </c>
      <c r="C141" s="955"/>
      <c r="D141" s="794"/>
      <c r="E141" s="933" t="s">
        <v>165</v>
      </c>
      <c r="F141" s="316"/>
      <c r="G141" s="315" t="str">
        <f>+CONCATENATE($C$80,"",$D$140,"",E141)</f>
        <v>22.11.001</v>
      </c>
      <c r="H141" s="501" t="s">
        <v>74</v>
      </c>
      <c r="I141" s="248">
        <f>+'P01 2025'!F113</f>
        <v>311405.04100000003</v>
      </c>
      <c r="J141" s="317">
        <f>'P01 2025'!DE121</f>
        <v>1115088.5149999999</v>
      </c>
      <c r="K141" s="317">
        <f ca="1">SUMIF(T$3:$AM133,"ok",T141:AM141)</f>
        <v>397693.40900000004</v>
      </c>
      <c r="L141" s="379">
        <f t="shared" ca="1" si="18"/>
        <v>0.35664739045402155</v>
      </c>
      <c r="M141" s="319">
        <f>'P01 2025'!DG121</f>
        <v>699519.91</v>
      </c>
      <c r="N141" s="379">
        <f t="shared" si="21"/>
        <v>0.62732231620195644</v>
      </c>
      <c r="O141" s="317">
        <f t="shared" si="22"/>
        <v>415568.60499999986</v>
      </c>
      <c r="P141" s="445">
        <f t="shared" si="23"/>
        <v>0.3726776837980435</v>
      </c>
      <c r="Q141" s="249">
        <f>+'P01 2024'!DJ117</f>
        <v>1469959.6772459999</v>
      </c>
      <c r="R141" s="311">
        <f ca="1">SUMIF(T$3:$AM134,"SI",T141:AM141)</f>
        <v>637367.31000199995</v>
      </c>
      <c r="S141" s="379">
        <f t="shared" ca="1" si="24"/>
        <v>0.43359509778943112</v>
      </c>
      <c r="T141" s="326">
        <f>+'P01 2025'!G113</f>
        <v>0</v>
      </c>
      <c r="U141" s="468">
        <f>+'P01 2024'!K113</f>
        <v>0</v>
      </c>
      <c r="V141" s="468">
        <v>0</v>
      </c>
      <c r="W141" s="249">
        <v>0</v>
      </c>
      <c r="X141" s="175">
        <f>+'P01 2025'!AC92</f>
        <v>63274.461000000003</v>
      </c>
      <c r="Y141" s="249">
        <f>+'P01 2024'!AE90</f>
        <v>209429.14797200001</v>
      </c>
      <c r="Z141" s="249">
        <f>+'P01 2025'!AR83</f>
        <v>123001.5</v>
      </c>
      <c r="AA141" s="249">
        <v>0</v>
      </c>
      <c r="AB141" s="249">
        <f>'P01 2025'!BF74</f>
        <v>11700</v>
      </c>
      <c r="AC141" s="249">
        <f>+'P01 2024'!BI73</f>
        <v>60436.361574000002</v>
      </c>
      <c r="AD141" s="249">
        <f>+'P01 2025'!BU88</f>
        <v>114845.94899999999</v>
      </c>
      <c r="AE141" s="249">
        <f>+'P01 2024'!BX88</f>
        <v>162016.265078</v>
      </c>
      <c r="AF141" s="249">
        <f>+'P01 2025'!CI71</f>
        <v>11700</v>
      </c>
      <c r="AG141" s="249">
        <f>+'P01 2024'!CM93</f>
        <v>52499.10684</v>
      </c>
      <c r="AH141" s="249">
        <f>+'P01 2025'!CX76</f>
        <v>73171.498999999996</v>
      </c>
      <c r="AI141" s="175">
        <f>+'P01 2024'!DB92</f>
        <v>152986.42853800001</v>
      </c>
      <c r="AJ141" s="249">
        <f>+'P01 2024'!DR88</f>
        <v>7485</v>
      </c>
      <c r="AK141" s="249">
        <f>'P01 2024'!EG86</f>
        <v>39377</v>
      </c>
      <c r="AL141" s="249">
        <f>+'P01 2024'!ET84</f>
        <v>168657.239</v>
      </c>
      <c r="AM141" s="175">
        <f>+'P01 2024'!FL100</f>
        <v>175899.959</v>
      </c>
      <c r="AN141" s="1194"/>
      <c r="AO141" s="151"/>
      <c r="AP141" s="151"/>
      <c r="AQ141" s="151"/>
      <c r="AR141" s="151"/>
      <c r="AS141" s="151"/>
      <c r="AT141" s="151"/>
      <c r="AU141" s="151"/>
      <c r="AV141" s="151"/>
      <c r="AW141" s="1195"/>
      <c r="AX141" s="1196"/>
      <c r="AY141" s="148"/>
      <c r="AZ141" s="151"/>
      <c r="BA141" s="151"/>
      <c r="BB141" s="1172"/>
      <c r="BC141" s="151"/>
      <c r="BD141" s="151"/>
      <c r="BE141" s="1171"/>
      <c r="BF141" s="1171"/>
      <c r="BG141" s="1171"/>
      <c r="BH141" s="1171"/>
      <c r="BI141" s="151"/>
      <c r="BJ141" s="156"/>
      <c r="BK141" s="156"/>
      <c r="BL141" s="594"/>
      <c r="BM141" s="594"/>
      <c r="BN141" s="594"/>
      <c r="BO141" s="594"/>
      <c r="BP141" s="185"/>
      <c r="BQ141" s="156"/>
      <c r="BR141" s="594"/>
      <c r="BS141" s="594"/>
      <c r="BT141" s="594"/>
      <c r="BU141" s="594"/>
      <c r="BV141" s="156"/>
      <c r="BW141" s="158"/>
      <c r="BX141" s="185"/>
      <c r="BY141" s="185"/>
      <c r="BZ141" s="185"/>
      <c r="CA141" s="185"/>
      <c r="CB141" s="159"/>
      <c r="CC141" s="159"/>
    </row>
    <row r="142" spans="1:81" s="320" customFormat="1" ht="15" hidden="1" customHeight="1" collapsed="1" x14ac:dyDescent="0.25">
      <c r="A142" s="329"/>
      <c r="B142" s="952" t="s">
        <v>390</v>
      </c>
      <c r="C142" s="955"/>
      <c r="D142" s="794"/>
      <c r="E142" s="933" t="s">
        <v>161</v>
      </c>
      <c r="F142" s="316"/>
      <c r="G142" s="315" t="str">
        <f>+CONCATENATE($C$80,"",$D$140,"",E142)</f>
        <v>22.11.002</v>
      </c>
      <c r="H142" s="501" t="s">
        <v>75</v>
      </c>
      <c r="I142" s="248">
        <f>+'P01 2025'!F114</f>
        <v>48560</v>
      </c>
      <c r="J142" s="317">
        <f>'P01 2025'!DE122</f>
        <v>48560</v>
      </c>
      <c r="K142" s="317">
        <f ca="1">SUMIF(T$3:$AM134,"ok",T142:AM142)</f>
        <v>3950</v>
      </c>
      <c r="L142" s="379">
        <f t="shared" ca="1" si="18"/>
        <v>8.1342668863261941E-2</v>
      </c>
      <c r="M142" s="319">
        <f>'P01 2025'!DG122</f>
        <v>33540</v>
      </c>
      <c r="N142" s="379">
        <f t="shared" si="21"/>
        <v>0.69069192751235586</v>
      </c>
      <c r="O142" s="317">
        <f t="shared" si="22"/>
        <v>15020</v>
      </c>
      <c r="P142" s="445">
        <f t="shared" si="23"/>
        <v>0.30930807248764414</v>
      </c>
      <c r="Q142" s="249">
        <f>+'P01 2024'!DJ118</f>
        <v>51644.211486</v>
      </c>
      <c r="R142" s="311">
        <f ca="1">SUMIF(T$3:$AM135,"SI",T142:AM142)</f>
        <v>3209.36</v>
      </c>
      <c r="S142" s="379">
        <f t="shared" ca="1" si="24"/>
        <v>6.2143653812393111E-2</v>
      </c>
      <c r="T142" s="326">
        <f>+'P01 2025'!G114</f>
        <v>0</v>
      </c>
      <c r="U142" s="468">
        <f>+'P01 2024'!K114</f>
        <v>0</v>
      </c>
      <c r="V142" s="468">
        <v>0</v>
      </c>
      <c r="W142" s="249">
        <v>0</v>
      </c>
      <c r="X142" s="175">
        <f>+'P01 2025'!AC93</f>
        <v>1125</v>
      </c>
      <c r="Y142" s="249">
        <v>0</v>
      </c>
      <c r="Z142" s="249">
        <v>0</v>
      </c>
      <c r="AA142" s="249">
        <v>0</v>
      </c>
      <c r="AB142" s="249">
        <v>0</v>
      </c>
      <c r="AC142" s="249">
        <v>0</v>
      </c>
      <c r="AD142" s="249">
        <f>+'P01 2025'!BU89</f>
        <v>1125</v>
      </c>
      <c r="AE142" s="249">
        <f>+'P01 2024'!BX89</f>
        <v>1750.5600000000002</v>
      </c>
      <c r="AF142" s="249">
        <f>+'P01 2025'!CI72</f>
        <v>1700</v>
      </c>
      <c r="AG142" s="249">
        <v>0</v>
      </c>
      <c r="AH142" s="249">
        <v>0</v>
      </c>
      <c r="AI142" s="175">
        <f>+'P01 2024'!DB93</f>
        <v>1458.8</v>
      </c>
      <c r="AJ142" s="249">
        <f>+'P01 2024'!DR89</f>
        <v>975</v>
      </c>
      <c r="AK142" s="249">
        <f>'P01 2024'!EG87</f>
        <v>8270</v>
      </c>
      <c r="AL142" s="249">
        <f>+'P01 2024'!ET85</f>
        <v>9100</v>
      </c>
      <c r="AM142" s="175">
        <f>+'P01 2024'!FL101</f>
        <v>16715</v>
      </c>
      <c r="AN142" s="1194"/>
      <c r="AO142" s="151"/>
      <c r="AP142" s="151"/>
      <c r="AQ142" s="151"/>
      <c r="AR142" s="151"/>
      <c r="AS142" s="151"/>
      <c r="AT142" s="151"/>
      <c r="AU142" s="151"/>
      <c r="AV142" s="151"/>
      <c r="AW142" s="1195"/>
      <c r="AX142" s="1196"/>
      <c r="AY142" s="148"/>
      <c r="AZ142" s="151"/>
      <c r="BA142" s="151"/>
      <c r="BB142" s="1172"/>
      <c r="BC142" s="151"/>
      <c r="BD142" s="151"/>
      <c r="BE142" s="1171"/>
      <c r="BF142" s="1171"/>
      <c r="BG142" s="1171"/>
      <c r="BH142" s="1171"/>
      <c r="BI142" s="151"/>
      <c r="BJ142" s="156"/>
      <c r="BK142" s="156"/>
      <c r="BL142" s="594"/>
      <c r="BM142" s="594"/>
      <c r="BN142" s="594"/>
      <c r="BO142" s="594"/>
      <c r="BP142" s="185"/>
      <c r="BQ142" s="156"/>
      <c r="BR142" s="594"/>
      <c r="BS142" s="594"/>
      <c r="BT142" s="594"/>
      <c r="BU142" s="594"/>
      <c r="BV142" s="156"/>
      <c r="BW142" s="158"/>
      <c r="BX142" s="185"/>
      <c r="BY142" s="185"/>
      <c r="BZ142" s="185"/>
      <c r="CA142" s="185"/>
      <c r="CB142" s="159"/>
      <c r="CC142" s="159"/>
    </row>
    <row r="143" spans="1:81" s="320" customFormat="1" ht="15" hidden="1" customHeight="1" x14ac:dyDescent="0.25">
      <c r="A143" s="329"/>
      <c r="B143" s="952" t="s">
        <v>391</v>
      </c>
      <c r="C143" s="955"/>
      <c r="D143" s="794"/>
      <c r="E143" s="933" t="s">
        <v>162</v>
      </c>
      <c r="F143" s="316"/>
      <c r="G143" s="315" t="str">
        <f>+CONCATENATE($C$80,"",$D$140,"",E143)</f>
        <v>22.11.003</v>
      </c>
      <c r="H143" s="501" t="s">
        <v>204</v>
      </c>
      <c r="I143" s="248">
        <f>+'P01 2025'!F115</f>
        <v>898671.52599999995</v>
      </c>
      <c r="J143" s="317">
        <f>'P01 2025'!DE123</f>
        <v>1026654.772</v>
      </c>
      <c r="K143" s="317">
        <f ca="1">SUMIF(T$3:$AM135,"ok",T143:AM143)</f>
        <v>498440.31099999999</v>
      </c>
      <c r="L143" s="379">
        <f t="shared" ca="1" si="18"/>
        <v>0.48549943427331577</v>
      </c>
      <c r="M143" s="319">
        <f>'P01 2025'!DG123</f>
        <v>678385.98499999999</v>
      </c>
      <c r="N143" s="379">
        <f t="shared" si="21"/>
        <v>0.66077322533499117</v>
      </c>
      <c r="O143" s="317">
        <f t="shared" si="22"/>
        <v>348268.78700000001</v>
      </c>
      <c r="P143" s="445">
        <f t="shared" si="23"/>
        <v>0.33922677466500883</v>
      </c>
      <c r="Q143" s="249">
        <f>+'P01 2024'!DJ119</f>
        <v>590616.80150000006</v>
      </c>
      <c r="R143" s="311">
        <f ca="1">SUMIF(T$3:$AM136,"SI",T143:AM143)</f>
        <v>373981.02314400004</v>
      </c>
      <c r="S143" s="379">
        <f t="shared" ca="1" si="24"/>
        <v>0.63320417264492601</v>
      </c>
      <c r="T143" s="326">
        <f>+'P01 2025'!G115</f>
        <v>0</v>
      </c>
      <c r="U143" s="468">
        <f>+'P01 2024'!K115</f>
        <v>0</v>
      </c>
      <c r="V143" s="468">
        <f>+'P01 2025'!N78</f>
        <v>1866.674</v>
      </c>
      <c r="W143" s="249">
        <f>+'P01 2024'!Q72</f>
        <v>2621.3385600000001</v>
      </c>
      <c r="X143" s="175">
        <f>+'P01 2025'!AC94</f>
        <v>124236.356</v>
      </c>
      <c r="Y143" s="249">
        <f>+'P01 2024'!AE91</f>
        <v>6321.1325319999996</v>
      </c>
      <c r="Z143" s="249">
        <f>+'P01 2025'!AR84</f>
        <v>13639.429</v>
      </c>
      <c r="AA143" s="249">
        <f>+'P01 2024'!AT80</f>
        <v>152108.62794000001</v>
      </c>
      <c r="AB143" s="249">
        <f>'P01 2025'!BF75</f>
        <v>72205.735000000001</v>
      </c>
      <c r="AC143" s="249">
        <f>+'P01 2024'!BI74</f>
        <v>56097.897668000005</v>
      </c>
      <c r="AD143" s="249">
        <f>+'P01 2025'!BU90</f>
        <v>134053.73199999999</v>
      </c>
      <c r="AE143" s="249">
        <f>+'P01 2024'!BX90</f>
        <v>2778.3325319999999</v>
      </c>
      <c r="AF143" s="249">
        <f>+'P01 2025'!CI73</f>
        <v>21678.132000000001</v>
      </c>
      <c r="AG143" s="249">
        <f>+'P01 2024'!CM94</f>
        <v>102331.862804</v>
      </c>
      <c r="AH143" s="249">
        <f>+'P01 2025'!CX77</f>
        <v>130760.253</v>
      </c>
      <c r="AI143" s="175">
        <f>+'P01 2024'!DB94</f>
        <v>51721.831108000006</v>
      </c>
      <c r="AJ143" s="249">
        <v>0</v>
      </c>
      <c r="AK143" s="249">
        <f>'P01 2024'!EG88</f>
        <v>60680.156999999999</v>
      </c>
      <c r="AL143" s="249">
        <f>+'P01 2024'!ET86</f>
        <v>100638.24</v>
      </c>
      <c r="AM143" s="175">
        <f>+'P01 2024'!FL102</f>
        <v>216207.43</v>
      </c>
      <c r="AN143" s="1194"/>
      <c r="AO143" s="151"/>
      <c r="AP143" s="151"/>
      <c r="AQ143" s="151"/>
      <c r="AR143" s="151"/>
      <c r="AS143" s="151"/>
      <c r="AT143" s="151"/>
      <c r="AU143" s="151"/>
      <c r="AV143" s="151"/>
      <c r="AW143" s="1195"/>
      <c r="AX143" s="1196"/>
      <c r="AY143" s="148"/>
      <c r="AZ143" s="151"/>
      <c r="BA143" s="151"/>
      <c r="BB143" s="1172"/>
      <c r="BC143" s="151"/>
      <c r="BD143" s="151"/>
      <c r="BE143" s="1171"/>
      <c r="BF143" s="1171"/>
      <c r="BG143" s="1171"/>
      <c r="BH143" s="1171"/>
      <c r="BI143" s="151"/>
      <c r="BJ143" s="156"/>
      <c r="BK143" s="156"/>
      <c r="BL143" s="594"/>
      <c r="BM143" s="594"/>
      <c r="BN143" s="594"/>
      <c r="BO143" s="594"/>
      <c r="BP143" s="185"/>
      <c r="BQ143" s="156"/>
      <c r="BR143" s="594"/>
      <c r="BS143" s="594"/>
      <c r="BT143" s="594"/>
      <c r="BU143" s="594"/>
      <c r="BV143" s="156"/>
      <c r="BW143" s="158"/>
      <c r="BX143" s="185"/>
      <c r="BY143" s="185"/>
      <c r="BZ143" s="185"/>
      <c r="CA143" s="185"/>
      <c r="CB143" s="159"/>
      <c r="CC143" s="159"/>
    </row>
    <row r="144" spans="1:81" s="320" customFormat="1" ht="15" hidden="1" customHeight="1" x14ac:dyDescent="0.25">
      <c r="A144" s="329"/>
      <c r="B144" s="952" t="s">
        <v>392</v>
      </c>
      <c r="C144" s="955"/>
      <c r="D144" s="794"/>
      <c r="E144" s="933" t="s">
        <v>173</v>
      </c>
      <c r="F144" s="316"/>
      <c r="G144" s="315" t="str">
        <f>+CONCATENATE($C$80,"",$D$140,"",E144)</f>
        <v>22.11.999</v>
      </c>
      <c r="H144" s="501" t="s">
        <v>109</v>
      </c>
      <c r="I144" s="248">
        <f>+'P01 2025'!F116</f>
        <v>5123.2209999999995</v>
      </c>
      <c r="J144" s="317">
        <f>'P01 2025'!DE124</f>
        <v>19.582999999999998</v>
      </c>
      <c r="K144" s="317">
        <f ca="1">SUMIF(T$3:$AM136,"ok",T144:AM144)</f>
        <v>0</v>
      </c>
      <c r="L144" s="379">
        <f t="shared" ca="1" si="18"/>
        <v>0</v>
      </c>
      <c r="M144" s="319">
        <f>'P01 2025'!DG124</f>
        <v>0</v>
      </c>
      <c r="N144" s="379">
        <f t="shared" si="21"/>
        <v>0</v>
      </c>
      <c r="O144" s="317">
        <f t="shared" si="22"/>
        <v>19.582999999999998</v>
      </c>
      <c r="P144" s="445">
        <f t="shared" si="23"/>
        <v>1</v>
      </c>
      <c r="Q144" s="249">
        <f>+'P01 2024'!DJ120</f>
        <v>100582.697</v>
      </c>
      <c r="R144" s="311">
        <f ca="1">SUMIF(T$3:$AM137,"SI",T144:AM144)</f>
        <v>43052.833957999996</v>
      </c>
      <c r="S144" s="379">
        <f t="shared" ca="1" si="24"/>
        <v>0.42803419715420832</v>
      </c>
      <c r="T144" s="326">
        <f>+'P01 2025'!G116</f>
        <v>0</v>
      </c>
      <c r="U144" s="468">
        <f>+'P01 2024'!K116</f>
        <v>991.98400000000004</v>
      </c>
      <c r="V144" s="468">
        <v>0</v>
      </c>
      <c r="W144" s="249">
        <f>+'P01 2024'!Q73</f>
        <v>23881.504219999999</v>
      </c>
      <c r="X144" s="175">
        <v>0</v>
      </c>
      <c r="Y144" s="249">
        <v>0</v>
      </c>
      <c r="Z144" s="249">
        <v>0</v>
      </c>
      <c r="AA144" s="249">
        <f>+'P01 2024'!AT81</f>
        <v>4889.0640000000003</v>
      </c>
      <c r="AB144" s="249">
        <v>0</v>
      </c>
      <c r="AC144" s="249">
        <v>0</v>
      </c>
      <c r="AD144" s="249">
        <v>0</v>
      </c>
      <c r="AE144" s="253">
        <v>0</v>
      </c>
      <c r="AF144" s="249">
        <v>0</v>
      </c>
      <c r="AG144" s="249">
        <f>+'P01 2024'!CM95</f>
        <v>11000.392958</v>
      </c>
      <c r="AH144" s="249">
        <v>0</v>
      </c>
      <c r="AI144" s="175">
        <f>+'P01 2024'!DB95</f>
        <v>2289.8887800000002</v>
      </c>
      <c r="AJ144" s="249">
        <f>+'P01 2024'!DR90</f>
        <v>18921</v>
      </c>
      <c r="AK144" s="249">
        <f>'P01 2024'!EG89</f>
        <v>24990</v>
      </c>
      <c r="AL144" s="249">
        <f>+'P01 2024'!ET87</f>
        <v>925.82</v>
      </c>
      <c r="AM144" s="175">
        <f>+'P01 2024'!FL103</f>
        <v>7794.0280000000002</v>
      </c>
      <c r="AN144" s="1194"/>
      <c r="AO144" s="151"/>
      <c r="AP144" s="151"/>
      <c r="AQ144" s="151"/>
      <c r="AR144" s="151"/>
      <c r="AS144" s="151"/>
      <c r="AT144" s="151"/>
      <c r="AU144" s="151"/>
      <c r="AV144" s="151"/>
      <c r="AW144" s="1195"/>
      <c r="AX144" s="1196"/>
      <c r="AY144" s="148"/>
      <c r="AZ144" s="151"/>
      <c r="BA144" s="151"/>
      <c r="BB144" s="1172"/>
      <c r="BC144" s="151"/>
      <c r="BD144" s="151"/>
      <c r="BE144" s="1171"/>
      <c r="BF144" s="1171"/>
      <c r="BG144" s="1171"/>
      <c r="BH144" s="1171"/>
      <c r="BI144" s="151"/>
      <c r="BJ144" s="156"/>
      <c r="BK144" s="156"/>
      <c r="BL144" s="594"/>
      <c r="BM144" s="594"/>
      <c r="BN144" s="594"/>
      <c r="BO144" s="594"/>
      <c r="BP144" s="185"/>
      <c r="BQ144" s="156"/>
      <c r="BR144" s="594"/>
      <c r="BS144" s="594"/>
      <c r="BT144" s="594"/>
      <c r="BU144" s="594"/>
      <c r="BV144" s="156"/>
      <c r="BW144" s="158"/>
      <c r="BX144" s="185"/>
      <c r="BY144" s="185"/>
      <c r="BZ144" s="185"/>
      <c r="CA144" s="185"/>
      <c r="CB144" s="159"/>
      <c r="CC144" s="159"/>
    </row>
    <row r="145" spans="1:81" s="308" customFormat="1" ht="15" hidden="1" customHeight="1" x14ac:dyDescent="0.25">
      <c r="A145" s="84"/>
      <c r="B145" s="169" t="s">
        <v>569</v>
      </c>
      <c r="C145" s="38"/>
      <c r="D145" s="38" t="s">
        <v>184</v>
      </c>
      <c r="E145" s="309"/>
      <c r="F145" s="309"/>
      <c r="G145" s="309"/>
      <c r="H145" s="502" t="s">
        <v>76</v>
      </c>
      <c r="I145" s="306">
        <f>+'P01 2025'!F117</f>
        <v>1700</v>
      </c>
      <c r="J145" s="306">
        <f>'P01 2025'!DE125</f>
        <v>8303.8680000000004</v>
      </c>
      <c r="K145" s="306">
        <f ca="1">SUMIF(T$3:$AM137,"ok",T145:AM145)</f>
        <v>7841.3279999999995</v>
      </c>
      <c r="L145" s="378">
        <f t="shared" ref="L145:L208" ca="1" si="25">IFERROR(K145/J145,0)</f>
        <v>0.94429824751549507</v>
      </c>
      <c r="M145" s="323">
        <f>'P01 2025'!DG125</f>
        <v>8303.8680000000004</v>
      </c>
      <c r="N145" s="378">
        <f t="shared" si="21"/>
        <v>1</v>
      </c>
      <c r="O145" s="306">
        <f t="shared" si="22"/>
        <v>0</v>
      </c>
      <c r="P145" s="443">
        <f t="shared" si="23"/>
        <v>0</v>
      </c>
      <c r="Q145" s="321">
        <f>+'P01 2024'!DJ121</f>
        <v>9470.3628800000006</v>
      </c>
      <c r="R145" s="155">
        <f ca="1">SUM(R146:R148)</f>
        <v>6844.2248680000012</v>
      </c>
      <c r="S145" s="378">
        <f t="shared" ca="1" si="24"/>
        <v>0.7226993257517077</v>
      </c>
      <c r="T145" s="509">
        <f>+'P01 2025'!G117</f>
        <v>0</v>
      </c>
      <c r="U145" s="467">
        <f>+'P01 2024'!K117</f>
        <v>206.78489999999999</v>
      </c>
      <c r="V145" s="467">
        <f>+'P01 2025'!N79</f>
        <v>2244.6080000000002</v>
      </c>
      <c r="W145" s="86">
        <f>+'P01 2024'!Q74</f>
        <v>285.19019000000003</v>
      </c>
      <c r="X145" s="86">
        <f>+'P01 2025'!AC95</f>
        <v>1157.1300000000001</v>
      </c>
      <c r="Y145" s="86">
        <f>+'P01 2024'!AE92</f>
        <v>939.52034200000003</v>
      </c>
      <c r="Z145" s="86">
        <f>+'P01 2025'!AR85</f>
        <v>1034.02</v>
      </c>
      <c r="AA145" s="155">
        <f>+'P01 2024'!AT82</f>
        <v>1221.5438940000001</v>
      </c>
      <c r="AB145" s="155">
        <f>SUM(AB146:AB148)</f>
        <v>371.59699999999998</v>
      </c>
      <c r="AC145" s="155">
        <f>+'P01 2024'!BI75</f>
        <v>832.579882</v>
      </c>
      <c r="AD145" s="155">
        <f>+'P01 2025'!BU91</f>
        <v>1073.3130000000001</v>
      </c>
      <c r="AE145" s="155">
        <f>+'P01 2024'!BX91</f>
        <v>891.46747000000005</v>
      </c>
      <c r="AF145" s="155">
        <f>+'P01 2025'!CI74</f>
        <v>1696.16</v>
      </c>
      <c r="AG145" s="155">
        <f>+'P01 2024'!CM96</f>
        <v>1118.38381</v>
      </c>
      <c r="AH145" s="155">
        <f>+'P01 2025'!CX78</f>
        <v>264.5</v>
      </c>
      <c r="AI145" s="86">
        <f>+'P01 2024'!DB96</f>
        <v>1348.7543800000001</v>
      </c>
      <c r="AJ145" s="155">
        <f>+'P01 2024'!DR91</f>
        <v>913.98</v>
      </c>
      <c r="AK145" s="155">
        <f>SUM(AK146:AK148)</f>
        <v>1148.4760000000001</v>
      </c>
      <c r="AL145" s="155">
        <f>+'P01 2024'!ET88</f>
        <v>1066.5999999999999</v>
      </c>
      <c r="AM145" s="155">
        <f>+'P01 2024'!FL104</f>
        <v>7814.2219999999998</v>
      </c>
      <c r="AN145" s="1194"/>
      <c r="AO145" s="151"/>
      <c r="AP145" s="151"/>
      <c r="AQ145" s="151"/>
      <c r="AR145" s="151"/>
      <c r="AS145" s="151"/>
      <c r="AT145" s="151"/>
      <c r="AU145" s="151"/>
      <c r="AV145" s="151"/>
      <c r="AW145" s="1195"/>
      <c r="AX145" s="1196"/>
      <c r="AY145" s="148"/>
      <c r="AZ145" s="151"/>
      <c r="BA145" s="151"/>
      <c r="BB145" s="1172"/>
      <c r="BC145" s="151"/>
      <c r="BD145" s="151"/>
      <c r="BE145" s="1171"/>
      <c r="BF145" s="1171"/>
      <c r="BG145" s="1171"/>
      <c r="BH145" s="1171"/>
      <c r="BI145" s="1171"/>
      <c r="BJ145" s="932"/>
      <c r="BK145" s="156"/>
      <c r="BL145" s="594"/>
      <c r="BM145" s="594"/>
      <c r="BN145" s="594"/>
      <c r="BO145" s="594"/>
      <c r="BP145" s="185"/>
      <c r="BQ145" s="156"/>
      <c r="BR145" s="594"/>
      <c r="BS145" s="594"/>
      <c r="BT145" s="594"/>
      <c r="BU145" s="594"/>
      <c r="BV145" s="156"/>
      <c r="BW145" s="158"/>
      <c r="BX145" s="185"/>
      <c r="BY145" s="185"/>
      <c r="BZ145" s="185"/>
      <c r="CA145" s="185"/>
      <c r="CB145" s="152"/>
      <c r="CC145" s="152"/>
    </row>
    <row r="146" spans="1:81" s="320" customFormat="1" ht="15" hidden="1" customHeight="1" x14ac:dyDescent="0.25">
      <c r="A146" s="329"/>
      <c r="B146" s="952" t="s">
        <v>393</v>
      </c>
      <c r="C146" s="955"/>
      <c r="D146" s="794"/>
      <c r="E146" s="933" t="s">
        <v>161</v>
      </c>
      <c r="F146" s="316"/>
      <c r="G146" s="315" t="str">
        <f>+CONCATENATE($C$80,"",$D$145,"",E146)</f>
        <v>22.12.002</v>
      </c>
      <c r="H146" s="501" t="s">
        <v>77</v>
      </c>
      <c r="I146" s="248">
        <f>+'P01 2025'!F118</f>
        <v>1700</v>
      </c>
      <c r="J146" s="317">
        <f>'P01 2025'!DE126</f>
        <v>6852.8180000000002</v>
      </c>
      <c r="K146" s="317">
        <f ca="1">SUMIF(T$3:$AM138,"ok",T146:AM146)</f>
        <v>6390.2779999999993</v>
      </c>
      <c r="L146" s="379">
        <f t="shared" ca="1" si="25"/>
        <v>0.93250367950819635</v>
      </c>
      <c r="M146" s="319">
        <f>'P01 2025'!DG126</f>
        <v>6852.8180000000002</v>
      </c>
      <c r="N146" s="379">
        <f t="shared" si="21"/>
        <v>1</v>
      </c>
      <c r="O146" s="317">
        <f t="shared" si="22"/>
        <v>0</v>
      </c>
      <c r="P146" s="445">
        <f t="shared" si="23"/>
        <v>0</v>
      </c>
      <c r="Q146" s="249">
        <f>+'P01 2024'!DJ122</f>
        <v>9172.9875420000008</v>
      </c>
      <c r="R146" s="311">
        <f ca="1">SUMIF(T$3:$AM138,"SI",T146:AM146)</f>
        <v>6634.886026000001</v>
      </c>
      <c r="S146" s="379">
        <f t="shared" ca="1" si="24"/>
        <v>0.72330699192832293</v>
      </c>
      <c r="T146" s="326">
        <f>+'P01 2025'!G118</f>
        <v>0</v>
      </c>
      <c r="U146" s="468">
        <f>+'P01 2024'!K118</f>
        <v>206.78489999999999</v>
      </c>
      <c r="V146" s="468">
        <f>+'P01 2025'!N80</f>
        <v>844.60900000000004</v>
      </c>
      <c r="W146" s="249">
        <f>+'P01 2024'!Q75</f>
        <v>285.19019000000003</v>
      </c>
      <c r="X146" s="175">
        <f>+'P01 2025'!AC96</f>
        <v>1157.1300000000001</v>
      </c>
      <c r="Y146" s="249">
        <f>+'P01 2024'!AE93</f>
        <v>939.52034200000003</v>
      </c>
      <c r="Z146" s="249">
        <f>+'P01 2025'!AR86</f>
        <v>1034.02</v>
      </c>
      <c r="AA146" s="249">
        <f>+'P01 2024'!AT83</f>
        <v>1221.5438940000001</v>
      </c>
      <c r="AB146" s="249">
        <f>'P01 2025'!BF77</f>
        <v>371.59699999999998</v>
      </c>
      <c r="AC146" s="249">
        <f>+'P01 2024'!BI76</f>
        <v>623.24104</v>
      </c>
      <c r="AD146" s="249">
        <f>+'P01 2025'!BU92</f>
        <v>1022.2619999999999</v>
      </c>
      <c r="AE146" s="249">
        <f>+'P01 2024'!BX92</f>
        <v>891.46747000000005</v>
      </c>
      <c r="AF146" s="249">
        <f>+'P01 2025'!CI75</f>
        <v>1696.16</v>
      </c>
      <c r="AG146" s="249">
        <f>+'P01 2024'!CM97</f>
        <v>1118.38381</v>
      </c>
      <c r="AH146" s="249">
        <f>+'P01 2025'!CX79</f>
        <v>264.5</v>
      </c>
      <c r="AI146" s="175">
        <f>+'P01 2024'!DB97</f>
        <v>1348.7543800000001</v>
      </c>
      <c r="AJ146" s="249">
        <f>+'P01 2024'!DR92</f>
        <v>913.98</v>
      </c>
      <c r="AK146" s="249">
        <f>'P01 2024'!EG91</f>
        <v>1148.4760000000001</v>
      </c>
      <c r="AL146" s="249">
        <f>+'P01 2024'!ET89</f>
        <v>1066.5999999999999</v>
      </c>
      <c r="AM146" s="175">
        <f>+'P01 2024'!FL105</f>
        <v>2716.1370000000002</v>
      </c>
      <c r="AN146" s="1194"/>
      <c r="AO146" s="151"/>
      <c r="AP146" s="151"/>
      <c r="AQ146" s="151"/>
      <c r="AR146" s="151"/>
      <c r="AS146" s="151"/>
      <c r="AT146" s="151"/>
      <c r="AU146" s="151"/>
      <c r="AV146" s="151"/>
      <c r="AW146" s="1195"/>
      <c r="AX146" s="1196"/>
      <c r="AY146" s="148"/>
      <c r="AZ146" s="151"/>
      <c r="BA146" s="151"/>
      <c r="BB146" s="1172"/>
      <c r="BC146" s="151"/>
      <c r="BD146" s="151"/>
      <c r="BE146" s="1171"/>
      <c r="BF146" s="1171"/>
      <c r="BG146" s="1171"/>
      <c r="BH146" s="1171"/>
      <c r="BI146" s="151"/>
      <c r="BJ146" s="156"/>
      <c r="BK146" s="156"/>
      <c r="BL146" s="594"/>
      <c r="BM146" s="594"/>
      <c r="BN146" s="594"/>
      <c r="BO146" s="594"/>
      <c r="BP146" s="185"/>
      <c r="BQ146" s="156"/>
      <c r="BR146" s="594"/>
      <c r="BS146" s="594"/>
      <c r="BT146" s="594"/>
      <c r="BU146" s="594"/>
      <c r="BV146" s="156"/>
      <c r="BW146" s="158"/>
      <c r="BX146" s="185"/>
      <c r="BY146" s="185"/>
      <c r="BZ146" s="185"/>
      <c r="CA146" s="185"/>
      <c r="CB146" s="159"/>
      <c r="CC146" s="159"/>
    </row>
    <row r="147" spans="1:81" s="320" customFormat="1" ht="15" hidden="1" customHeight="1" x14ac:dyDescent="0.25">
      <c r="A147" s="329"/>
      <c r="B147" s="952" t="s">
        <v>570</v>
      </c>
      <c r="C147" s="955" t="s">
        <v>325</v>
      </c>
      <c r="D147" s="794"/>
      <c r="E147" s="933" t="s">
        <v>162</v>
      </c>
      <c r="F147" s="316"/>
      <c r="G147" s="315" t="s">
        <v>205</v>
      </c>
      <c r="H147" s="501" t="s">
        <v>78</v>
      </c>
      <c r="I147" s="246">
        <v>0</v>
      </c>
      <c r="J147" s="317">
        <v>0</v>
      </c>
      <c r="K147" s="317">
        <f ca="1">SUMIF(T$3:$AM139,"ok",T147:AM147)</f>
        <v>0</v>
      </c>
      <c r="L147" s="379">
        <f t="shared" ca="1" si="25"/>
        <v>0</v>
      </c>
      <c r="M147" s="319">
        <v>0</v>
      </c>
      <c r="N147" s="379">
        <f t="shared" si="21"/>
        <v>0</v>
      </c>
      <c r="O147" s="317">
        <f t="shared" si="22"/>
        <v>0</v>
      </c>
      <c r="P147" s="445">
        <f t="shared" si="23"/>
        <v>0</v>
      </c>
      <c r="Q147" s="249">
        <v>0</v>
      </c>
      <c r="R147" s="311">
        <f ca="1">SUMIF(T$3:$AM139,"SI",T147:AM147)</f>
        <v>0</v>
      </c>
      <c r="S147" s="379" t="str">
        <f t="shared" ca="1" si="24"/>
        <v>0,00%</v>
      </c>
      <c r="T147" s="326">
        <v>0</v>
      </c>
      <c r="U147" s="468">
        <v>0</v>
      </c>
      <c r="V147" s="468">
        <v>0</v>
      </c>
      <c r="W147" s="249">
        <v>0</v>
      </c>
      <c r="X147" s="249">
        <v>0</v>
      </c>
      <c r="Y147" s="249">
        <v>0</v>
      </c>
      <c r="Z147" s="249">
        <v>0</v>
      </c>
      <c r="AA147" s="249">
        <v>0</v>
      </c>
      <c r="AB147" s="249">
        <v>0</v>
      </c>
      <c r="AC147" s="249">
        <v>0</v>
      </c>
      <c r="AD147" s="249">
        <v>0</v>
      </c>
      <c r="AE147" s="249">
        <v>0</v>
      </c>
      <c r="AF147" s="249">
        <v>0</v>
      </c>
      <c r="AG147" s="253">
        <v>0</v>
      </c>
      <c r="AH147" s="249">
        <v>0</v>
      </c>
      <c r="AI147" s="175">
        <v>0</v>
      </c>
      <c r="AJ147" s="249">
        <v>0</v>
      </c>
      <c r="AK147" s="249">
        <v>0</v>
      </c>
      <c r="AL147" s="249">
        <v>0</v>
      </c>
      <c r="AM147" s="249">
        <v>0</v>
      </c>
      <c r="AN147" s="1139"/>
      <c r="AO147" s="156"/>
      <c r="AP147" s="156"/>
      <c r="AQ147" s="156"/>
      <c r="AR147" s="156"/>
      <c r="AS147" s="156"/>
      <c r="AT147" s="156"/>
      <c r="AU147" s="156"/>
      <c r="AV147" s="156"/>
      <c r="AW147" s="1140"/>
      <c r="AX147" s="1197"/>
      <c r="AY147" s="148"/>
      <c r="AZ147" s="151"/>
      <c r="BA147" s="151"/>
      <c r="BB147" s="1172"/>
      <c r="BC147" s="151"/>
      <c r="BD147" s="151"/>
      <c r="BE147" s="1171"/>
      <c r="BF147" s="1171"/>
      <c r="BG147" s="1171"/>
      <c r="BH147" s="1171"/>
      <c r="BI147" s="151"/>
      <c r="BJ147" s="156"/>
      <c r="BK147" s="156"/>
      <c r="BL147" s="594"/>
      <c r="BM147" s="594"/>
      <c r="BN147" s="594"/>
      <c r="BO147" s="594"/>
      <c r="BP147" s="185"/>
      <c r="BQ147" s="156"/>
      <c r="BR147" s="594"/>
      <c r="BS147" s="594"/>
      <c r="BT147" s="594"/>
      <c r="BU147" s="594"/>
      <c r="BV147" s="156"/>
      <c r="BW147" s="158"/>
      <c r="BX147" s="185"/>
      <c r="BY147" s="185"/>
      <c r="BZ147" s="185"/>
      <c r="CA147" s="185"/>
      <c r="CB147" s="159"/>
      <c r="CC147" s="159"/>
    </row>
    <row r="148" spans="1:81" s="320" customFormat="1" ht="15" hidden="1" customHeight="1" x14ac:dyDescent="0.25">
      <c r="A148" s="329"/>
      <c r="B148" s="952" t="s">
        <v>394</v>
      </c>
      <c r="C148" s="955"/>
      <c r="D148" s="794"/>
      <c r="E148" s="933" t="s">
        <v>173</v>
      </c>
      <c r="F148" s="316"/>
      <c r="G148" s="315" t="str">
        <f>+CONCATENATE($C$80,"",$D$145,"",E148)</f>
        <v>22.12.999</v>
      </c>
      <c r="H148" s="501" t="s">
        <v>51</v>
      </c>
      <c r="I148" s="248">
        <v>0</v>
      </c>
      <c r="J148" s="317">
        <f>+'P01 2025'!DE127</f>
        <v>1451.05</v>
      </c>
      <c r="K148" s="317">
        <f ca="1">SUMIF(T$3:$AM140,"ok",T148:AM148)</f>
        <v>1451.05</v>
      </c>
      <c r="L148" s="379">
        <f t="shared" ca="1" si="25"/>
        <v>1</v>
      </c>
      <c r="M148" s="319">
        <f>+'P01 2025'!DG127</f>
        <v>1451.05</v>
      </c>
      <c r="N148" s="379">
        <f t="shared" si="21"/>
        <v>1</v>
      </c>
      <c r="O148" s="317">
        <f t="shared" si="22"/>
        <v>0</v>
      </c>
      <c r="P148" s="445">
        <f t="shared" si="23"/>
        <v>0</v>
      </c>
      <c r="Q148" s="249">
        <f>+'P01 2024'!DJ123</f>
        <v>297.375338</v>
      </c>
      <c r="R148" s="311">
        <f ca="1">SUMIF(T$3:$AM140,"SI",T148:AM148)</f>
        <v>209.33884200000003</v>
      </c>
      <c r="S148" s="379">
        <f t="shared" ca="1" si="24"/>
        <v>0.70395495271366459</v>
      </c>
      <c r="T148" s="326">
        <v>0</v>
      </c>
      <c r="U148" s="468">
        <f>+'P01 2024'!K119</f>
        <v>0</v>
      </c>
      <c r="V148" s="468">
        <f>+'P01 2025'!N81</f>
        <v>1399.999</v>
      </c>
      <c r="W148" s="249">
        <v>0</v>
      </c>
      <c r="X148" s="249">
        <v>0</v>
      </c>
      <c r="Y148" s="249">
        <v>0</v>
      </c>
      <c r="Z148" s="249">
        <v>0</v>
      </c>
      <c r="AA148" s="249">
        <v>0</v>
      </c>
      <c r="AB148" s="249">
        <v>0</v>
      </c>
      <c r="AC148" s="249">
        <f>+'P01 2024'!BI77</f>
        <v>209.33884200000003</v>
      </c>
      <c r="AD148" s="249">
        <f>+'P01 2025'!BU93</f>
        <v>51.051000000000002</v>
      </c>
      <c r="AE148" s="249">
        <v>0</v>
      </c>
      <c r="AF148" s="249">
        <v>0</v>
      </c>
      <c r="AG148" s="249">
        <v>0</v>
      </c>
      <c r="AH148" s="249">
        <v>0</v>
      </c>
      <c r="AI148" s="175">
        <v>0</v>
      </c>
      <c r="AJ148" s="249">
        <v>0</v>
      </c>
      <c r="AK148" s="249">
        <v>0</v>
      </c>
      <c r="AL148" s="249">
        <v>0</v>
      </c>
      <c r="AM148" s="249">
        <f>+'P01 2024'!FL106</f>
        <v>5098.085</v>
      </c>
      <c r="AN148" s="1194"/>
      <c r="AO148" s="151"/>
      <c r="AP148" s="151"/>
      <c r="AQ148" s="151"/>
      <c r="AR148" s="151"/>
      <c r="AS148" s="151"/>
      <c r="AT148" s="151"/>
      <c r="AU148" s="151"/>
      <c r="AV148" s="151"/>
      <c r="AW148" s="1195"/>
      <c r="AX148" s="1196"/>
      <c r="AY148" s="148"/>
      <c r="AZ148" s="151"/>
      <c r="BA148" s="151"/>
      <c r="BB148" s="1172"/>
      <c r="BC148" s="151"/>
      <c r="BD148" s="151"/>
      <c r="BE148" s="1171"/>
      <c r="BF148" s="1171"/>
      <c r="BG148" s="1171"/>
      <c r="BH148" s="1171"/>
      <c r="BI148" s="151"/>
      <c r="BJ148" s="156"/>
      <c r="BK148" s="156"/>
      <c r="BL148" s="594"/>
      <c r="BM148" s="594"/>
      <c r="BN148" s="594"/>
      <c r="BO148" s="594"/>
      <c r="BP148" s="185"/>
      <c r="BQ148" s="156"/>
      <c r="BR148" s="594"/>
      <c r="BS148" s="594"/>
      <c r="BT148" s="594"/>
      <c r="BU148" s="594"/>
      <c r="BV148" s="156"/>
      <c r="BW148" s="158"/>
      <c r="BX148" s="185"/>
      <c r="BY148" s="185"/>
      <c r="BZ148" s="185"/>
      <c r="CA148" s="185"/>
      <c r="CB148" s="159"/>
      <c r="CC148" s="159"/>
    </row>
    <row r="149" spans="1:81" ht="15" customHeight="1" x14ac:dyDescent="0.25">
      <c r="B149" s="169" t="s">
        <v>571</v>
      </c>
      <c r="C149" s="508">
        <v>23</v>
      </c>
      <c r="D149" s="38"/>
      <c r="E149" s="309"/>
      <c r="F149" s="309"/>
      <c r="G149" s="309"/>
      <c r="H149" s="502" t="s">
        <v>271</v>
      </c>
      <c r="I149" s="306">
        <f>+'P01 2025'!F119</f>
        <v>10</v>
      </c>
      <c r="J149" s="306">
        <f>+'P01 2025'!DE128</f>
        <v>122476</v>
      </c>
      <c r="K149" s="306">
        <f ca="1">SUMIF(T$3:$AM141,"ok",T149:AM149)</f>
        <v>101427.939</v>
      </c>
      <c r="L149" s="378">
        <f t="shared" ca="1" si="25"/>
        <v>0.8281454244096802</v>
      </c>
      <c r="M149" s="323">
        <f>+'P01 2025'!DG128</f>
        <v>122474.33900000001</v>
      </c>
      <c r="N149" s="378">
        <f t="shared" si="21"/>
        <v>0.99998643815931287</v>
      </c>
      <c r="O149" s="306">
        <f t="shared" si="22"/>
        <v>1.6609999999927823</v>
      </c>
      <c r="P149" s="443">
        <f t="shared" si="23"/>
        <v>1.3561840687096102E-5</v>
      </c>
      <c r="Q149" s="321">
        <f>+'P01 2024'!DJ124</f>
        <v>213580.82399999999</v>
      </c>
      <c r="R149" s="155">
        <f ca="1">SUMIF(T$3:$AM142,"SI",T149:AM149)</f>
        <v>213569.90696599998</v>
      </c>
      <c r="S149" s="378">
        <f t="shared" ca="1" si="24"/>
        <v>0.99994888570146157</v>
      </c>
      <c r="T149" s="509">
        <f>+'P01 2025'!G119</f>
        <v>0</v>
      </c>
      <c r="U149" s="467">
        <f>+'P01 2024'!K120</f>
        <v>0</v>
      </c>
      <c r="V149" s="467">
        <v>0</v>
      </c>
      <c r="W149" s="86">
        <v>0</v>
      </c>
      <c r="X149" s="86">
        <v>0</v>
      </c>
      <c r="Y149" s="86">
        <v>0</v>
      </c>
      <c r="Z149" s="86">
        <v>0</v>
      </c>
      <c r="AA149" s="155">
        <v>0</v>
      </c>
      <c r="AB149" s="155">
        <v>0</v>
      </c>
      <c r="AC149" s="155">
        <v>0</v>
      </c>
      <c r="AD149" s="155">
        <v>0</v>
      </c>
      <c r="AE149" s="155">
        <v>0</v>
      </c>
      <c r="AF149" s="155">
        <f>+'P01 2025'!CI76</f>
        <v>46967.65</v>
      </c>
      <c r="AG149" s="155">
        <f>+'P01 2024'!CM98</f>
        <v>213569.90696599998</v>
      </c>
      <c r="AH149" s="155">
        <f>+'P01 2025'!CX80</f>
        <v>54460.288999999997</v>
      </c>
      <c r="AI149" s="86">
        <v>0</v>
      </c>
      <c r="AJ149" s="155">
        <v>0</v>
      </c>
      <c r="AK149" s="155">
        <f>SUM(AK152:AK155)</f>
        <v>0</v>
      </c>
      <c r="AL149" s="155">
        <v>0</v>
      </c>
      <c r="AM149" s="155">
        <f>+'P01 2024'!FL107</f>
        <v>380154.78</v>
      </c>
      <c r="AN149" s="1194"/>
      <c r="AO149" s="151"/>
      <c r="AP149" s="151"/>
      <c r="AQ149" s="151"/>
      <c r="AR149" s="151"/>
      <c r="AS149" s="151"/>
      <c r="AT149" s="151"/>
      <c r="AU149" s="151"/>
      <c r="AV149" s="151"/>
      <c r="AW149" s="1195"/>
      <c r="AX149" s="1196"/>
      <c r="AY149" s="148"/>
      <c r="AZ149" s="151"/>
      <c r="BA149" s="151"/>
      <c r="BB149" s="1172"/>
      <c r="BC149" s="151"/>
      <c r="BD149" s="151"/>
      <c r="BE149" s="1171"/>
      <c r="BF149" s="1171"/>
      <c r="BG149" s="1171"/>
      <c r="BH149" s="1171"/>
      <c r="BI149" s="1171"/>
      <c r="BJ149" s="932"/>
      <c r="BK149" s="156"/>
      <c r="BL149" s="594"/>
      <c r="BM149" s="594"/>
      <c r="BN149" s="594"/>
      <c r="BO149" s="594"/>
      <c r="BQ149" s="156"/>
      <c r="BR149" s="594"/>
      <c r="BS149" s="594"/>
      <c r="BT149" s="594"/>
      <c r="BU149" s="594"/>
      <c r="BV149" s="156"/>
      <c r="BW149" s="158"/>
      <c r="CB149" s="152"/>
      <c r="CC149" s="152"/>
    </row>
    <row r="150" spans="1:81" s="320" customFormat="1" ht="15" hidden="1" customHeight="1" x14ac:dyDescent="0.2">
      <c r="A150" s="329"/>
      <c r="B150" s="1198" t="s">
        <v>1111</v>
      </c>
      <c r="C150" s="497"/>
      <c r="D150" s="33" t="s">
        <v>300</v>
      </c>
      <c r="E150" s="933"/>
      <c r="F150" s="316"/>
      <c r="G150" s="316"/>
      <c r="H150" s="501" t="s">
        <v>1111</v>
      </c>
      <c r="I150" s="501">
        <f>+I151</f>
        <v>0</v>
      </c>
      <c r="J150" s="317">
        <f>+'P01 2025'!DE129</f>
        <v>615</v>
      </c>
      <c r="K150" s="317">
        <f ca="1">SUMIF(T$3:$AM142,"ok",T150:AM150)</f>
        <v>614.34</v>
      </c>
      <c r="L150" s="379">
        <f t="shared" ca="1" si="25"/>
        <v>0.99892682926829268</v>
      </c>
      <c r="M150" s="319">
        <f>+'P01 2025'!DG129</f>
        <v>614.34</v>
      </c>
      <c r="N150" s="379">
        <f>+IFERROR(M150/J150,0%)</f>
        <v>0.99892682926829268</v>
      </c>
      <c r="O150" s="317">
        <f>J150-M150</f>
        <v>0.65999999999996817</v>
      </c>
      <c r="P150" s="445">
        <f t="shared" si="23"/>
        <v>1.0731707317072653E-3</v>
      </c>
      <c r="Q150" s="175">
        <f>+Q151</f>
        <v>0</v>
      </c>
      <c r="R150" s="249">
        <f>+R151</f>
        <v>0</v>
      </c>
      <c r="S150" s="379" t="str">
        <f t="shared" si="24"/>
        <v>0,00%</v>
      </c>
      <c r="T150" s="326"/>
      <c r="U150" s="593"/>
      <c r="V150" s="593"/>
      <c r="W150" s="175"/>
      <c r="X150" s="175"/>
      <c r="Y150" s="175"/>
      <c r="Z150" s="175"/>
      <c r="AA150" s="249"/>
      <c r="AB150" s="249"/>
      <c r="AC150" s="249"/>
      <c r="AD150" s="249"/>
      <c r="AE150" s="249"/>
      <c r="AF150" s="249">
        <v>0</v>
      </c>
      <c r="AG150" s="249"/>
      <c r="AH150" s="249">
        <f>+'P01 2025'!CX81</f>
        <v>614.34</v>
      </c>
      <c r="AI150" s="175"/>
      <c r="AJ150" s="249"/>
      <c r="AK150" s="249"/>
      <c r="AL150" s="249"/>
      <c r="AM150" s="249"/>
      <c r="AN150" s="1194"/>
      <c r="AO150" s="151"/>
      <c r="AP150" s="151"/>
      <c r="AQ150" s="151"/>
      <c r="AR150" s="151"/>
      <c r="AS150" s="151"/>
      <c r="AT150" s="151"/>
      <c r="AU150" s="151"/>
      <c r="AV150" s="151"/>
      <c r="AW150" s="1195"/>
      <c r="AX150" s="1196"/>
      <c r="AY150" s="148"/>
      <c r="AZ150" s="151"/>
      <c r="BA150" s="151"/>
      <c r="BB150" s="1172"/>
      <c r="BC150" s="151"/>
      <c r="BD150" s="151"/>
      <c r="BE150" s="1171"/>
      <c r="BF150" s="1171"/>
      <c r="BG150" s="1171"/>
      <c r="BH150" s="1171"/>
      <c r="BI150" s="151"/>
      <c r="BJ150" s="156"/>
      <c r="BK150" s="156"/>
      <c r="BL150" s="594"/>
      <c r="BM150" s="594"/>
      <c r="BN150" s="594"/>
      <c r="BO150" s="594"/>
      <c r="BP150" s="185"/>
      <c r="BQ150" s="156"/>
      <c r="BR150" s="594"/>
      <c r="BS150" s="594"/>
      <c r="BT150" s="594"/>
      <c r="BU150" s="594"/>
      <c r="BV150" s="156"/>
      <c r="BW150" s="158"/>
      <c r="BX150" s="185"/>
      <c r="BY150" s="185"/>
      <c r="BZ150" s="185"/>
      <c r="CA150" s="185"/>
      <c r="CB150" s="159"/>
      <c r="CC150" s="159"/>
    </row>
    <row r="151" spans="1:81" s="320" customFormat="1" ht="15" hidden="1" customHeight="1" x14ac:dyDescent="0.2">
      <c r="A151" s="329"/>
      <c r="B151" s="1198" t="s">
        <v>1112</v>
      </c>
      <c r="C151" s="497"/>
      <c r="D151" s="33"/>
      <c r="E151" s="933" t="s">
        <v>177</v>
      </c>
      <c r="F151" s="316"/>
      <c r="G151" s="316"/>
      <c r="H151" s="501" t="s">
        <v>1112</v>
      </c>
      <c r="I151" s="501">
        <v>0</v>
      </c>
      <c r="J151" s="317">
        <f>+'P01 2025'!DE130</f>
        <v>615</v>
      </c>
      <c r="K151" s="317">
        <f ca="1">SUMIF(T$3:$AM143,"ok",T151:AM151)</f>
        <v>614.34</v>
      </c>
      <c r="L151" s="379">
        <f t="shared" ca="1" si="25"/>
        <v>0.99892682926829268</v>
      </c>
      <c r="M151" s="319">
        <f>+'P01 2025'!DG130</f>
        <v>614.34</v>
      </c>
      <c r="N151" s="379">
        <f t="shared" ref="N151:N213" si="26">+IFERROR(M151/J151,0%)</f>
        <v>0.99892682926829268</v>
      </c>
      <c r="O151" s="317">
        <f t="shared" ref="O151:O213" si="27">J151-M151</f>
        <v>0.65999999999996817</v>
      </c>
      <c r="P151" s="445">
        <f t="shared" si="23"/>
        <v>1.0731707317072653E-3</v>
      </c>
      <c r="Q151" s="175">
        <v>0</v>
      </c>
      <c r="R151" s="249">
        <v>0</v>
      </c>
      <c r="S151" s="379" t="str">
        <f t="shared" si="24"/>
        <v>0,00%</v>
      </c>
      <c r="T151" s="326"/>
      <c r="U151" s="593"/>
      <c r="V151" s="593"/>
      <c r="W151" s="175"/>
      <c r="X151" s="175"/>
      <c r="Y151" s="175"/>
      <c r="Z151" s="175"/>
      <c r="AA151" s="249"/>
      <c r="AB151" s="249"/>
      <c r="AC151" s="249"/>
      <c r="AD151" s="249"/>
      <c r="AE151" s="249"/>
      <c r="AF151" s="249">
        <v>0</v>
      </c>
      <c r="AG151" s="249"/>
      <c r="AH151" s="249">
        <f>+'P01 2025'!CX82</f>
        <v>614.34</v>
      </c>
      <c r="AI151" s="175"/>
      <c r="AJ151" s="249"/>
      <c r="AK151" s="249"/>
      <c r="AL151" s="249"/>
      <c r="AM151" s="249"/>
      <c r="AN151" s="1194"/>
      <c r="AO151" s="151"/>
      <c r="AP151" s="151"/>
      <c r="AQ151" s="151"/>
      <c r="AR151" s="151"/>
      <c r="AS151" s="151"/>
      <c r="AT151" s="151"/>
      <c r="AU151" s="151"/>
      <c r="AV151" s="151"/>
      <c r="AW151" s="1195"/>
      <c r="AX151" s="1196"/>
      <c r="AY151" s="148"/>
      <c r="AZ151" s="151"/>
      <c r="BA151" s="151"/>
      <c r="BB151" s="1172"/>
      <c r="BC151" s="151"/>
      <c r="BD151" s="151"/>
      <c r="BE151" s="1171"/>
      <c r="BF151" s="1171"/>
      <c r="BG151" s="1171"/>
      <c r="BH151" s="1171"/>
      <c r="BI151" s="151"/>
      <c r="BJ151" s="156"/>
      <c r="BK151" s="156"/>
      <c r="BL151" s="594"/>
      <c r="BM151" s="594"/>
      <c r="BN151" s="594"/>
      <c r="BO151" s="594"/>
      <c r="BP151" s="185"/>
      <c r="BQ151" s="156"/>
      <c r="BR151" s="594"/>
      <c r="BS151" s="594"/>
      <c r="BT151" s="594"/>
      <c r="BU151" s="594"/>
      <c r="BV151" s="156"/>
      <c r="BW151" s="158"/>
      <c r="BX151" s="185"/>
      <c r="BY151" s="185"/>
      <c r="BZ151" s="185"/>
      <c r="CA151" s="185"/>
      <c r="CB151" s="159"/>
      <c r="CC151" s="159"/>
    </row>
    <row r="152" spans="1:81" s="320" customFormat="1" ht="15" hidden="1" customHeight="1" x14ac:dyDescent="0.25">
      <c r="A152" s="329"/>
      <c r="B152" s="952" t="s">
        <v>572</v>
      </c>
      <c r="C152" s="955"/>
      <c r="D152" s="33" t="s">
        <v>163</v>
      </c>
      <c r="E152" s="933"/>
      <c r="F152" s="316"/>
      <c r="G152" s="315" t="s">
        <v>335</v>
      </c>
      <c r="H152" s="501" t="s">
        <v>843</v>
      </c>
      <c r="I152" s="317">
        <f>+'P01 2025'!F120</f>
        <v>10</v>
      </c>
      <c r="J152" s="317">
        <f>+'P01 2025'!DE131</f>
        <v>121861</v>
      </c>
      <c r="K152" s="317">
        <f ca="1">SUMIF(T$3:$AM144,"ok",T152:AM152)</f>
        <v>100813.599</v>
      </c>
      <c r="L152" s="379">
        <f t="shared" ca="1" si="25"/>
        <v>0.82728353616005124</v>
      </c>
      <c r="M152" s="319">
        <f>+'P01 2025'!DG131</f>
        <v>121859.999</v>
      </c>
      <c r="N152" s="379">
        <f t="shared" si="26"/>
        <v>0.9999917857230779</v>
      </c>
      <c r="O152" s="317">
        <f t="shared" si="27"/>
        <v>1.0010000000038417</v>
      </c>
      <c r="P152" s="445">
        <f t="shared" si="23"/>
        <v>8.2142769220984703E-6</v>
      </c>
      <c r="Q152" s="249">
        <f>+'P01 2024'!DJ125</f>
        <v>213580.82399999999</v>
      </c>
      <c r="R152" s="311">
        <f ca="1">SUMIF(T$3:$AM143,"SI",T152:AM152)</f>
        <v>213569.90696599998</v>
      </c>
      <c r="S152" s="379">
        <f t="shared" ca="1" si="24"/>
        <v>0.99994888570146157</v>
      </c>
      <c r="T152" s="326">
        <f>+'P01 2025'!G120</f>
        <v>0</v>
      </c>
      <c r="U152" s="468">
        <f>+'P01 2024'!K121</f>
        <v>0</v>
      </c>
      <c r="V152" s="468">
        <v>0</v>
      </c>
      <c r="W152" s="249">
        <v>0</v>
      </c>
      <c r="X152" s="249">
        <v>0</v>
      </c>
      <c r="Y152" s="249">
        <v>0</v>
      </c>
      <c r="Z152" s="249">
        <v>0</v>
      </c>
      <c r="AA152" s="175">
        <v>0</v>
      </c>
      <c r="AB152" s="175">
        <v>0</v>
      </c>
      <c r="AC152" s="175">
        <v>0</v>
      </c>
      <c r="AD152" s="175">
        <v>0</v>
      </c>
      <c r="AE152" s="175">
        <v>0</v>
      </c>
      <c r="AF152" s="175">
        <f>+'P01 2025'!CI77</f>
        <v>46967.65</v>
      </c>
      <c r="AG152" s="249">
        <f>+'P01 2024'!CM99</f>
        <v>213569.90696599998</v>
      </c>
      <c r="AH152" s="249">
        <f>+'P01 2025'!CX83</f>
        <v>53845.949000000001</v>
      </c>
      <c r="AI152" s="175">
        <v>0</v>
      </c>
      <c r="AJ152" s="249">
        <v>0</v>
      </c>
      <c r="AK152" s="249">
        <v>0</v>
      </c>
      <c r="AL152" s="249">
        <v>0</v>
      </c>
      <c r="AM152" s="249">
        <f>+'P01 2024'!FL108</f>
        <v>380154.78</v>
      </c>
      <c r="AN152" s="1194"/>
      <c r="AO152" s="151"/>
      <c r="AP152" s="151"/>
      <c r="AQ152" s="151"/>
      <c r="AR152" s="151"/>
      <c r="AS152" s="151"/>
      <c r="AT152" s="151"/>
      <c r="AU152" s="151"/>
      <c r="AV152" s="151"/>
      <c r="AW152" s="1195"/>
      <c r="AX152" s="1196"/>
      <c r="AY152" s="148"/>
      <c r="AZ152" s="151"/>
      <c r="BA152" s="151"/>
      <c r="BB152" s="1172"/>
      <c r="BC152" s="151"/>
      <c r="BD152" s="151"/>
      <c r="BE152" s="1171"/>
      <c r="BF152" s="1171"/>
      <c r="BG152" s="1171"/>
      <c r="BH152" s="1171"/>
      <c r="BI152" s="151"/>
      <c r="BJ152" s="156"/>
      <c r="BK152" s="156"/>
      <c r="BL152" s="594"/>
      <c r="BM152" s="594"/>
      <c r="BN152" s="594"/>
      <c r="BO152" s="594"/>
      <c r="BP152" s="185"/>
      <c r="BQ152" s="156"/>
      <c r="BR152" s="594"/>
      <c r="BS152" s="594"/>
      <c r="BT152" s="594"/>
      <c r="BU152" s="594"/>
      <c r="BV152" s="156"/>
      <c r="BW152" s="158"/>
      <c r="BX152" s="185"/>
      <c r="BY152" s="185"/>
      <c r="BZ152" s="185"/>
      <c r="CA152" s="185"/>
      <c r="CB152" s="159"/>
      <c r="CC152" s="159"/>
    </row>
    <row r="153" spans="1:81" s="320" customFormat="1" ht="15" hidden="1" customHeight="1" x14ac:dyDescent="0.25">
      <c r="A153" s="329"/>
      <c r="B153" s="952" t="s">
        <v>1002</v>
      </c>
      <c r="C153" s="955"/>
      <c r="D153" s="794"/>
      <c r="E153" s="933" t="s">
        <v>165</v>
      </c>
      <c r="F153" s="316"/>
      <c r="G153" s="315" t="s">
        <v>1014</v>
      </c>
      <c r="H153" s="501" t="s">
        <v>1005</v>
      </c>
      <c r="I153" s="317">
        <f>+'P01 2025'!F121</f>
        <v>1</v>
      </c>
      <c r="J153" s="317">
        <f>+'P01 2025'!DE132</f>
        <v>21047.4</v>
      </c>
      <c r="K153" s="317">
        <f ca="1">SUMIF(T$3:$AM145,"ok",T153:AM153)</f>
        <v>0</v>
      </c>
      <c r="L153" s="379">
        <f t="shared" ca="1" si="25"/>
        <v>0</v>
      </c>
      <c r="M153" s="319">
        <f>+'P01 2025'!DG132</f>
        <v>21046.400000000001</v>
      </c>
      <c r="N153" s="379">
        <f t="shared" si="26"/>
        <v>0.99995248819331606</v>
      </c>
      <c r="O153" s="317">
        <f t="shared" si="27"/>
        <v>1</v>
      </c>
      <c r="P153" s="445">
        <f t="shared" si="23"/>
        <v>4.7511806683960963E-5</v>
      </c>
      <c r="Q153" s="249">
        <v>0</v>
      </c>
      <c r="R153" s="311">
        <f ca="1">SUMIF(T$3:$AM144,"SI",T153:AM153)</f>
        <v>0</v>
      </c>
      <c r="S153" s="379" t="str">
        <f t="shared" ca="1" si="24"/>
        <v>0,00%</v>
      </c>
      <c r="T153" s="326">
        <f>+'P01 2025'!G121</f>
        <v>0</v>
      </c>
      <c r="U153" s="468">
        <v>0</v>
      </c>
      <c r="V153" s="468">
        <v>0</v>
      </c>
      <c r="W153" s="249"/>
      <c r="X153" s="249">
        <v>0</v>
      </c>
      <c r="Y153" s="249"/>
      <c r="Z153" s="249">
        <v>0</v>
      </c>
      <c r="AA153" s="175">
        <v>0</v>
      </c>
      <c r="AB153" s="175">
        <v>0</v>
      </c>
      <c r="AC153" s="175"/>
      <c r="AD153" s="175">
        <v>0</v>
      </c>
      <c r="AE153" s="175"/>
      <c r="AF153" s="175">
        <v>0</v>
      </c>
      <c r="AG153" s="249"/>
      <c r="AH153" s="249"/>
      <c r="AI153" s="175"/>
      <c r="AJ153" s="249"/>
      <c r="AK153" s="249"/>
      <c r="AL153" s="249"/>
      <c r="AM153" s="249"/>
      <c r="AN153" s="1194"/>
      <c r="AO153" s="151"/>
      <c r="AP153" s="151"/>
      <c r="AQ153" s="151"/>
      <c r="AR153" s="151"/>
      <c r="AS153" s="151"/>
      <c r="AT153" s="151"/>
      <c r="AU153" s="151"/>
      <c r="AV153" s="151"/>
      <c r="AW153" s="1195"/>
      <c r="AX153" s="1196"/>
      <c r="AY153" s="148"/>
      <c r="AZ153" s="151"/>
      <c r="BA153" s="151"/>
      <c r="BB153" s="1172"/>
      <c r="BC153" s="151"/>
      <c r="BD153" s="151"/>
      <c r="BE153" s="1171"/>
      <c r="BF153" s="1171"/>
      <c r="BG153" s="1171"/>
      <c r="BH153" s="1171"/>
      <c r="BI153" s="151"/>
      <c r="BJ153" s="156"/>
      <c r="BK153" s="156"/>
      <c r="BL153" s="594"/>
      <c r="BM153" s="594"/>
      <c r="BN153" s="594"/>
      <c r="BO153" s="594"/>
      <c r="BP153" s="185"/>
      <c r="BQ153" s="156"/>
      <c r="BR153" s="594"/>
      <c r="BS153" s="594"/>
      <c r="BT153" s="594"/>
      <c r="BU153" s="594"/>
      <c r="BV153" s="156"/>
      <c r="BW153" s="158"/>
      <c r="BX153" s="185"/>
      <c r="BY153" s="185"/>
      <c r="BZ153" s="185"/>
      <c r="CA153" s="185"/>
      <c r="CB153" s="159"/>
      <c r="CC153" s="159"/>
    </row>
    <row r="154" spans="1:81" s="320" customFormat="1" ht="15" hidden="1" customHeight="1" x14ac:dyDescent="0.25">
      <c r="A154" s="329"/>
      <c r="B154" s="952" t="s">
        <v>573</v>
      </c>
      <c r="C154" s="955"/>
      <c r="D154" s="794"/>
      <c r="E154" s="933" t="s">
        <v>162</v>
      </c>
      <c r="F154" s="316"/>
      <c r="G154" s="315" t="s">
        <v>273</v>
      </c>
      <c r="H154" s="501" t="s">
        <v>272</v>
      </c>
      <c r="I154" s="317">
        <f>+'P01 2025'!F122</f>
        <v>8</v>
      </c>
      <c r="J154" s="317">
        <f>+'P01 2025'!DE133</f>
        <v>58028.33</v>
      </c>
      <c r="K154" s="317">
        <f ca="1">SUMIF(T$3:$AM146,"ok",T154:AM154)</f>
        <v>58028.328999999998</v>
      </c>
      <c r="L154" s="379">
        <f t="shared" ca="1" si="25"/>
        <v>0.99999998276703805</v>
      </c>
      <c r="M154" s="319">
        <f>+'P01 2025'!DG133</f>
        <v>58028.328999999998</v>
      </c>
      <c r="N154" s="379">
        <f t="shared" si="26"/>
        <v>0.99999998276703805</v>
      </c>
      <c r="O154" s="317">
        <f t="shared" si="27"/>
        <v>1.0000000038417056E-3</v>
      </c>
      <c r="P154" s="445">
        <f t="shared" si="23"/>
        <v>1.7232961966020831E-8</v>
      </c>
      <c r="Q154" s="249">
        <f>+'P01 2024'!DJ126</f>
        <v>213580.82399999999</v>
      </c>
      <c r="R154" s="311">
        <f ca="1">SUMIF(T$3:$AM145,"SI",T154:AM154)</f>
        <v>213569.90696599998</v>
      </c>
      <c r="S154" s="379">
        <f t="shared" ca="1" si="24"/>
        <v>0.99994888570146157</v>
      </c>
      <c r="T154" s="326">
        <f>+'P01 2025'!G122</f>
        <v>0</v>
      </c>
      <c r="U154" s="468">
        <f>+'P01 2024'!K122</f>
        <v>0</v>
      </c>
      <c r="V154" s="468">
        <v>0</v>
      </c>
      <c r="W154" s="249">
        <v>0</v>
      </c>
      <c r="X154" s="249">
        <v>0</v>
      </c>
      <c r="Y154" s="249">
        <v>0</v>
      </c>
      <c r="Z154" s="249">
        <v>0</v>
      </c>
      <c r="AA154" s="175">
        <v>0</v>
      </c>
      <c r="AB154" s="175">
        <v>0</v>
      </c>
      <c r="AC154" s="175">
        <v>0</v>
      </c>
      <c r="AD154" s="175">
        <v>0</v>
      </c>
      <c r="AE154" s="175">
        <v>0</v>
      </c>
      <c r="AF154" s="175">
        <f>+'P01 2025'!CI78</f>
        <v>46967.65</v>
      </c>
      <c r="AG154" s="249">
        <f>+'P01 2024'!CM100</f>
        <v>213569.90696599998</v>
      </c>
      <c r="AH154" s="249">
        <f>+'P01 2025'!CX84</f>
        <v>11060.679</v>
      </c>
      <c r="AI154" s="175">
        <v>0</v>
      </c>
      <c r="AJ154" s="249">
        <v>0</v>
      </c>
      <c r="AK154" s="249">
        <v>0</v>
      </c>
      <c r="AL154" s="249">
        <v>0</v>
      </c>
      <c r="AM154" s="249">
        <f>+'P01 2024'!FL109</f>
        <v>380154.78</v>
      </c>
      <c r="AN154" s="1194"/>
      <c r="AO154" s="151"/>
      <c r="AP154" s="151"/>
      <c r="AQ154" s="151"/>
      <c r="AR154" s="151"/>
      <c r="AS154" s="151"/>
      <c r="AT154" s="151"/>
      <c r="AU154" s="151"/>
      <c r="AV154" s="151"/>
      <c r="AW154" s="1195"/>
      <c r="AX154" s="1196"/>
      <c r="AY154" s="148"/>
      <c r="AZ154" s="151"/>
      <c r="BA154" s="151"/>
      <c r="BB154" s="1172"/>
      <c r="BC154" s="151"/>
      <c r="BD154" s="151"/>
      <c r="BE154" s="1171"/>
      <c r="BF154" s="1171"/>
      <c r="BG154" s="1171"/>
      <c r="BH154" s="1171"/>
      <c r="BI154" s="151"/>
      <c r="BJ154" s="156"/>
      <c r="BK154" s="156"/>
      <c r="BL154" s="594"/>
      <c r="BM154" s="594"/>
      <c r="BN154" s="594"/>
      <c r="BO154" s="594"/>
      <c r="BP154" s="185"/>
      <c r="BQ154" s="156"/>
      <c r="BR154" s="594"/>
      <c r="BS154" s="594"/>
      <c r="BT154" s="594"/>
      <c r="BU154" s="594"/>
      <c r="BV154" s="156"/>
      <c r="BW154" s="158"/>
      <c r="BX154" s="185"/>
      <c r="BY154" s="185"/>
      <c r="BZ154" s="185"/>
      <c r="CA154" s="185"/>
      <c r="CB154" s="159"/>
      <c r="CC154" s="159"/>
    </row>
    <row r="155" spans="1:81" s="320" customFormat="1" ht="15" hidden="1" customHeight="1" x14ac:dyDescent="0.25">
      <c r="A155" s="329"/>
      <c r="B155" s="952" t="s">
        <v>943</v>
      </c>
      <c r="C155" s="383"/>
      <c r="D155" s="962"/>
      <c r="E155" s="963" t="s">
        <v>175</v>
      </c>
      <c r="F155" s="934"/>
      <c r="G155" s="965" t="s">
        <v>772</v>
      </c>
      <c r="H155" s="501" t="s">
        <v>771</v>
      </c>
      <c r="I155" s="317">
        <f>+'P01 2025'!F123</f>
        <v>1</v>
      </c>
      <c r="J155" s="317">
        <f>+'P01 2025'!DE134</f>
        <v>42785.27</v>
      </c>
      <c r="K155" s="317">
        <f ca="1">SUMIF(T$3:$AM147,"ok",T155:AM155)</f>
        <v>42785.27</v>
      </c>
      <c r="L155" s="379">
        <f t="shared" ca="1" si="25"/>
        <v>1</v>
      </c>
      <c r="M155" s="319">
        <f>+'P01 2025'!DG134</f>
        <v>42785.27</v>
      </c>
      <c r="N155" s="379">
        <f t="shared" si="26"/>
        <v>1</v>
      </c>
      <c r="O155" s="317">
        <f t="shared" si="27"/>
        <v>0</v>
      </c>
      <c r="P155" s="445">
        <f t="shared" si="23"/>
        <v>0</v>
      </c>
      <c r="Q155" s="249">
        <v>0</v>
      </c>
      <c r="R155" s="319">
        <f ca="1">SUMIF(T$3:$AM145,"SI",T155:AM155)</f>
        <v>0</v>
      </c>
      <c r="S155" s="379" t="str">
        <f t="shared" ca="1" si="24"/>
        <v>0,00%</v>
      </c>
      <c r="T155" s="326">
        <f>+'P01 2025'!G123</f>
        <v>0</v>
      </c>
      <c r="U155" s="966">
        <v>0</v>
      </c>
      <c r="V155" s="468">
        <v>0</v>
      </c>
      <c r="W155" s="327">
        <v>0</v>
      </c>
      <c r="X155" s="327">
        <v>0</v>
      </c>
      <c r="Y155" s="327">
        <v>0</v>
      </c>
      <c r="Z155" s="249">
        <v>0</v>
      </c>
      <c r="AA155" s="251">
        <v>0</v>
      </c>
      <c r="AB155" s="251">
        <v>0</v>
      </c>
      <c r="AC155" s="251">
        <v>0</v>
      </c>
      <c r="AD155" s="251">
        <v>0</v>
      </c>
      <c r="AE155" s="251">
        <v>0</v>
      </c>
      <c r="AF155" s="251">
        <v>0</v>
      </c>
      <c r="AG155" s="251">
        <v>0</v>
      </c>
      <c r="AH155" s="249">
        <f>+'P01 2025'!CX85</f>
        <v>42785.27</v>
      </c>
      <c r="AI155" s="251">
        <v>0</v>
      </c>
      <c r="AJ155" s="327">
        <v>0</v>
      </c>
      <c r="AK155" s="251">
        <v>0</v>
      </c>
      <c r="AL155" s="251">
        <v>0</v>
      </c>
      <c r="AM155" s="251">
        <v>0</v>
      </c>
      <c r="AN155" s="1194"/>
      <c r="AO155" s="151"/>
      <c r="AP155" s="151"/>
      <c r="AQ155" s="151"/>
      <c r="AR155" s="151"/>
      <c r="AS155" s="151"/>
      <c r="AT155" s="151"/>
      <c r="AU155" s="151"/>
      <c r="AV155" s="151"/>
      <c r="AW155" s="1195"/>
      <c r="AX155" s="1196"/>
      <c r="AY155" s="148"/>
      <c r="AZ155" s="151"/>
      <c r="BA155" s="151"/>
      <c r="BB155" s="1172"/>
      <c r="BC155" s="151"/>
      <c r="BD155" s="151"/>
      <c r="BE155" s="1171"/>
      <c r="BF155" s="1171"/>
      <c r="BG155" s="1171"/>
      <c r="BH155" s="1171"/>
      <c r="BI155" s="151"/>
      <c r="BJ155" s="156"/>
      <c r="BK155" s="156"/>
      <c r="BL155" s="594"/>
      <c r="BM155" s="594"/>
      <c r="BN155" s="594"/>
      <c r="BO155" s="594"/>
      <c r="BP155" s="185"/>
      <c r="BQ155" s="156"/>
      <c r="BR155" s="594"/>
      <c r="BS155" s="594"/>
      <c r="BT155" s="594"/>
      <c r="BU155" s="594"/>
      <c r="BV155" s="156"/>
      <c r="BW155" s="158"/>
      <c r="BX155" s="185"/>
      <c r="BY155" s="185"/>
      <c r="BZ155" s="185"/>
      <c r="CA155" s="185"/>
      <c r="CB155" s="159"/>
      <c r="CC155" s="159"/>
    </row>
    <row r="156" spans="1:81" s="320" customFormat="1" ht="15" customHeight="1" x14ac:dyDescent="0.25">
      <c r="A156" s="329"/>
      <c r="B156" s="952" t="s">
        <v>395</v>
      </c>
      <c r="C156" s="508">
        <v>24</v>
      </c>
      <c r="D156" s="172" t="s">
        <v>2</v>
      </c>
      <c r="E156" s="38"/>
      <c r="F156" s="38"/>
      <c r="G156" s="38"/>
      <c r="H156" s="403" t="s">
        <v>145</v>
      </c>
      <c r="I156" s="306">
        <f>+'P01 2025'!F124</f>
        <v>82773</v>
      </c>
      <c r="J156" s="306">
        <f>+'P01 2025'!DE135</f>
        <v>1379773</v>
      </c>
      <c r="K156" s="306">
        <f ca="1">SUMIF(T$3:$AM148,"ok",T156:AM156)</f>
        <v>281981.92599999998</v>
      </c>
      <c r="L156" s="378">
        <f t="shared" ca="1" si="25"/>
        <v>0.20436834609751023</v>
      </c>
      <c r="M156" s="323">
        <f>+'P01 2025'!DG135</f>
        <v>978997.77800000005</v>
      </c>
      <c r="N156" s="378">
        <f t="shared" si="26"/>
        <v>0.70953539314075575</v>
      </c>
      <c r="O156" s="306">
        <f t="shared" si="27"/>
        <v>400775.22199999995</v>
      </c>
      <c r="P156" s="443">
        <f t="shared" si="23"/>
        <v>0.29046460685924419</v>
      </c>
      <c r="Q156" s="86">
        <f>+'P01 2024'!DJ127</f>
        <v>1620154.7420000001</v>
      </c>
      <c r="R156" s="86">
        <f ca="1">+R165+R176+R157</f>
        <v>992046.11257799994</v>
      </c>
      <c r="S156" s="378">
        <f t="shared" ca="1" si="24"/>
        <v>0.61231565532645882</v>
      </c>
      <c r="T156" s="509">
        <f>+'P01 2025'!G124</f>
        <v>7213.2960000000003</v>
      </c>
      <c r="U156" s="467">
        <f>+'P01 2024'!K123</f>
        <v>5147.666518</v>
      </c>
      <c r="V156" s="467">
        <f>+'P01 2025'!N82</f>
        <v>7213.2960000000003</v>
      </c>
      <c r="W156" s="86">
        <f>+'P01 2024'!Q76</f>
        <v>4206.0673859999997</v>
      </c>
      <c r="X156" s="86">
        <f>+'P01 2025'!AC97</f>
        <v>7213.2960000000003</v>
      </c>
      <c r="Y156" s="86">
        <f>+'P01 2024'!AE94</f>
        <v>8084.2548839999999</v>
      </c>
      <c r="Z156" s="86">
        <f>+'P01 2025'!AR87</f>
        <v>7250.5770000000002</v>
      </c>
      <c r="AA156" s="155">
        <f>+'P01 2024'!AT84</f>
        <v>6576.5111019999995</v>
      </c>
      <c r="AB156" s="155">
        <f>AB157+AB165+AB176+AB185</f>
        <v>7321.4629999999997</v>
      </c>
      <c r="AC156" s="155">
        <f>+'P01 2024'!BI78</f>
        <v>5571.6167220000007</v>
      </c>
      <c r="AD156" s="155">
        <f>+'P01 2025'!BU94</f>
        <v>7213.2960000000003</v>
      </c>
      <c r="AE156" s="155">
        <f>+'P01 2024'!BX93</f>
        <v>276951.39088600001</v>
      </c>
      <c r="AF156" s="155">
        <f>+'P01 2025'!CI79</f>
        <v>7213.2960000000003</v>
      </c>
      <c r="AG156" s="155">
        <f>+'P01 2024'!CM101</f>
        <v>262166.57375800004</v>
      </c>
      <c r="AH156" s="155">
        <f>+'P01 2025'!CX86</f>
        <v>231343.40599999999</v>
      </c>
      <c r="AI156" s="155">
        <f>+'P01 2024'!DB98</f>
        <v>423342.03132200002</v>
      </c>
      <c r="AJ156" s="155">
        <f>+'P01 2024'!DR93</f>
        <v>6232.0649999999996</v>
      </c>
      <c r="AK156" s="155">
        <f>AK157+AK165+AK176</f>
        <v>8223.634</v>
      </c>
      <c r="AL156" s="155">
        <f>+'P01 2024'!ET90</f>
        <v>9565.768</v>
      </c>
      <c r="AM156" s="155">
        <f>+'P01 2024'!FL110</f>
        <v>728892.16799999995</v>
      </c>
      <c r="AN156" s="1194"/>
      <c r="AO156" s="151"/>
      <c r="AP156" s="151"/>
      <c r="AQ156" s="151"/>
      <c r="AR156" s="151"/>
      <c r="AS156" s="151"/>
      <c r="AT156" s="151"/>
      <c r="AU156" s="151"/>
      <c r="AV156" s="151"/>
      <c r="AW156" s="1195"/>
      <c r="AX156" s="1196"/>
      <c r="AY156" s="148"/>
      <c r="AZ156" s="151"/>
      <c r="BA156" s="151"/>
      <c r="BB156" s="1172"/>
      <c r="BC156" s="151"/>
      <c r="BD156" s="151"/>
      <c r="BE156" s="1171"/>
      <c r="BF156" s="1171"/>
      <c r="BG156" s="1171"/>
      <c r="BH156" s="1171"/>
      <c r="BI156" s="1171"/>
      <c r="BJ156" s="932"/>
      <c r="BK156" s="156"/>
      <c r="BL156" s="594"/>
      <c r="BM156" s="594"/>
      <c r="BN156" s="594"/>
      <c r="BO156" s="594"/>
      <c r="BP156" s="185"/>
      <c r="BQ156" s="156"/>
      <c r="BR156" s="594"/>
      <c r="BS156" s="594"/>
      <c r="BT156" s="594"/>
      <c r="BU156" s="594"/>
      <c r="BV156" s="156"/>
      <c r="BW156" s="158"/>
      <c r="BX156" s="185"/>
      <c r="BY156" s="185"/>
      <c r="BZ156" s="185"/>
      <c r="CA156" s="185"/>
      <c r="CB156" s="159"/>
      <c r="CC156" s="159"/>
    </row>
    <row r="157" spans="1:81" ht="15" hidden="1" customHeight="1" x14ac:dyDescent="0.25">
      <c r="B157" s="169" t="s">
        <v>505</v>
      </c>
      <c r="C157" s="508" t="s">
        <v>2</v>
      </c>
      <c r="D157" s="369" t="s">
        <v>300</v>
      </c>
      <c r="E157" s="38"/>
      <c r="F157" s="38"/>
      <c r="G157" s="38"/>
      <c r="H157" s="403" t="s">
        <v>298</v>
      </c>
      <c r="I157" s="145">
        <v>0</v>
      </c>
      <c r="J157" s="306">
        <v>0</v>
      </c>
      <c r="K157" s="306">
        <f ca="1">SUMIF(T$3:$AM146,"ok",T157:AM157)</f>
        <v>0</v>
      </c>
      <c r="L157" s="378">
        <f t="shared" ca="1" si="25"/>
        <v>0</v>
      </c>
      <c r="M157" s="306">
        <v>0</v>
      </c>
      <c r="N157" s="378">
        <f t="shared" si="26"/>
        <v>0</v>
      </c>
      <c r="O157" s="306">
        <f t="shared" si="27"/>
        <v>0</v>
      </c>
      <c r="P157" s="443">
        <f t="shared" si="23"/>
        <v>0</v>
      </c>
      <c r="Q157" s="321">
        <v>0</v>
      </c>
      <c r="R157" s="310">
        <f ca="1">SUM(R158:R164)</f>
        <v>0</v>
      </c>
      <c r="S157" s="378" t="str">
        <f t="shared" ca="1" si="24"/>
        <v>0,00%</v>
      </c>
      <c r="T157" s="509">
        <v>0</v>
      </c>
      <c r="U157" s="467">
        <v>0</v>
      </c>
      <c r="V157" s="467">
        <v>0</v>
      </c>
      <c r="W157" s="307">
        <v>0</v>
      </c>
      <c r="X157" s="307">
        <v>0</v>
      </c>
      <c r="Y157" s="86">
        <v>0</v>
      </c>
      <c r="Z157" s="155">
        <v>0</v>
      </c>
      <c r="AA157" s="155">
        <v>0</v>
      </c>
      <c r="AB157" s="155">
        <f>SUM(AB158:AB164)</f>
        <v>0</v>
      </c>
      <c r="AC157" s="86">
        <v>0</v>
      </c>
      <c r="AD157" s="86">
        <v>0</v>
      </c>
      <c r="AE157" s="86">
        <v>0</v>
      </c>
      <c r="AF157" s="155">
        <v>0</v>
      </c>
      <c r="AG157" s="86">
        <v>0</v>
      </c>
      <c r="AH157" s="155">
        <v>0</v>
      </c>
      <c r="AI157" s="86">
        <v>0</v>
      </c>
      <c r="AJ157" s="86">
        <v>0</v>
      </c>
      <c r="AK157" s="86">
        <f>SUM(AK158:AK164)</f>
        <v>0</v>
      </c>
      <c r="AL157" s="86">
        <v>0</v>
      </c>
      <c r="AM157" s="86">
        <v>0</v>
      </c>
      <c r="AN157" s="1139"/>
      <c r="AO157" s="156"/>
      <c r="AP157" s="156"/>
      <c r="AQ157" s="156"/>
      <c r="AR157" s="156"/>
      <c r="AS157" s="156"/>
      <c r="AT157" s="156"/>
      <c r="AU157" s="156"/>
      <c r="AV157" s="156"/>
      <c r="AW157" s="1140"/>
      <c r="AX157" s="1197"/>
      <c r="AY157" s="148"/>
      <c r="AZ157" s="151"/>
      <c r="BA157" s="151"/>
      <c r="BB157" s="1172"/>
      <c r="BC157" s="151"/>
      <c r="BD157" s="151"/>
      <c r="BE157" s="1171"/>
      <c r="BF157" s="1171"/>
      <c r="BG157" s="1171"/>
      <c r="BH157" s="1171"/>
      <c r="BI157" s="1171"/>
      <c r="BJ157" s="932"/>
      <c r="BK157" s="156"/>
      <c r="BL157" s="594"/>
      <c r="BM157" s="594"/>
      <c r="BN157" s="594"/>
      <c r="BO157" s="594"/>
      <c r="BQ157" s="156"/>
      <c r="BR157" s="594"/>
      <c r="BS157" s="594"/>
      <c r="BT157" s="594"/>
      <c r="BU157" s="594"/>
      <c r="BV157" s="156"/>
      <c r="BW157" s="158"/>
      <c r="CB157" s="152"/>
      <c r="CC157" s="152"/>
    </row>
    <row r="158" spans="1:81" s="320" customFormat="1" ht="15" hidden="1" customHeight="1" x14ac:dyDescent="0.25">
      <c r="A158" s="329"/>
      <c r="B158" s="952" t="s">
        <v>834</v>
      </c>
      <c r="C158" s="955"/>
      <c r="D158" s="33"/>
      <c r="E158" s="933"/>
      <c r="F158" s="316"/>
      <c r="G158" s="315" t="s">
        <v>837</v>
      </c>
      <c r="H158" s="501" t="s">
        <v>836</v>
      </c>
      <c r="I158" s="246">
        <v>0</v>
      </c>
      <c r="J158" s="317">
        <v>0</v>
      </c>
      <c r="K158" s="317">
        <f ca="1">SUMIF(T$3:$AM147,"ok",T158:AM158)</f>
        <v>0</v>
      </c>
      <c r="L158" s="379">
        <f t="shared" ca="1" si="25"/>
        <v>0</v>
      </c>
      <c r="M158" s="319">
        <v>0</v>
      </c>
      <c r="N158" s="379">
        <f t="shared" si="26"/>
        <v>0</v>
      </c>
      <c r="O158" s="317">
        <f t="shared" si="27"/>
        <v>0</v>
      </c>
      <c r="P158" s="445">
        <f t="shared" si="23"/>
        <v>0</v>
      </c>
      <c r="Q158" s="249">
        <v>0</v>
      </c>
      <c r="R158" s="326">
        <f ca="1">SUMIF(T$3:$AM147,"SI",T158:AM158)</f>
        <v>0</v>
      </c>
      <c r="S158" s="379" t="str">
        <f t="shared" ca="1" si="24"/>
        <v>0,00%</v>
      </c>
      <c r="T158" s="326">
        <v>0</v>
      </c>
      <c r="U158" s="468">
        <v>0</v>
      </c>
      <c r="V158" s="468">
        <v>0</v>
      </c>
      <c r="W158" s="249">
        <v>0</v>
      </c>
      <c r="X158" s="249">
        <v>0</v>
      </c>
      <c r="Y158" s="249">
        <v>0</v>
      </c>
      <c r="Z158" s="249">
        <v>0</v>
      </c>
      <c r="AA158" s="175">
        <v>0</v>
      </c>
      <c r="AB158" s="175">
        <v>0</v>
      </c>
      <c r="AC158" s="175">
        <v>0</v>
      </c>
      <c r="AD158" s="175">
        <v>0</v>
      </c>
      <c r="AE158" s="175">
        <v>0</v>
      </c>
      <c r="AF158" s="175">
        <v>0</v>
      </c>
      <c r="AG158" s="249">
        <v>0</v>
      </c>
      <c r="AH158" s="249">
        <v>0</v>
      </c>
      <c r="AI158" s="175">
        <v>0</v>
      </c>
      <c r="AJ158" s="249">
        <v>0</v>
      </c>
      <c r="AK158" s="175">
        <v>0</v>
      </c>
      <c r="AL158" s="175">
        <v>0</v>
      </c>
      <c r="AM158" s="175">
        <v>0</v>
      </c>
      <c r="AN158" s="1139"/>
      <c r="AO158" s="156"/>
      <c r="AP158" s="156"/>
      <c r="AQ158" s="156"/>
      <c r="AR158" s="156"/>
      <c r="AS158" s="156"/>
      <c r="AT158" s="156"/>
      <c r="AU158" s="156"/>
      <c r="AV158" s="156"/>
      <c r="AW158" s="1140"/>
      <c r="AX158" s="1197"/>
      <c r="AY158" s="148"/>
      <c r="AZ158" s="151"/>
      <c r="BA158" s="151"/>
      <c r="BB158" s="1172"/>
      <c r="BC158" s="151"/>
      <c r="BD158" s="151"/>
      <c r="BE158" s="1171"/>
      <c r="BF158" s="1171"/>
      <c r="BG158" s="1171"/>
      <c r="BH158" s="1171"/>
      <c r="BI158" s="151"/>
      <c r="BJ158" s="156"/>
      <c r="BK158" s="156"/>
      <c r="BL158" s="594"/>
      <c r="BM158" s="594"/>
      <c r="BN158" s="594"/>
      <c r="BO158" s="594"/>
      <c r="BP158" s="185"/>
      <c r="BQ158" s="156"/>
      <c r="BR158" s="594"/>
      <c r="BS158" s="594"/>
      <c r="BT158" s="594"/>
      <c r="BU158" s="594"/>
      <c r="BV158" s="156"/>
      <c r="BW158" s="158"/>
      <c r="BX158" s="185"/>
      <c r="BY158" s="185"/>
      <c r="BZ158" s="185"/>
      <c r="CA158" s="185"/>
      <c r="CB158" s="159"/>
      <c r="CC158" s="159"/>
    </row>
    <row r="159" spans="1:81" s="320" customFormat="1" ht="15" hidden="1" customHeight="1" x14ac:dyDescent="0.25">
      <c r="A159" s="329"/>
      <c r="B159" s="952" t="s">
        <v>944</v>
      </c>
      <c r="C159" s="955"/>
      <c r="D159" s="967"/>
      <c r="E159" s="33"/>
      <c r="F159" s="254"/>
      <c r="G159" s="315" t="s">
        <v>299</v>
      </c>
      <c r="H159" s="471" t="s">
        <v>602</v>
      </c>
      <c r="I159" s="246">
        <v>0</v>
      </c>
      <c r="J159" s="317">
        <v>0</v>
      </c>
      <c r="K159" s="317">
        <f ca="1">SUMIF(T$3:$AM148,"ok",T159:AM159)</f>
        <v>0</v>
      </c>
      <c r="L159" s="379">
        <f t="shared" ca="1" si="25"/>
        <v>0</v>
      </c>
      <c r="M159" s="319">
        <v>0</v>
      </c>
      <c r="N159" s="379">
        <f t="shared" si="26"/>
        <v>0</v>
      </c>
      <c r="O159" s="317">
        <f t="shared" si="27"/>
        <v>0</v>
      </c>
      <c r="P159" s="445">
        <f t="shared" si="23"/>
        <v>0</v>
      </c>
      <c r="Q159" s="249">
        <v>0</v>
      </c>
      <c r="R159" s="326">
        <f ca="1">SUMIF(T$3:$AM148,"SI",T159:AM159)</f>
        <v>0</v>
      </c>
      <c r="S159" s="379" t="str">
        <f t="shared" ca="1" si="24"/>
        <v>0,00%</v>
      </c>
      <c r="T159" s="326">
        <v>0</v>
      </c>
      <c r="U159" s="468">
        <v>0</v>
      </c>
      <c r="V159" s="468">
        <v>0</v>
      </c>
      <c r="W159" s="249">
        <v>0</v>
      </c>
      <c r="X159" s="249">
        <v>0</v>
      </c>
      <c r="Y159" s="249">
        <v>0</v>
      </c>
      <c r="Z159" s="249">
        <v>0</v>
      </c>
      <c r="AA159" s="175">
        <v>0</v>
      </c>
      <c r="AB159" s="175">
        <v>0</v>
      </c>
      <c r="AC159" s="175">
        <v>0</v>
      </c>
      <c r="AD159" s="175">
        <v>0</v>
      </c>
      <c r="AE159" s="175">
        <v>0</v>
      </c>
      <c r="AF159" s="175">
        <v>0</v>
      </c>
      <c r="AG159" s="249">
        <v>0</v>
      </c>
      <c r="AH159" s="249">
        <v>0</v>
      </c>
      <c r="AI159" s="175">
        <v>0</v>
      </c>
      <c r="AJ159" s="249">
        <v>0</v>
      </c>
      <c r="AK159" s="249">
        <v>0</v>
      </c>
      <c r="AL159" s="175">
        <v>0</v>
      </c>
      <c r="AM159" s="175">
        <v>0</v>
      </c>
      <c r="AN159" s="1139"/>
      <c r="AO159" s="156"/>
      <c r="AP159" s="156"/>
      <c r="AQ159" s="156"/>
      <c r="AR159" s="156"/>
      <c r="AS159" s="156"/>
      <c r="AT159" s="156"/>
      <c r="AU159" s="156"/>
      <c r="AV159" s="156"/>
      <c r="AW159" s="1140"/>
      <c r="AX159" s="1197"/>
      <c r="AY159" s="148"/>
      <c r="AZ159" s="151"/>
      <c r="BA159" s="151"/>
      <c r="BB159" s="1172"/>
      <c r="BC159" s="151"/>
      <c r="BD159" s="151"/>
      <c r="BE159" s="1171"/>
      <c r="BF159" s="1171"/>
      <c r="BG159" s="1171"/>
      <c r="BH159" s="1171"/>
      <c r="BI159" s="151"/>
      <c r="BJ159" s="156"/>
      <c r="BK159" s="156"/>
      <c r="BL159" s="594"/>
      <c r="BM159" s="594"/>
      <c r="BN159" s="594"/>
      <c r="BO159" s="594"/>
      <c r="BP159" s="185"/>
      <c r="BQ159" s="156"/>
      <c r="BR159" s="594"/>
      <c r="BS159" s="594"/>
      <c r="BT159" s="594"/>
      <c r="BU159" s="594"/>
      <c r="BV159" s="156"/>
      <c r="BW159" s="158"/>
      <c r="BX159" s="185"/>
      <c r="BY159" s="185"/>
      <c r="BZ159" s="185"/>
      <c r="CA159" s="185"/>
      <c r="CB159" s="159"/>
      <c r="CC159" s="159"/>
    </row>
    <row r="160" spans="1:81" s="320" customFormat="1" ht="15" hidden="1" customHeight="1" x14ac:dyDescent="0.25">
      <c r="A160" s="329"/>
      <c r="B160" s="952" t="s">
        <v>945</v>
      </c>
      <c r="C160" s="955"/>
      <c r="D160" s="967"/>
      <c r="E160" s="33"/>
      <c r="F160" s="254"/>
      <c r="G160" s="315" t="s">
        <v>306</v>
      </c>
      <c r="H160" s="471" t="s">
        <v>607</v>
      </c>
      <c r="I160" s="246">
        <v>0</v>
      </c>
      <c r="J160" s="317">
        <v>0</v>
      </c>
      <c r="K160" s="317">
        <f ca="1">SUMIF(T$3:$AM149,"ok",T160:AM160)</f>
        <v>0</v>
      </c>
      <c r="L160" s="379">
        <f t="shared" ca="1" si="25"/>
        <v>0</v>
      </c>
      <c r="M160" s="319">
        <v>0</v>
      </c>
      <c r="N160" s="379">
        <f t="shared" si="26"/>
        <v>0</v>
      </c>
      <c r="O160" s="317">
        <f t="shared" si="27"/>
        <v>0</v>
      </c>
      <c r="P160" s="445">
        <f t="shared" si="23"/>
        <v>0</v>
      </c>
      <c r="Q160" s="249">
        <v>0</v>
      </c>
      <c r="R160" s="326">
        <f ca="1">SUMIF(T$3:$AM149,"SI",T160:AM160)</f>
        <v>0</v>
      </c>
      <c r="S160" s="379" t="str">
        <f t="shared" ca="1" si="24"/>
        <v>0,00%</v>
      </c>
      <c r="T160" s="326">
        <v>0</v>
      </c>
      <c r="U160" s="468">
        <v>0</v>
      </c>
      <c r="V160" s="468">
        <v>0</v>
      </c>
      <c r="W160" s="249">
        <v>0</v>
      </c>
      <c r="X160" s="249">
        <v>0</v>
      </c>
      <c r="Y160" s="249">
        <v>0</v>
      </c>
      <c r="Z160" s="249">
        <v>0</v>
      </c>
      <c r="AA160" s="175">
        <v>0</v>
      </c>
      <c r="AB160" s="175">
        <v>0</v>
      </c>
      <c r="AC160" s="175">
        <v>0</v>
      </c>
      <c r="AD160" s="175">
        <v>0</v>
      </c>
      <c r="AE160" s="175">
        <v>0</v>
      </c>
      <c r="AF160" s="175">
        <v>0</v>
      </c>
      <c r="AG160" s="249">
        <v>0</v>
      </c>
      <c r="AH160" s="249">
        <v>0</v>
      </c>
      <c r="AI160" s="175">
        <v>0</v>
      </c>
      <c r="AJ160" s="249">
        <v>0</v>
      </c>
      <c r="AK160" s="175">
        <v>0</v>
      </c>
      <c r="AL160" s="175">
        <v>0</v>
      </c>
      <c r="AM160" s="175">
        <v>0</v>
      </c>
      <c r="AN160" s="1139"/>
      <c r="AO160" s="156"/>
      <c r="AP160" s="156"/>
      <c r="AQ160" s="156"/>
      <c r="AR160" s="156"/>
      <c r="AS160" s="156"/>
      <c r="AT160" s="156"/>
      <c r="AU160" s="156"/>
      <c r="AV160" s="156"/>
      <c r="AW160" s="1140"/>
      <c r="AX160" s="1197"/>
      <c r="AY160" s="148"/>
      <c r="AZ160" s="151"/>
      <c r="BA160" s="151"/>
      <c r="BB160" s="1172"/>
      <c r="BC160" s="151"/>
      <c r="BD160" s="151"/>
      <c r="BE160" s="1171"/>
      <c r="BF160" s="1171"/>
      <c r="BG160" s="1171"/>
      <c r="BH160" s="1171"/>
      <c r="BI160" s="151"/>
      <c r="BJ160" s="156"/>
      <c r="BK160" s="156"/>
      <c r="BL160" s="594"/>
      <c r="BM160" s="594"/>
      <c r="BN160" s="594"/>
      <c r="BO160" s="594"/>
      <c r="BP160" s="185"/>
      <c r="BQ160" s="156"/>
      <c r="BR160" s="594"/>
      <c r="BS160" s="594"/>
      <c r="BT160" s="594"/>
      <c r="BU160" s="594"/>
      <c r="BV160" s="156"/>
      <c r="BW160" s="158"/>
      <c r="BX160" s="185"/>
      <c r="BY160" s="185"/>
      <c r="BZ160" s="185"/>
      <c r="CA160" s="185"/>
      <c r="CB160" s="159"/>
      <c r="CC160" s="159"/>
    </row>
    <row r="161" spans="1:81" s="320" customFormat="1" ht="15" hidden="1" customHeight="1" x14ac:dyDescent="0.25">
      <c r="A161" s="329"/>
      <c r="B161" s="952" t="s">
        <v>946</v>
      </c>
      <c r="C161" s="955"/>
      <c r="D161" s="967"/>
      <c r="E161" s="33"/>
      <c r="F161" s="254"/>
      <c r="G161" s="315" t="s">
        <v>326</v>
      </c>
      <c r="H161" s="471" t="s">
        <v>673</v>
      </c>
      <c r="I161" s="246">
        <v>0</v>
      </c>
      <c r="J161" s="317">
        <v>0</v>
      </c>
      <c r="K161" s="317">
        <f ca="1">SUMIF(T$3:$AM152,"ok",T161:AM161)</f>
        <v>0</v>
      </c>
      <c r="L161" s="379">
        <f t="shared" ca="1" si="25"/>
        <v>0</v>
      </c>
      <c r="M161" s="319">
        <v>0</v>
      </c>
      <c r="N161" s="379">
        <f t="shared" si="26"/>
        <v>0</v>
      </c>
      <c r="O161" s="317">
        <f t="shared" si="27"/>
        <v>0</v>
      </c>
      <c r="P161" s="445">
        <f t="shared" si="23"/>
        <v>0</v>
      </c>
      <c r="Q161" s="249">
        <v>0</v>
      </c>
      <c r="R161" s="326">
        <f ca="1">SUMIF(T$3:$AM152,"SI",T161:AM161)</f>
        <v>0</v>
      </c>
      <c r="S161" s="379" t="str">
        <f t="shared" ca="1" si="24"/>
        <v>0,00%</v>
      </c>
      <c r="T161" s="326">
        <v>0</v>
      </c>
      <c r="U161" s="468">
        <v>0</v>
      </c>
      <c r="V161" s="468">
        <v>0</v>
      </c>
      <c r="W161" s="249">
        <v>0</v>
      </c>
      <c r="X161" s="249">
        <v>0</v>
      </c>
      <c r="Y161" s="249">
        <v>0</v>
      </c>
      <c r="Z161" s="249">
        <v>0</v>
      </c>
      <c r="AA161" s="175">
        <v>0</v>
      </c>
      <c r="AB161" s="175">
        <v>0</v>
      </c>
      <c r="AC161" s="175">
        <v>0</v>
      </c>
      <c r="AD161" s="175">
        <v>0</v>
      </c>
      <c r="AE161" s="175">
        <v>0</v>
      </c>
      <c r="AF161" s="175">
        <v>0</v>
      </c>
      <c r="AG161" s="249">
        <v>0</v>
      </c>
      <c r="AH161" s="249">
        <v>0</v>
      </c>
      <c r="AI161" s="175">
        <v>0</v>
      </c>
      <c r="AJ161" s="249">
        <v>0</v>
      </c>
      <c r="AK161" s="175">
        <v>0</v>
      </c>
      <c r="AL161" s="175">
        <v>0</v>
      </c>
      <c r="AM161" s="175">
        <v>0</v>
      </c>
      <c r="AN161" s="1139"/>
      <c r="AO161" s="156"/>
      <c r="AP161" s="156"/>
      <c r="AQ161" s="156"/>
      <c r="AR161" s="156"/>
      <c r="AS161" s="156"/>
      <c r="AT161" s="156"/>
      <c r="AU161" s="156"/>
      <c r="AV161" s="156"/>
      <c r="AW161" s="1140"/>
      <c r="AX161" s="1197"/>
      <c r="AY161" s="148"/>
      <c r="AZ161" s="151"/>
      <c r="BA161" s="151"/>
      <c r="BB161" s="1172"/>
      <c r="BC161" s="151"/>
      <c r="BD161" s="151"/>
      <c r="BE161" s="1171"/>
      <c r="BF161" s="1171"/>
      <c r="BG161" s="1171"/>
      <c r="BH161" s="1171"/>
      <c r="BI161" s="151"/>
      <c r="BJ161" s="156"/>
      <c r="BK161" s="156"/>
      <c r="BL161" s="594"/>
      <c r="BM161" s="594"/>
      <c r="BN161" s="594"/>
      <c r="BO161" s="594"/>
      <c r="BP161" s="185"/>
      <c r="BQ161" s="156"/>
      <c r="BR161" s="594"/>
      <c r="BS161" s="594"/>
      <c r="BT161" s="594"/>
      <c r="BU161" s="594"/>
      <c r="BV161" s="156"/>
      <c r="BW161" s="158"/>
      <c r="BX161" s="185"/>
      <c r="BY161" s="185"/>
      <c r="BZ161" s="185"/>
      <c r="CA161" s="185"/>
      <c r="CB161" s="159"/>
      <c r="CC161" s="159"/>
    </row>
    <row r="162" spans="1:81" s="320" customFormat="1" ht="15" hidden="1" customHeight="1" x14ac:dyDescent="0.25">
      <c r="A162" s="329"/>
      <c r="B162" s="952" t="s">
        <v>947</v>
      </c>
      <c r="C162" s="955"/>
      <c r="D162" s="967"/>
      <c r="E162" s="33"/>
      <c r="F162" s="254"/>
      <c r="G162" s="315" t="s">
        <v>672</v>
      </c>
      <c r="H162" s="471" t="s">
        <v>674</v>
      </c>
      <c r="I162" s="246">
        <v>0</v>
      </c>
      <c r="J162" s="317">
        <v>0</v>
      </c>
      <c r="K162" s="317">
        <f ca="1">SUMIF(T$3:$AM154,"ok",T162:AM162)</f>
        <v>0</v>
      </c>
      <c r="L162" s="379">
        <f t="shared" ca="1" si="25"/>
        <v>0</v>
      </c>
      <c r="M162" s="319">
        <v>0</v>
      </c>
      <c r="N162" s="379">
        <f t="shared" si="26"/>
        <v>0</v>
      </c>
      <c r="O162" s="317">
        <f t="shared" si="27"/>
        <v>0</v>
      </c>
      <c r="P162" s="445">
        <f t="shared" si="23"/>
        <v>0</v>
      </c>
      <c r="Q162" s="249">
        <v>0</v>
      </c>
      <c r="R162" s="326">
        <f ca="1">SUMIF(T$3:$AM154,"SI",T162:AM162)</f>
        <v>0</v>
      </c>
      <c r="S162" s="379" t="str">
        <f t="shared" ca="1" si="24"/>
        <v>0,00%</v>
      </c>
      <c r="T162" s="326">
        <v>0</v>
      </c>
      <c r="U162" s="468">
        <v>0</v>
      </c>
      <c r="V162" s="468">
        <v>0</v>
      </c>
      <c r="W162" s="249">
        <v>0</v>
      </c>
      <c r="X162" s="249">
        <v>0</v>
      </c>
      <c r="Y162" s="249">
        <v>0</v>
      </c>
      <c r="Z162" s="249">
        <v>0</v>
      </c>
      <c r="AA162" s="175">
        <v>0</v>
      </c>
      <c r="AB162" s="175">
        <v>0</v>
      </c>
      <c r="AC162" s="175">
        <v>0</v>
      </c>
      <c r="AD162" s="175">
        <v>0</v>
      </c>
      <c r="AE162" s="175">
        <v>0</v>
      </c>
      <c r="AF162" s="175">
        <v>0</v>
      </c>
      <c r="AG162" s="249">
        <v>0</v>
      </c>
      <c r="AH162" s="249">
        <v>0</v>
      </c>
      <c r="AI162" s="175">
        <v>0</v>
      </c>
      <c r="AJ162" s="249">
        <v>0</v>
      </c>
      <c r="AK162" s="175">
        <v>0</v>
      </c>
      <c r="AL162" s="175">
        <v>0</v>
      </c>
      <c r="AM162" s="175">
        <v>0</v>
      </c>
      <c r="AN162" s="1139"/>
      <c r="AO162" s="156"/>
      <c r="AP162" s="156"/>
      <c r="AQ162" s="156"/>
      <c r="AR162" s="156"/>
      <c r="AS162" s="156"/>
      <c r="AT162" s="156"/>
      <c r="AU162" s="156"/>
      <c r="AV162" s="156"/>
      <c r="AW162" s="1140"/>
      <c r="AX162" s="1197"/>
      <c r="AY162" s="148"/>
      <c r="AZ162" s="151"/>
      <c r="BA162" s="151"/>
      <c r="BB162" s="1172"/>
      <c r="BC162" s="151"/>
      <c r="BD162" s="151"/>
      <c r="BE162" s="1171"/>
      <c r="BF162" s="1171"/>
      <c r="BG162" s="1171"/>
      <c r="BH162" s="1171"/>
      <c r="BI162" s="151"/>
      <c r="BJ162" s="156"/>
      <c r="BK162" s="156"/>
      <c r="BL162" s="594"/>
      <c r="BM162" s="594"/>
      <c r="BN162" s="594"/>
      <c r="BO162" s="594"/>
      <c r="BP162" s="185"/>
      <c r="BQ162" s="156"/>
      <c r="BR162" s="594"/>
      <c r="BS162" s="594"/>
      <c r="BT162" s="594"/>
      <c r="BU162" s="594"/>
      <c r="BV162" s="156"/>
      <c r="BW162" s="158"/>
      <c r="BX162" s="185"/>
      <c r="BY162" s="185"/>
      <c r="BZ162" s="185"/>
      <c r="CA162" s="185"/>
      <c r="CB162" s="159"/>
      <c r="CC162" s="159"/>
    </row>
    <row r="163" spans="1:81" s="320" customFormat="1" ht="15" hidden="1" customHeight="1" x14ac:dyDescent="0.25">
      <c r="A163" s="329"/>
      <c r="B163" s="952" t="s">
        <v>948</v>
      </c>
      <c r="C163" s="955"/>
      <c r="D163" s="967"/>
      <c r="E163" s="33"/>
      <c r="F163" s="254"/>
      <c r="G163" s="315" t="s">
        <v>764</v>
      </c>
      <c r="H163" s="471" t="s">
        <v>742</v>
      </c>
      <c r="I163" s="246">
        <v>0</v>
      </c>
      <c r="J163" s="317">
        <v>0</v>
      </c>
      <c r="K163" s="317">
        <f ca="1">SUMIF(T$3:$AM155,"ok",T163:AM163)</f>
        <v>0</v>
      </c>
      <c r="L163" s="379">
        <f t="shared" ca="1" si="25"/>
        <v>0</v>
      </c>
      <c r="M163" s="319">
        <v>0</v>
      </c>
      <c r="N163" s="379">
        <f t="shared" si="26"/>
        <v>0</v>
      </c>
      <c r="O163" s="317">
        <f t="shared" si="27"/>
        <v>0</v>
      </c>
      <c r="P163" s="445">
        <f t="shared" si="23"/>
        <v>0</v>
      </c>
      <c r="Q163" s="249">
        <v>0</v>
      </c>
      <c r="R163" s="326">
        <f ca="1">SUMIF(T$3:$AM155,"SI",T163:AM163)</f>
        <v>0</v>
      </c>
      <c r="S163" s="379" t="str">
        <f t="shared" ca="1" si="24"/>
        <v>0,00%</v>
      </c>
      <c r="T163" s="326">
        <v>0</v>
      </c>
      <c r="U163" s="468">
        <v>0</v>
      </c>
      <c r="V163" s="468">
        <v>0</v>
      </c>
      <c r="W163" s="249">
        <v>0</v>
      </c>
      <c r="X163" s="249">
        <v>0</v>
      </c>
      <c r="Y163" s="249">
        <v>0</v>
      </c>
      <c r="Z163" s="249">
        <v>0</v>
      </c>
      <c r="AA163" s="175">
        <v>0</v>
      </c>
      <c r="AB163" s="175">
        <v>0</v>
      </c>
      <c r="AC163" s="175">
        <v>0</v>
      </c>
      <c r="AD163" s="175">
        <v>0</v>
      </c>
      <c r="AE163" s="175">
        <v>0</v>
      </c>
      <c r="AF163" s="175">
        <v>0</v>
      </c>
      <c r="AG163" s="249">
        <v>0</v>
      </c>
      <c r="AH163" s="249">
        <v>0</v>
      </c>
      <c r="AI163" s="175">
        <v>0</v>
      </c>
      <c r="AJ163" s="249">
        <v>0</v>
      </c>
      <c r="AK163" s="175">
        <v>0</v>
      </c>
      <c r="AL163" s="175">
        <v>0</v>
      </c>
      <c r="AM163" s="175">
        <v>0</v>
      </c>
      <c r="AN163" s="1139"/>
      <c r="AO163" s="156"/>
      <c r="AP163" s="156"/>
      <c r="AQ163" s="156"/>
      <c r="AR163" s="156"/>
      <c r="AS163" s="156"/>
      <c r="AT163" s="156"/>
      <c r="AU163" s="156"/>
      <c r="AV163" s="156"/>
      <c r="AW163" s="1140"/>
      <c r="AX163" s="1197"/>
      <c r="AY163" s="148"/>
      <c r="AZ163" s="151"/>
      <c r="BA163" s="151"/>
      <c r="BB163" s="1172"/>
      <c r="BC163" s="151"/>
      <c r="BD163" s="151"/>
      <c r="BE163" s="1171"/>
      <c r="BF163" s="1171"/>
      <c r="BG163" s="1171"/>
      <c r="BH163" s="1171"/>
      <c r="BI163" s="151"/>
      <c r="BJ163" s="156"/>
      <c r="BK163" s="156"/>
      <c r="BL163" s="594"/>
      <c r="BM163" s="594"/>
      <c r="BN163" s="594"/>
      <c r="BO163" s="594"/>
      <c r="BP163" s="185"/>
      <c r="BQ163" s="156"/>
      <c r="BR163" s="594"/>
      <c r="BS163" s="594"/>
      <c r="BT163" s="594"/>
      <c r="BU163" s="594"/>
      <c r="BV163" s="156"/>
      <c r="BW163" s="158"/>
      <c r="BX163" s="185"/>
      <c r="BY163" s="185"/>
      <c r="BZ163" s="185"/>
      <c r="CA163" s="185"/>
      <c r="CB163" s="159"/>
      <c r="CC163" s="159"/>
    </row>
    <row r="164" spans="1:81" s="320" customFormat="1" ht="15" hidden="1" customHeight="1" x14ac:dyDescent="0.25">
      <c r="A164" s="329"/>
      <c r="B164" s="952" t="s">
        <v>949</v>
      </c>
      <c r="C164" s="955"/>
      <c r="D164" s="967"/>
      <c r="E164" s="33"/>
      <c r="F164" s="254"/>
      <c r="G164" s="315" t="s">
        <v>765</v>
      </c>
      <c r="H164" s="471" t="s">
        <v>743</v>
      </c>
      <c r="I164" s="246">
        <v>0</v>
      </c>
      <c r="J164" s="317">
        <v>0</v>
      </c>
      <c r="K164" s="317">
        <f ca="1">SUMIF(T$3:$AM156,"ok",T164:AM164)</f>
        <v>0</v>
      </c>
      <c r="L164" s="379">
        <f t="shared" ca="1" si="25"/>
        <v>0</v>
      </c>
      <c r="M164" s="319">
        <v>0</v>
      </c>
      <c r="N164" s="379">
        <f t="shared" si="26"/>
        <v>0</v>
      </c>
      <c r="O164" s="317">
        <f t="shared" si="27"/>
        <v>0</v>
      </c>
      <c r="P164" s="445">
        <f t="shared" si="23"/>
        <v>0</v>
      </c>
      <c r="Q164" s="249">
        <v>0</v>
      </c>
      <c r="R164" s="326">
        <f ca="1">SUMIF(T$3:$AM156,"SI",T164:AM164)</f>
        <v>0</v>
      </c>
      <c r="S164" s="379" t="str">
        <f t="shared" ca="1" si="24"/>
        <v>0,00%</v>
      </c>
      <c r="T164" s="326">
        <v>0</v>
      </c>
      <c r="U164" s="468">
        <v>0</v>
      </c>
      <c r="V164" s="468">
        <v>0</v>
      </c>
      <c r="W164" s="249">
        <v>0</v>
      </c>
      <c r="X164" s="249">
        <v>0</v>
      </c>
      <c r="Y164" s="249">
        <v>0</v>
      </c>
      <c r="Z164" s="249">
        <v>0</v>
      </c>
      <c r="AA164" s="175">
        <v>0</v>
      </c>
      <c r="AB164" s="175">
        <v>0</v>
      </c>
      <c r="AC164" s="175">
        <v>0</v>
      </c>
      <c r="AD164" s="175">
        <v>0</v>
      </c>
      <c r="AE164" s="175">
        <v>0</v>
      </c>
      <c r="AF164" s="175">
        <v>0</v>
      </c>
      <c r="AG164" s="249">
        <v>0</v>
      </c>
      <c r="AH164" s="249">
        <v>0</v>
      </c>
      <c r="AI164" s="175">
        <v>0</v>
      </c>
      <c r="AJ164" s="249">
        <v>0</v>
      </c>
      <c r="AK164" s="175">
        <v>0</v>
      </c>
      <c r="AL164" s="175">
        <v>0</v>
      </c>
      <c r="AM164" s="175">
        <v>0</v>
      </c>
      <c r="AN164" s="1139"/>
      <c r="AO164" s="156"/>
      <c r="AP164" s="156"/>
      <c r="AQ164" s="156"/>
      <c r="AR164" s="156"/>
      <c r="AS164" s="156"/>
      <c r="AT164" s="156"/>
      <c r="AU164" s="156"/>
      <c r="AV164" s="156"/>
      <c r="AW164" s="1140"/>
      <c r="AX164" s="1197"/>
      <c r="AY164" s="148"/>
      <c r="AZ164" s="151"/>
      <c r="BA164" s="151"/>
      <c r="BB164" s="1172"/>
      <c r="BC164" s="151"/>
      <c r="BD164" s="151"/>
      <c r="BE164" s="1171"/>
      <c r="BF164" s="1171"/>
      <c r="BG164" s="1171"/>
      <c r="BH164" s="1171"/>
      <c r="BI164" s="151"/>
      <c r="BJ164" s="156"/>
      <c r="BK164" s="156"/>
      <c r="BL164" s="594"/>
      <c r="BM164" s="594"/>
      <c r="BN164" s="594"/>
      <c r="BO164" s="594"/>
      <c r="BP164" s="185"/>
      <c r="BQ164" s="156"/>
      <c r="BR164" s="594"/>
      <c r="BS164" s="594"/>
      <c r="BT164" s="594"/>
      <c r="BU164" s="594"/>
      <c r="BV164" s="156"/>
      <c r="BW164" s="158"/>
      <c r="BX164" s="185"/>
      <c r="BY164" s="185"/>
      <c r="BZ164" s="185"/>
      <c r="CA164" s="185"/>
      <c r="CB164" s="159"/>
      <c r="CC164" s="159"/>
    </row>
    <row r="165" spans="1:81" s="320" customFormat="1" ht="15" customHeight="1" x14ac:dyDescent="0.25">
      <c r="A165" s="329"/>
      <c r="B165" s="952" t="s">
        <v>396</v>
      </c>
      <c r="C165" s="497" t="s">
        <v>2</v>
      </c>
      <c r="D165" s="967" t="s">
        <v>163</v>
      </c>
      <c r="E165" s="33"/>
      <c r="F165" s="33"/>
      <c r="G165" s="33"/>
      <c r="H165" s="990" t="s">
        <v>303</v>
      </c>
      <c r="I165" s="991">
        <f>+'P01 2025'!F125</f>
        <v>10</v>
      </c>
      <c r="J165" s="992">
        <f>+'P01 2025'!DE136</f>
        <v>595010</v>
      </c>
      <c r="K165" s="992">
        <f ca="1">SUMIF(T$3:$AM157,"ok",T165:AM165)</f>
        <v>195000</v>
      </c>
      <c r="L165" s="993">
        <f t="shared" ca="1" si="25"/>
        <v>0.32772558444395894</v>
      </c>
      <c r="M165" s="994">
        <f>+'P01 2025'!DG136</f>
        <v>195000</v>
      </c>
      <c r="N165" s="993">
        <f t="shared" si="26"/>
        <v>0.32772558444395894</v>
      </c>
      <c r="O165" s="992">
        <f t="shared" si="27"/>
        <v>400010</v>
      </c>
      <c r="P165" s="995">
        <f t="shared" si="23"/>
        <v>0.67227441555604106</v>
      </c>
      <c r="Q165" s="996">
        <f>+'P01 2024'!DJ128</f>
        <v>747904.87800000003</v>
      </c>
      <c r="R165" s="997">
        <f ca="1">SUM(R166:R174)</f>
        <v>466580.113082</v>
      </c>
      <c r="S165" s="993">
        <f t="shared" ca="1" si="24"/>
        <v>0.62384953863344095</v>
      </c>
      <c r="T165" s="326">
        <f>+'P01 2025'!G125</f>
        <v>0</v>
      </c>
      <c r="U165" s="593">
        <f>+'P01 2024'!K124</f>
        <v>5147.666518</v>
      </c>
      <c r="V165" s="593">
        <v>0</v>
      </c>
      <c r="W165" s="144">
        <f>+'P01 2024'!Q77</f>
        <v>4206.0673859999997</v>
      </c>
      <c r="X165" s="144">
        <v>0</v>
      </c>
      <c r="Y165" s="175">
        <f>+'P01 2024'!AE95</f>
        <v>8084.2548839999999</v>
      </c>
      <c r="Z165" s="249">
        <v>0</v>
      </c>
      <c r="AA165" s="175">
        <f>+'P01 2024'!AT85</f>
        <v>6576.5111019999995</v>
      </c>
      <c r="AB165" s="998">
        <f>SUM(AB166:AB174)</f>
        <v>0</v>
      </c>
      <c r="AC165" s="998">
        <f>+'P01 2024'!BI79</f>
        <v>5571.6167220000007</v>
      </c>
      <c r="AD165" s="998">
        <v>0</v>
      </c>
      <c r="AE165" s="998">
        <f>+'P01 2024'!BX94</f>
        <v>6031.3908860000001</v>
      </c>
      <c r="AF165" s="998">
        <v>0</v>
      </c>
      <c r="AG165" s="175">
        <f>+'P01 2024'!CM102</f>
        <v>7620.5742620000001</v>
      </c>
      <c r="AH165" s="175">
        <f>+'P01 2025'!CX87</f>
        <v>195000</v>
      </c>
      <c r="AI165" s="175">
        <f>+'P01 2024'!DB99</f>
        <v>423342.03132200002</v>
      </c>
      <c r="AJ165" s="175">
        <f>+'P01 2024'!DR94</f>
        <v>6232.0649999999996</v>
      </c>
      <c r="AK165" s="175">
        <f>SUM(AK166:AK174)</f>
        <v>8223.634</v>
      </c>
      <c r="AL165" s="175">
        <f>+'P01 2024'!ET91</f>
        <v>9565.768</v>
      </c>
      <c r="AM165" s="175">
        <f>+'P01 2024'!FL111</f>
        <v>218292.16800000001</v>
      </c>
      <c r="AN165" s="1194"/>
      <c r="AO165" s="151"/>
      <c r="AP165" s="151"/>
      <c r="AQ165" s="151"/>
      <c r="AR165" s="151"/>
      <c r="AS165" s="151"/>
      <c r="AT165" s="151"/>
      <c r="AU165" s="151"/>
      <c r="AV165" s="151"/>
      <c r="AW165" s="1195"/>
      <c r="AX165" s="1196"/>
      <c r="AY165" s="148"/>
      <c r="AZ165" s="151"/>
      <c r="BA165" s="151"/>
      <c r="BB165" s="1172"/>
      <c r="BC165" s="151"/>
      <c r="BD165" s="151"/>
      <c r="BE165" s="1171"/>
      <c r="BF165" s="1171"/>
      <c r="BG165" s="1171"/>
      <c r="BH165" s="1171"/>
      <c r="BI165" s="1171"/>
      <c r="BJ165" s="932"/>
      <c r="BK165" s="156"/>
      <c r="BL165" s="594"/>
      <c r="BM165" s="594"/>
      <c r="BN165" s="594"/>
      <c r="BO165" s="594"/>
      <c r="BP165" s="185"/>
      <c r="BQ165" s="156"/>
      <c r="BR165" s="594"/>
      <c r="BS165" s="594"/>
      <c r="BT165" s="594"/>
      <c r="BU165" s="594"/>
      <c r="BV165" s="156"/>
      <c r="BW165" s="158"/>
      <c r="BX165" s="185"/>
      <c r="BY165" s="185"/>
      <c r="BZ165" s="185"/>
      <c r="CA165" s="185"/>
      <c r="CB165" s="159"/>
      <c r="CC165" s="159"/>
    </row>
    <row r="166" spans="1:81" s="1009" customFormat="1" ht="15" customHeight="1" x14ac:dyDescent="0.25">
      <c r="A166" s="1002"/>
      <c r="B166" s="1010" t="s">
        <v>574</v>
      </c>
      <c r="C166" s="955"/>
      <c r="D166" s="794"/>
      <c r="E166" s="968" t="s">
        <v>191</v>
      </c>
      <c r="F166" s="927"/>
      <c r="G166" s="1199" t="str">
        <f t="shared" ref="G166:G175" si="28">+CONCATENATE($C$156,"",$D$165,"",E166)</f>
        <v>24.03.024</v>
      </c>
      <c r="H166" s="471" t="s">
        <v>237</v>
      </c>
      <c r="I166" s="246">
        <f>+'P01 2025'!F126</f>
        <v>10</v>
      </c>
      <c r="J166" s="317">
        <f>+'P01 2025'!DE137</f>
        <v>10</v>
      </c>
      <c r="K166" s="246">
        <f ca="1">SUMIF(T$3:$AM158,"ok",T166:AM166)</f>
        <v>0</v>
      </c>
      <c r="L166" s="379">
        <f t="shared" ca="1" si="25"/>
        <v>0</v>
      </c>
      <c r="M166" s="319">
        <f>+'P01 2025'!DG137</f>
        <v>0</v>
      </c>
      <c r="N166" s="379">
        <f t="shared" si="26"/>
        <v>0</v>
      </c>
      <c r="O166" s="317">
        <f t="shared" si="27"/>
        <v>10</v>
      </c>
      <c r="P166" s="445">
        <f t="shared" si="23"/>
        <v>1</v>
      </c>
      <c r="Q166" s="311">
        <f>+'P01 2024'!DJ129</f>
        <v>10.42</v>
      </c>
      <c r="R166" s="311">
        <f ca="1">SUMIF(T$3:$AM157,"SI",T166:AM166)</f>
        <v>0</v>
      </c>
      <c r="S166" s="379">
        <f t="shared" ca="1" si="24"/>
        <v>0</v>
      </c>
      <c r="T166" s="326">
        <f>+'P01 2025'!G126</f>
        <v>0</v>
      </c>
      <c r="U166" s="468">
        <f>+'P01 2024'!K125</f>
        <v>0</v>
      </c>
      <c r="V166" s="468">
        <v>0</v>
      </c>
      <c r="W166" s="319">
        <v>0</v>
      </c>
      <c r="X166" s="319">
        <v>0</v>
      </c>
      <c r="Y166" s="249">
        <v>0</v>
      </c>
      <c r="Z166" s="249">
        <v>0</v>
      </c>
      <c r="AA166" s="175">
        <v>0</v>
      </c>
      <c r="AB166" s="175">
        <v>0</v>
      </c>
      <c r="AC166" s="175">
        <v>0</v>
      </c>
      <c r="AD166" s="175">
        <v>0</v>
      </c>
      <c r="AE166" s="175">
        <v>0</v>
      </c>
      <c r="AF166" s="175">
        <v>0</v>
      </c>
      <c r="AG166" s="175">
        <v>0</v>
      </c>
      <c r="AH166" s="249">
        <v>0</v>
      </c>
      <c r="AI166" s="175">
        <v>0</v>
      </c>
      <c r="AJ166" s="1006">
        <v>0</v>
      </c>
      <c r="AK166" s="998">
        <v>0</v>
      </c>
      <c r="AL166" s="998">
        <v>0</v>
      </c>
      <c r="AM166" s="998">
        <v>0</v>
      </c>
      <c r="AN166" s="1200"/>
      <c r="AO166" s="1171"/>
      <c r="AP166" s="1171"/>
      <c r="AQ166" s="1171"/>
      <c r="AR166" s="1171"/>
      <c r="AS166" s="1171"/>
      <c r="AT166" s="1171"/>
      <c r="AU166" s="1171"/>
      <c r="AV166" s="1171"/>
      <c r="AW166" s="1201"/>
      <c r="AX166" s="1202"/>
      <c r="AY166" s="1203"/>
      <c r="AZ166" s="1171"/>
      <c r="BA166" s="1171"/>
      <c r="BB166" s="1204"/>
      <c r="BC166" s="1171"/>
      <c r="BD166" s="1171"/>
      <c r="BE166" s="1171"/>
      <c r="BF166" s="1171"/>
      <c r="BG166" s="1171"/>
      <c r="BH166" s="1171"/>
      <c r="BI166" s="1171"/>
      <c r="BJ166" s="932"/>
      <c r="BK166" s="932"/>
      <c r="BL166" s="1138"/>
      <c r="BM166" s="1138"/>
      <c r="BN166" s="1138"/>
      <c r="BO166" s="1138"/>
      <c r="BP166" s="604"/>
      <c r="BQ166" s="932"/>
      <c r="BR166" s="1138"/>
      <c r="BS166" s="1138"/>
      <c r="BT166" s="1138"/>
      <c r="BU166" s="1138"/>
      <c r="BV166" s="932"/>
      <c r="BW166" s="1205"/>
      <c r="BX166" s="1205"/>
      <c r="BY166" s="1205"/>
      <c r="BZ166" s="1205"/>
      <c r="CA166" s="604"/>
      <c r="CB166" s="1206"/>
      <c r="CC166" s="1206"/>
    </row>
    <row r="167" spans="1:81" s="1009" customFormat="1" ht="15" hidden="1" customHeight="1" x14ac:dyDescent="0.25">
      <c r="A167" s="1002"/>
      <c r="B167" s="1010" t="s">
        <v>860</v>
      </c>
      <c r="C167" s="955"/>
      <c r="D167" s="794"/>
      <c r="E167" s="968" t="s">
        <v>192</v>
      </c>
      <c r="F167" s="927"/>
      <c r="G167" s="1199" t="str">
        <f t="shared" si="28"/>
        <v>24.03.025</v>
      </c>
      <c r="H167" s="471" t="s">
        <v>864</v>
      </c>
      <c r="I167" s="246">
        <v>0</v>
      </c>
      <c r="J167" s="317">
        <v>0</v>
      </c>
      <c r="K167" s="317">
        <f ca="1">SUMIF(T$3:$AM159,"ok",T167:AM167)</f>
        <v>0</v>
      </c>
      <c r="L167" s="379">
        <f t="shared" ca="1" si="25"/>
        <v>0</v>
      </c>
      <c r="M167" s="319">
        <v>0</v>
      </c>
      <c r="N167" s="379">
        <f t="shared" si="26"/>
        <v>0</v>
      </c>
      <c r="O167" s="317">
        <f t="shared" si="27"/>
        <v>0</v>
      </c>
      <c r="P167" s="445">
        <f t="shared" si="23"/>
        <v>0</v>
      </c>
      <c r="Q167" s="311">
        <f>+'P01 2024'!DJ130</f>
        <v>156300</v>
      </c>
      <c r="R167" s="311">
        <f ca="1">SUMIF(T$3:$AM158,"SI",T167:AM167)</f>
        <v>0</v>
      </c>
      <c r="S167" s="379">
        <f t="shared" ca="1" si="24"/>
        <v>0</v>
      </c>
      <c r="T167" s="326">
        <v>0</v>
      </c>
      <c r="U167" s="468">
        <v>0</v>
      </c>
      <c r="V167" s="468">
        <v>0</v>
      </c>
      <c r="W167" s="319">
        <v>0</v>
      </c>
      <c r="X167" s="319">
        <v>0</v>
      </c>
      <c r="Y167" s="249">
        <v>0</v>
      </c>
      <c r="Z167" s="249">
        <v>0</v>
      </c>
      <c r="AA167" s="319">
        <v>0</v>
      </c>
      <c r="AB167" s="175">
        <v>0</v>
      </c>
      <c r="AC167" s="319">
        <v>0</v>
      </c>
      <c r="AD167" s="175">
        <v>0</v>
      </c>
      <c r="AE167" s="175">
        <v>0</v>
      </c>
      <c r="AF167" s="175">
        <v>0</v>
      </c>
      <c r="AG167" s="175">
        <v>0</v>
      </c>
      <c r="AH167" s="249">
        <v>0</v>
      </c>
      <c r="AI167" s="319">
        <v>0</v>
      </c>
      <c r="AJ167" s="994">
        <v>0</v>
      </c>
      <c r="AK167" s="994">
        <v>0</v>
      </c>
      <c r="AL167" s="994">
        <v>0</v>
      </c>
      <c r="AM167" s="994">
        <f>+'P01 2024'!FL112</f>
        <v>150000</v>
      </c>
      <c r="AN167" s="1207"/>
      <c r="AO167" s="932"/>
      <c r="AP167" s="932"/>
      <c r="AQ167" s="932"/>
      <c r="AR167" s="932"/>
      <c r="AS167" s="932"/>
      <c r="AT167" s="932"/>
      <c r="AU167" s="932"/>
      <c r="AV167" s="932"/>
      <c r="AW167" s="1208"/>
      <c r="AX167" s="1209"/>
      <c r="AY167" s="1203"/>
      <c r="AZ167" s="1171"/>
      <c r="BA167" s="1171"/>
      <c r="BB167" s="1204"/>
      <c r="BC167" s="1171"/>
      <c r="BD167" s="1171"/>
      <c r="BE167" s="1171"/>
      <c r="BF167" s="1171"/>
      <c r="BG167" s="1171"/>
      <c r="BH167" s="1171"/>
      <c r="BI167" s="1171"/>
      <c r="BJ167" s="932"/>
      <c r="BK167" s="932"/>
      <c r="BL167" s="1138"/>
      <c r="BM167" s="1138"/>
      <c r="BN167" s="1138"/>
      <c r="BO167" s="1138"/>
      <c r="BP167" s="604"/>
      <c r="BQ167" s="932"/>
      <c r="BR167" s="1138"/>
      <c r="BS167" s="1138"/>
      <c r="BT167" s="1138"/>
      <c r="BU167" s="1138"/>
      <c r="BV167" s="932"/>
      <c r="BW167" s="1205"/>
      <c r="BX167" s="604"/>
      <c r="BY167" s="604"/>
      <c r="BZ167" s="604"/>
      <c r="CA167" s="604"/>
      <c r="CB167" s="1206"/>
      <c r="CC167" s="1206"/>
    </row>
    <row r="168" spans="1:81" s="1002" customFormat="1" ht="15" hidden="1" customHeight="1" x14ac:dyDescent="0.25">
      <c r="B168" s="1010" t="s">
        <v>903</v>
      </c>
      <c r="C168" s="955"/>
      <c r="D168" s="794"/>
      <c r="E168" s="969" t="s">
        <v>777</v>
      </c>
      <c r="F168" s="33"/>
      <c r="G168" s="1199" t="str">
        <f t="shared" si="28"/>
        <v>24.03.027</v>
      </c>
      <c r="H168" s="471" t="s">
        <v>908</v>
      </c>
      <c r="I168" s="246">
        <v>0</v>
      </c>
      <c r="J168" s="317">
        <v>0</v>
      </c>
      <c r="K168" s="317">
        <f ca="1">SUMIF(T$3:$AM160,"ok",T168:AM168)</f>
        <v>0</v>
      </c>
      <c r="L168" s="379">
        <f t="shared" ca="1" si="25"/>
        <v>0</v>
      </c>
      <c r="M168" s="319">
        <v>0</v>
      </c>
      <c r="N168" s="379">
        <f t="shared" si="26"/>
        <v>0</v>
      </c>
      <c r="O168" s="317">
        <f t="shared" si="27"/>
        <v>0</v>
      </c>
      <c r="P168" s="445">
        <f t="shared" si="23"/>
        <v>0</v>
      </c>
      <c r="Q168" s="311">
        <f>+'P01 2024'!DJ131</f>
        <v>57310</v>
      </c>
      <c r="R168" s="144">
        <f ca="1">SUMIF(T$3:$AM159,"SI",T168:AM168)</f>
        <v>0</v>
      </c>
      <c r="S168" s="379">
        <f t="shared" ca="1" si="24"/>
        <v>0</v>
      </c>
      <c r="T168" s="326">
        <v>0</v>
      </c>
      <c r="U168" s="279">
        <v>0</v>
      </c>
      <c r="V168" s="468">
        <v>0</v>
      </c>
      <c r="W168" s="330">
        <v>0</v>
      </c>
      <c r="X168" s="330">
        <v>0</v>
      </c>
      <c r="Y168" s="175">
        <v>0</v>
      </c>
      <c r="Z168" s="249">
        <v>0</v>
      </c>
      <c r="AA168" s="175">
        <v>0</v>
      </c>
      <c r="AB168" s="175">
        <v>0</v>
      </c>
      <c r="AC168" s="175">
        <v>0</v>
      </c>
      <c r="AD168" s="175">
        <v>0</v>
      </c>
      <c r="AE168" s="175">
        <v>0</v>
      </c>
      <c r="AF168" s="175">
        <v>0</v>
      </c>
      <c r="AG168" s="175">
        <v>0</v>
      </c>
      <c r="AH168" s="249">
        <v>0</v>
      </c>
      <c r="AI168" s="175">
        <v>0</v>
      </c>
      <c r="AJ168" s="998">
        <v>0</v>
      </c>
      <c r="AK168" s="998">
        <v>0</v>
      </c>
      <c r="AL168" s="998">
        <v>0</v>
      </c>
      <c r="AM168" s="994">
        <f>+'P01 2024'!FL113</f>
        <v>55000</v>
      </c>
      <c r="AN168" s="1207"/>
      <c r="AO168" s="932"/>
      <c r="AP168" s="932"/>
      <c r="AQ168" s="932"/>
      <c r="AR168" s="932"/>
      <c r="AS168" s="932"/>
      <c r="AT168" s="932"/>
      <c r="AU168" s="932"/>
      <c r="AV168" s="932"/>
      <c r="AW168" s="1208"/>
      <c r="AX168" s="1209"/>
      <c r="AY168" s="1203"/>
      <c r="AZ168" s="1171"/>
      <c r="BA168" s="1171"/>
      <c r="BB168" s="1204"/>
      <c r="BC168" s="1171"/>
      <c r="BD168" s="1171"/>
      <c r="BE168" s="1171"/>
      <c r="BF168" s="1171"/>
      <c r="BG168" s="1171"/>
      <c r="BH168" s="1171"/>
      <c r="BI168" s="1171"/>
      <c r="BJ168" s="932"/>
      <c r="BK168" s="932"/>
      <c r="BL168" s="1138"/>
      <c r="BM168" s="1138"/>
      <c r="BN168" s="1138"/>
      <c r="BO168" s="1138"/>
      <c r="BP168" s="604"/>
      <c r="BQ168" s="932"/>
      <c r="BR168" s="1138"/>
      <c r="BS168" s="1138"/>
      <c r="BT168" s="1138"/>
      <c r="BU168" s="1138"/>
      <c r="BV168" s="932"/>
      <c r="BW168" s="1205"/>
      <c r="BX168" s="604"/>
      <c r="BY168" s="604"/>
      <c r="BZ168" s="604"/>
      <c r="CA168" s="1210"/>
      <c r="CB168" s="1211"/>
      <c r="CC168" s="1211"/>
    </row>
    <row r="169" spans="1:81" s="1009" customFormat="1" ht="15" hidden="1" customHeight="1" x14ac:dyDescent="0.25">
      <c r="A169" s="1002"/>
      <c r="B169" s="1010" t="s">
        <v>861</v>
      </c>
      <c r="C169" s="955"/>
      <c r="D169" s="794"/>
      <c r="E169" s="968" t="s">
        <v>866</v>
      </c>
      <c r="F169" s="927"/>
      <c r="G169" s="1199" t="str">
        <f t="shared" si="28"/>
        <v>24.03.030</v>
      </c>
      <c r="H169" s="471" t="s">
        <v>865</v>
      </c>
      <c r="I169" s="246">
        <v>0</v>
      </c>
      <c r="J169" s="317">
        <v>0</v>
      </c>
      <c r="K169" s="317">
        <f ca="1">SUMIF(T$3:$AM161,"ok",T169:AM169)</f>
        <v>0</v>
      </c>
      <c r="L169" s="379">
        <f t="shared" ca="1" si="25"/>
        <v>0</v>
      </c>
      <c r="M169" s="319">
        <v>0</v>
      </c>
      <c r="N169" s="379">
        <f t="shared" si="26"/>
        <v>0</v>
      </c>
      <c r="O169" s="317">
        <f t="shared" si="27"/>
        <v>0</v>
      </c>
      <c r="P169" s="445">
        <f t="shared" si="23"/>
        <v>0</v>
      </c>
      <c r="Q169" s="249">
        <v>0</v>
      </c>
      <c r="R169" s="311">
        <f ca="1">SUMIF(T$3:$AM160,"SI",T169:AM169)</f>
        <v>0</v>
      </c>
      <c r="S169" s="379" t="str">
        <f t="shared" ca="1" si="24"/>
        <v>0,00%</v>
      </c>
      <c r="T169" s="326">
        <v>0</v>
      </c>
      <c r="U169" s="468">
        <v>0</v>
      </c>
      <c r="V169" s="468">
        <v>0</v>
      </c>
      <c r="W169" s="319">
        <v>0</v>
      </c>
      <c r="X169" s="319">
        <v>0</v>
      </c>
      <c r="Y169" s="249">
        <v>0</v>
      </c>
      <c r="Z169" s="249">
        <v>0</v>
      </c>
      <c r="AA169" s="175">
        <v>0</v>
      </c>
      <c r="AB169" s="175">
        <v>0</v>
      </c>
      <c r="AC169" s="175">
        <v>0</v>
      </c>
      <c r="AD169" s="175">
        <v>0</v>
      </c>
      <c r="AE169" s="175">
        <v>0</v>
      </c>
      <c r="AF169" s="175">
        <v>0</v>
      </c>
      <c r="AG169" s="175">
        <v>0</v>
      </c>
      <c r="AH169" s="249">
        <v>0</v>
      </c>
      <c r="AI169" s="175">
        <v>0</v>
      </c>
      <c r="AJ169" s="998">
        <v>0</v>
      </c>
      <c r="AK169" s="998">
        <v>0</v>
      </c>
      <c r="AL169" s="998">
        <v>0</v>
      </c>
      <c r="AM169" s="998">
        <v>0</v>
      </c>
      <c r="AN169" s="1207"/>
      <c r="AO169" s="932"/>
      <c r="AP169" s="932"/>
      <c r="AQ169" s="932"/>
      <c r="AR169" s="932"/>
      <c r="AS169" s="932"/>
      <c r="AT169" s="932"/>
      <c r="AU169" s="932"/>
      <c r="AV169" s="932"/>
      <c r="AW169" s="1208"/>
      <c r="AX169" s="1209"/>
      <c r="AY169" s="1203"/>
      <c r="AZ169" s="1171"/>
      <c r="BA169" s="1171"/>
      <c r="BB169" s="1204"/>
      <c r="BC169" s="1171"/>
      <c r="BD169" s="1171"/>
      <c r="BE169" s="1171"/>
      <c r="BF169" s="1171"/>
      <c r="BG169" s="1171"/>
      <c r="BH169" s="1171"/>
      <c r="BI169" s="1171"/>
      <c r="BJ169" s="932"/>
      <c r="BK169" s="932"/>
      <c r="BL169" s="1138"/>
      <c r="BM169" s="1138"/>
      <c r="BN169" s="1138"/>
      <c r="BO169" s="1138"/>
      <c r="BP169" s="604"/>
      <c r="BQ169" s="932"/>
      <c r="BR169" s="1138"/>
      <c r="BS169" s="1138"/>
      <c r="BT169" s="1138"/>
      <c r="BU169" s="1138"/>
      <c r="BV169" s="932"/>
      <c r="BW169" s="1205"/>
      <c r="BX169" s="604"/>
      <c r="BY169" s="604"/>
      <c r="BZ169" s="604"/>
      <c r="CA169" s="604"/>
      <c r="CB169" s="1206"/>
      <c r="CC169" s="1206"/>
    </row>
    <row r="170" spans="1:81" s="1009" customFormat="1" ht="15" customHeight="1" x14ac:dyDescent="0.25">
      <c r="A170" s="1002"/>
      <c r="B170" s="1010" t="s">
        <v>904</v>
      </c>
      <c r="C170" s="955"/>
      <c r="D170" s="794"/>
      <c r="E170" s="968" t="s">
        <v>909</v>
      </c>
      <c r="F170" s="927"/>
      <c r="G170" s="1199" t="str">
        <f t="shared" si="28"/>
        <v>24.03.043</v>
      </c>
      <c r="H170" s="471" t="s">
        <v>910</v>
      </c>
      <c r="I170" s="246">
        <v>0</v>
      </c>
      <c r="J170" s="317">
        <f>+'P01 2025'!DE138</f>
        <v>400000</v>
      </c>
      <c r="K170" s="317">
        <f ca="1">SUMIF(T$3:$AM162,"ok",T170:AM170)</f>
        <v>0</v>
      </c>
      <c r="L170" s="379">
        <f t="shared" ca="1" si="25"/>
        <v>0</v>
      </c>
      <c r="M170" s="319">
        <f>+'P01 2025'!DG138</f>
        <v>0</v>
      </c>
      <c r="N170" s="379">
        <f t="shared" si="26"/>
        <v>0</v>
      </c>
      <c r="O170" s="317">
        <f t="shared" si="27"/>
        <v>400000</v>
      </c>
      <c r="P170" s="445">
        <f t="shared" si="23"/>
        <v>1</v>
      </c>
      <c r="Q170" s="249">
        <f>+'P01 2024'!DJ132</f>
        <v>416800</v>
      </c>
      <c r="R170" s="311">
        <f ca="1">SUMIF(T$3:$AM161,"SI",T170:AM170)</f>
        <v>416800</v>
      </c>
      <c r="S170" s="379">
        <f t="shared" ca="1" si="24"/>
        <v>1</v>
      </c>
      <c r="T170" s="326">
        <v>0</v>
      </c>
      <c r="U170" s="468">
        <v>0</v>
      </c>
      <c r="V170" s="468">
        <v>0</v>
      </c>
      <c r="W170" s="319"/>
      <c r="X170" s="319">
        <v>0</v>
      </c>
      <c r="Y170" s="249"/>
      <c r="Z170" s="249">
        <v>0</v>
      </c>
      <c r="AA170" s="175">
        <v>0</v>
      </c>
      <c r="AB170" s="175">
        <v>0</v>
      </c>
      <c r="AC170" s="175">
        <v>0</v>
      </c>
      <c r="AD170" s="175">
        <v>0</v>
      </c>
      <c r="AE170" s="175">
        <v>0</v>
      </c>
      <c r="AF170" s="175">
        <v>0</v>
      </c>
      <c r="AG170" s="175">
        <v>0</v>
      </c>
      <c r="AH170" s="249">
        <v>0</v>
      </c>
      <c r="AI170" s="175">
        <f>+'P01 2024'!DB100</f>
        <v>416800</v>
      </c>
      <c r="AJ170" s="998">
        <v>0</v>
      </c>
      <c r="AK170" s="998">
        <v>0</v>
      </c>
      <c r="AL170" s="998">
        <v>0</v>
      </c>
      <c r="AM170" s="998">
        <v>0</v>
      </c>
      <c r="AN170" s="1200"/>
      <c r="AO170" s="1171"/>
      <c r="AP170" s="1171"/>
      <c r="AQ170" s="1171"/>
      <c r="AR170" s="1171"/>
      <c r="AS170" s="1171"/>
      <c r="AT170" s="1171"/>
      <c r="AU170" s="1171"/>
      <c r="AV170" s="1171"/>
      <c r="AW170" s="1201"/>
      <c r="AX170" s="1202"/>
      <c r="AY170" s="1203"/>
      <c r="AZ170" s="1171"/>
      <c r="BA170" s="1171"/>
      <c r="BB170" s="1204"/>
      <c r="BC170" s="1171"/>
      <c r="BD170" s="1171"/>
      <c r="BE170" s="1171"/>
      <c r="BF170" s="1171"/>
      <c r="BG170" s="1171"/>
      <c r="BH170" s="1171"/>
      <c r="BI170" s="1171"/>
      <c r="BJ170" s="932"/>
      <c r="BK170" s="932"/>
      <c r="BL170" s="1138"/>
      <c r="BM170" s="1138"/>
      <c r="BN170" s="1138"/>
      <c r="BO170" s="1138"/>
      <c r="BP170" s="604"/>
      <c r="BQ170" s="932"/>
      <c r="BR170" s="1138"/>
      <c r="BS170" s="1138"/>
      <c r="BT170" s="1138"/>
      <c r="BU170" s="1138"/>
      <c r="BV170" s="932"/>
      <c r="BW170" s="1205"/>
      <c r="BX170" s="604"/>
      <c r="BY170" s="604"/>
      <c r="BZ170" s="604"/>
      <c r="CA170" s="604"/>
      <c r="CB170" s="1206"/>
      <c r="CC170" s="1206"/>
    </row>
    <row r="171" spans="1:81" s="1009" customFormat="1" ht="15" hidden="1" customHeight="1" x14ac:dyDescent="0.25">
      <c r="A171" s="1002"/>
      <c r="B171" s="1010" t="s">
        <v>950</v>
      </c>
      <c r="C171" s="955" t="s">
        <v>325</v>
      </c>
      <c r="D171" s="794"/>
      <c r="E171" s="968" t="s">
        <v>694</v>
      </c>
      <c r="F171" s="927"/>
      <c r="G171" s="1199" t="str">
        <f t="shared" si="28"/>
        <v>24.03.105</v>
      </c>
      <c r="H171" s="328" t="s">
        <v>743</v>
      </c>
      <c r="I171" s="246">
        <v>0</v>
      </c>
      <c r="J171" s="317">
        <v>0</v>
      </c>
      <c r="K171" s="317">
        <f ca="1">SUMIF(T$3:$AM163,"ok",T171:AM171)</f>
        <v>0</v>
      </c>
      <c r="L171" s="379">
        <f t="shared" ca="1" si="25"/>
        <v>0</v>
      </c>
      <c r="M171" s="319">
        <v>0</v>
      </c>
      <c r="N171" s="379">
        <f t="shared" si="26"/>
        <v>0</v>
      </c>
      <c r="O171" s="317">
        <f t="shared" si="27"/>
        <v>0</v>
      </c>
      <c r="P171" s="445">
        <f t="shared" si="23"/>
        <v>0</v>
      </c>
      <c r="Q171" s="249">
        <v>0</v>
      </c>
      <c r="R171" s="311">
        <f ca="1">SUMIF(T$3:$AM162,"SI",T171:AM171)</f>
        <v>0</v>
      </c>
      <c r="S171" s="379" t="str">
        <f t="shared" ca="1" si="24"/>
        <v>0,00%</v>
      </c>
      <c r="T171" s="326">
        <v>0</v>
      </c>
      <c r="U171" s="468">
        <v>0</v>
      </c>
      <c r="V171" s="468">
        <v>0</v>
      </c>
      <c r="W171" s="319">
        <v>0</v>
      </c>
      <c r="X171" s="319">
        <v>0</v>
      </c>
      <c r="Y171" s="249">
        <v>0</v>
      </c>
      <c r="Z171" s="249">
        <v>0</v>
      </c>
      <c r="AA171" s="175">
        <v>0</v>
      </c>
      <c r="AB171" s="175">
        <v>0</v>
      </c>
      <c r="AC171" s="175">
        <v>0</v>
      </c>
      <c r="AD171" s="175">
        <v>0</v>
      </c>
      <c r="AE171" s="175">
        <v>0</v>
      </c>
      <c r="AF171" s="175">
        <v>0</v>
      </c>
      <c r="AG171" s="175">
        <v>0</v>
      </c>
      <c r="AH171" s="249">
        <v>0</v>
      </c>
      <c r="AI171" s="175">
        <v>0</v>
      </c>
      <c r="AJ171" s="1006">
        <v>0</v>
      </c>
      <c r="AK171" s="998">
        <v>0</v>
      </c>
      <c r="AL171" s="998">
        <v>0</v>
      </c>
      <c r="AM171" s="1212">
        <v>0</v>
      </c>
      <c r="AN171" s="1207"/>
      <c r="AO171" s="932"/>
      <c r="AP171" s="932"/>
      <c r="AQ171" s="932"/>
      <c r="AR171" s="932"/>
      <c r="AS171" s="932"/>
      <c r="AT171" s="932"/>
      <c r="AU171" s="932"/>
      <c r="AV171" s="932"/>
      <c r="AW171" s="1208"/>
      <c r="AX171" s="1209"/>
      <c r="AY171" s="1203"/>
      <c r="AZ171" s="1171"/>
      <c r="BA171" s="1171"/>
      <c r="BB171" s="1204"/>
      <c r="BC171" s="1171"/>
      <c r="BD171" s="1171"/>
      <c r="BE171" s="1171"/>
      <c r="BF171" s="1171"/>
      <c r="BG171" s="1171"/>
      <c r="BH171" s="1171"/>
      <c r="BI171" s="1171"/>
      <c r="BJ171" s="932"/>
      <c r="BK171" s="932"/>
      <c r="BL171" s="1138"/>
      <c r="BM171" s="1138"/>
      <c r="BN171" s="1138"/>
      <c r="BO171" s="1138"/>
      <c r="BP171" s="604"/>
      <c r="BQ171" s="932"/>
      <c r="BR171" s="1138"/>
      <c r="BS171" s="1138"/>
      <c r="BT171" s="1138"/>
      <c r="BU171" s="1138"/>
      <c r="BV171" s="932"/>
      <c r="BW171" s="1205"/>
      <c r="BX171" s="604"/>
      <c r="BY171" s="604"/>
      <c r="BZ171" s="604"/>
      <c r="CA171" s="604"/>
      <c r="CB171" s="1206"/>
      <c r="CC171" s="1206"/>
    </row>
    <row r="172" spans="1:81" s="1009" customFormat="1" ht="15" hidden="1" customHeight="1" x14ac:dyDescent="0.25">
      <c r="A172" s="1002"/>
      <c r="B172" s="1010" t="s">
        <v>499</v>
      </c>
      <c r="C172" s="955" t="s">
        <v>2</v>
      </c>
      <c r="D172" s="794"/>
      <c r="E172" s="968" t="s">
        <v>252</v>
      </c>
      <c r="F172" s="927"/>
      <c r="G172" s="1199" t="str">
        <f t="shared" si="28"/>
        <v>24.03.409</v>
      </c>
      <c r="H172" s="471" t="s">
        <v>256</v>
      </c>
      <c r="I172" s="248">
        <v>0</v>
      </c>
      <c r="J172" s="317">
        <v>0</v>
      </c>
      <c r="K172" s="317">
        <f ca="1">SUMIF(T$3:$AM164,"ok",T172:AM172)</f>
        <v>0</v>
      </c>
      <c r="L172" s="379">
        <f t="shared" ca="1" si="25"/>
        <v>0</v>
      </c>
      <c r="M172" s="319">
        <v>0</v>
      </c>
      <c r="N172" s="379">
        <f t="shared" si="26"/>
        <v>0</v>
      </c>
      <c r="O172" s="317">
        <f t="shared" si="27"/>
        <v>0</v>
      </c>
      <c r="P172" s="445">
        <f t="shared" si="23"/>
        <v>0</v>
      </c>
      <c r="Q172" s="249">
        <f>+'P01 2024'!DJ133</f>
        <v>117484.458</v>
      </c>
      <c r="R172" s="311">
        <f ca="1">SUMIF(T$3:$AM162,"SI",T172:AM172)</f>
        <v>49780.113082000011</v>
      </c>
      <c r="S172" s="379">
        <f t="shared" ca="1" si="24"/>
        <v>0.42371658285217617</v>
      </c>
      <c r="T172" s="326">
        <v>0</v>
      </c>
      <c r="U172" s="468">
        <f>+'P01 2024'!K126</f>
        <v>5147.666518</v>
      </c>
      <c r="V172" s="468">
        <v>0</v>
      </c>
      <c r="W172" s="175">
        <f>+'P01 2024'!Q78</f>
        <v>4206.0673859999997</v>
      </c>
      <c r="X172" s="175">
        <v>0</v>
      </c>
      <c r="Y172" s="249">
        <f>+'P01 2024'!AE96</f>
        <v>8084.2548839999999</v>
      </c>
      <c r="Z172" s="249">
        <v>0</v>
      </c>
      <c r="AA172" s="175">
        <f>+'P01 2024'!AT86</f>
        <v>6576.5111019999995</v>
      </c>
      <c r="AB172" s="175">
        <v>0</v>
      </c>
      <c r="AC172" s="249">
        <f>+'P01 2024'!BI80</f>
        <v>5571.6167220000007</v>
      </c>
      <c r="AD172" s="175">
        <v>0</v>
      </c>
      <c r="AE172" s="175">
        <f>+'P01 2024'!BX95</f>
        <v>6031.3908860000001</v>
      </c>
      <c r="AF172" s="175">
        <v>0</v>
      </c>
      <c r="AG172" s="175">
        <f>+'P01 2024'!CM103</f>
        <v>7620.5742620000001</v>
      </c>
      <c r="AH172" s="249">
        <v>0</v>
      </c>
      <c r="AI172" s="175">
        <f>+'P01 2024'!DB101</f>
        <v>6542.0313220000007</v>
      </c>
      <c r="AJ172" s="998">
        <f>+'P01 2024'!DR95</f>
        <v>6232.0649999999996</v>
      </c>
      <c r="AK172" s="998">
        <f>'P01 2024'!EG94</f>
        <v>8223.634</v>
      </c>
      <c r="AL172" s="1006">
        <f>+'P01 2024'!ET92</f>
        <v>9565.768</v>
      </c>
      <c r="AM172" s="998">
        <f>+'P01 2024'!FL114</f>
        <v>13292.168</v>
      </c>
      <c r="AN172" s="1207"/>
      <c r="AO172" s="932"/>
      <c r="AP172" s="932"/>
      <c r="AQ172" s="932"/>
      <c r="AR172" s="932"/>
      <c r="AS172" s="932"/>
      <c r="AT172" s="932"/>
      <c r="AU172" s="932"/>
      <c r="AV172" s="932"/>
      <c r="AW172" s="1208"/>
      <c r="AX172" s="1209"/>
      <c r="AY172" s="1203"/>
      <c r="AZ172" s="1171"/>
      <c r="BA172" s="1171"/>
      <c r="BB172" s="1204"/>
      <c r="BC172" s="1171"/>
      <c r="BD172" s="1171"/>
      <c r="BE172" s="1171"/>
      <c r="BF172" s="1171"/>
      <c r="BG172" s="1171"/>
      <c r="BH172" s="1171"/>
      <c r="BI172" s="1171"/>
      <c r="BJ172" s="932"/>
      <c r="BK172" s="932"/>
      <c r="BL172" s="1138"/>
      <c r="BM172" s="1138"/>
      <c r="BN172" s="1138"/>
      <c r="BO172" s="1138"/>
      <c r="BP172" s="604"/>
      <c r="BQ172" s="932"/>
      <c r="BR172" s="1138"/>
      <c r="BS172" s="1138"/>
      <c r="BT172" s="1138"/>
      <c r="BU172" s="1138"/>
      <c r="BV172" s="932"/>
      <c r="BW172" s="1205"/>
      <c r="BX172" s="604"/>
      <c r="BY172" s="604"/>
      <c r="BZ172" s="604"/>
      <c r="CA172" s="604"/>
      <c r="CB172" s="1206"/>
      <c r="CC172" s="1206"/>
    </row>
    <row r="173" spans="1:81" s="1009" customFormat="1" ht="15" hidden="1" customHeight="1" x14ac:dyDescent="0.25">
      <c r="A173" s="1002"/>
      <c r="B173" s="1010" t="s">
        <v>951</v>
      </c>
      <c r="C173" s="955"/>
      <c r="D173" s="794"/>
      <c r="E173" s="968" t="s">
        <v>773</v>
      </c>
      <c r="F173" s="927"/>
      <c r="G173" s="1199" t="str">
        <f t="shared" si="28"/>
        <v>24.03.410</v>
      </c>
      <c r="H173" s="471" t="s">
        <v>763</v>
      </c>
      <c r="I173" s="246">
        <v>0</v>
      </c>
      <c r="J173" s="317">
        <v>0</v>
      </c>
      <c r="K173" s="317">
        <f ca="1">SUMIF(T$3:$AM165,"ok",T173:AM173)</f>
        <v>0</v>
      </c>
      <c r="L173" s="379">
        <f t="shared" ca="1" si="25"/>
        <v>0</v>
      </c>
      <c r="M173" s="319">
        <v>0</v>
      </c>
      <c r="N173" s="379">
        <f t="shared" si="26"/>
        <v>0</v>
      </c>
      <c r="O173" s="317">
        <f t="shared" si="27"/>
        <v>0</v>
      </c>
      <c r="P173" s="445">
        <f t="shared" si="23"/>
        <v>0</v>
      </c>
      <c r="Q173" s="249">
        <v>0</v>
      </c>
      <c r="R173" s="311">
        <f ca="1">SUMIF(T$3:$AM163,"SI",T173:AM173)</f>
        <v>0</v>
      </c>
      <c r="S173" s="379" t="str">
        <f t="shared" ca="1" si="24"/>
        <v>0,00%</v>
      </c>
      <c r="T173" s="326">
        <v>0</v>
      </c>
      <c r="U173" s="468">
        <v>0</v>
      </c>
      <c r="V173" s="468">
        <v>0</v>
      </c>
      <c r="W173" s="175">
        <v>0</v>
      </c>
      <c r="X173" s="175">
        <v>0</v>
      </c>
      <c r="Y173" s="249">
        <v>0</v>
      </c>
      <c r="Z173" s="249">
        <v>0</v>
      </c>
      <c r="AA173" s="175">
        <v>0</v>
      </c>
      <c r="AB173" s="175">
        <v>0</v>
      </c>
      <c r="AC173" s="175">
        <v>0</v>
      </c>
      <c r="AD173" s="175">
        <v>0</v>
      </c>
      <c r="AE173" s="175">
        <v>0</v>
      </c>
      <c r="AF173" s="175">
        <v>0</v>
      </c>
      <c r="AG173" s="175">
        <v>0</v>
      </c>
      <c r="AH173" s="249">
        <v>0</v>
      </c>
      <c r="AI173" s="175">
        <v>0</v>
      </c>
      <c r="AJ173" s="1006">
        <v>0</v>
      </c>
      <c r="AK173" s="998">
        <v>0</v>
      </c>
      <c r="AL173" s="998">
        <v>0</v>
      </c>
      <c r="AM173" s="998">
        <v>0</v>
      </c>
      <c r="AN173" s="1207"/>
      <c r="AO173" s="932"/>
      <c r="AP173" s="932"/>
      <c r="AQ173" s="932"/>
      <c r="AR173" s="932"/>
      <c r="AS173" s="932"/>
      <c r="AT173" s="932"/>
      <c r="AU173" s="932"/>
      <c r="AV173" s="932"/>
      <c r="AW173" s="1208"/>
      <c r="AX173" s="1209"/>
      <c r="AY173" s="1203"/>
      <c r="AZ173" s="1203"/>
      <c r="BA173" s="1203"/>
      <c r="BB173" s="1203"/>
      <c r="BC173" s="1171"/>
      <c r="BD173" s="1171"/>
      <c r="BE173" s="1171"/>
      <c r="BF173" s="1171"/>
      <c r="BG173" s="1171"/>
      <c r="BH173" s="1171"/>
      <c r="BI173" s="1171"/>
      <c r="BJ173" s="932"/>
      <c r="BK173" s="932"/>
      <c r="BL173" s="1138"/>
      <c r="BM173" s="1138"/>
      <c r="BN173" s="1138"/>
      <c r="BO173" s="1138"/>
      <c r="BP173" s="604"/>
      <c r="BQ173" s="932"/>
      <c r="BR173" s="1138"/>
      <c r="BS173" s="1138"/>
      <c r="BT173" s="1138"/>
      <c r="BU173" s="1138"/>
      <c r="BV173" s="932"/>
      <c r="BW173" s="1205"/>
      <c r="BX173" s="604"/>
      <c r="BY173" s="604"/>
      <c r="BZ173" s="604"/>
      <c r="CA173" s="604"/>
      <c r="CB173" s="1206"/>
      <c r="CC173" s="1206"/>
    </row>
    <row r="174" spans="1:81" s="1009" customFormat="1" ht="15" hidden="1" customHeight="1" x14ac:dyDescent="0.25">
      <c r="A174" s="1002"/>
      <c r="B174" s="1010" t="s">
        <v>952</v>
      </c>
      <c r="C174" s="955" t="s">
        <v>2</v>
      </c>
      <c r="D174" s="794"/>
      <c r="E174" s="968" t="s">
        <v>253</v>
      </c>
      <c r="F174" s="927"/>
      <c r="G174" s="1199" t="str">
        <f t="shared" si="28"/>
        <v>24.03.415</v>
      </c>
      <c r="H174" s="471" t="s">
        <v>257</v>
      </c>
      <c r="I174" s="246">
        <v>0</v>
      </c>
      <c r="J174" s="317">
        <v>0</v>
      </c>
      <c r="K174" s="317">
        <f ca="1">SUMIF(T$3:$AM166,"ok",T174:AM174)</f>
        <v>0</v>
      </c>
      <c r="L174" s="379">
        <f t="shared" ca="1" si="25"/>
        <v>0</v>
      </c>
      <c r="M174" s="319">
        <v>0</v>
      </c>
      <c r="N174" s="379">
        <f t="shared" si="26"/>
        <v>0</v>
      </c>
      <c r="O174" s="317">
        <f t="shared" si="27"/>
        <v>0</v>
      </c>
      <c r="P174" s="445">
        <f t="shared" si="23"/>
        <v>0</v>
      </c>
      <c r="Q174" s="249">
        <v>0</v>
      </c>
      <c r="R174" s="311">
        <f ca="1">SUMIF(T$3:$AM164,"SI",T174:AM174)</f>
        <v>0</v>
      </c>
      <c r="S174" s="379" t="str">
        <f t="shared" ca="1" si="24"/>
        <v>0,00%</v>
      </c>
      <c r="T174" s="326">
        <v>0</v>
      </c>
      <c r="U174" s="468">
        <v>0</v>
      </c>
      <c r="V174" s="468">
        <v>0</v>
      </c>
      <c r="W174" s="175">
        <v>0</v>
      </c>
      <c r="X174" s="175">
        <v>0</v>
      </c>
      <c r="Y174" s="249">
        <v>0</v>
      </c>
      <c r="Z174" s="249">
        <v>0</v>
      </c>
      <c r="AA174" s="175">
        <v>0</v>
      </c>
      <c r="AB174" s="175">
        <v>0</v>
      </c>
      <c r="AC174" s="175">
        <v>0</v>
      </c>
      <c r="AD174" s="175">
        <v>0</v>
      </c>
      <c r="AE174" s="175">
        <v>0</v>
      </c>
      <c r="AF174" s="175">
        <v>0</v>
      </c>
      <c r="AG174" s="175">
        <v>0</v>
      </c>
      <c r="AH174" s="249">
        <v>0</v>
      </c>
      <c r="AI174" s="175">
        <v>0</v>
      </c>
      <c r="AJ174" s="1006">
        <v>0</v>
      </c>
      <c r="AK174" s="998">
        <v>0</v>
      </c>
      <c r="AL174" s="998">
        <v>0</v>
      </c>
      <c r="AM174" s="998">
        <v>0</v>
      </c>
      <c r="AN174" s="1207"/>
      <c r="AO174" s="932"/>
      <c r="AP174" s="932"/>
      <c r="AQ174" s="932"/>
      <c r="AR174" s="932"/>
      <c r="AS174" s="932"/>
      <c r="AT174" s="932"/>
      <c r="AU174" s="932"/>
      <c r="AV174" s="932"/>
      <c r="AW174" s="1208"/>
      <c r="AX174" s="1209"/>
      <c r="AY174" s="1203"/>
      <c r="AZ174" s="1171"/>
      <c r="BA174" s="1171"/>
      <c r="BB174" s="1204"/>
      <c r="BC174" s="1171"/>
      <c r="BD174" s="1171"/>
      <c r="BE174" s="1171"/>
      <c r="BF174" s="1171"/>
      <c r="BG174" s="1171"/>
      <c r="BH174" s="1171"/>
      <c r="BI174" s="1171"/>
      <c r="BJ174" s="932"/>
      <c r="BK174" s="932"/>
      <c r="BL174" s="1138"/>
      <c r="BM174" s="1138"/>
      <c r="BN174" s="1138"/>
      <c r="BO174" s="1138"/>
      <c r="BP174" s="604"/>
      <c r="BQ174" s="932"/>
      <c r="BR174" s="1138"/>
      <c r="BS174" s="1138"/>
      <c r="BT174" s="1138"/>
      <c r="BU174" s="1138"/>
      <c r="BV174" s="932"/>
      <c r="BW174" s="1205"/>
      <c r="BX174" s="604"/>
      <c r="BY174" s="604"/>
      <c r="BZ174" s="604"/>
      <c r="CA174" s="604"/>
      <c r="CB174" s="1206"/>
      <c r="CC174" s="1206"/>
    </row>
    <row r="175" spans="1:81" s="1009" customFormat="1" ht="15" customHeight="1" x14ac:dyDescent="0.25">
      <c r="A175" s="1002"/>
      <c r="B175" s="1010" t="s">
        <v>1113</v>
      </c>
      <c r="C175" s="955"/>
      <c r="D175" s="794"/>
      <c r="E175" s="968" t="s">
        <v>1120</v>
      </c>
      <c r="F175" s="927"/>
      <c r="G175" s="1199" t="str">
        <f t="shared" si="28"/>
        <v>24.03.416</v>
      </c>
      <c r="H175" s="471" t="s">
        <v>1119</v>
      </c>
      <c r="I175" s="246">
        <v>0</v>
      </c>
      <c r="J175" s="246">
        <f>+'P01 2025'!DE139</f>
        <v>195000</v>
      </c>
      <c r="K175" s="317">
        <f ca="1">SUMIF(T$3:$AM167,"ok",T175:AM175)</f>
        <v>195000</v>
      </c>
      <c r="L175" s="379">
        <f t="shared" ca="1" si="25"/>
        <v>1</v>
      </c>
      <c r="M175" s="319">
        <f>+'P01 2025'!DG139</f>
        <v>195000</v>
      </c>
      <c r="N175" s="379">
        <f t="shared" si="26"/>
        <v>1</v>
      </c>
      <c r="O175" s="317">
        <f t="shared" si="27"/>
        <v>0</v>
      </c>
      <c r="P175" s="445">
        <f>+IFERROR(O175/J175,0)</f>
        <v>0</v>
      </c>
      <c r="Q175" s="249">
        <v>0</v>
      </c>
      <c r="R175" s="311">
        <v>0</v>
      </c>
      <c r="S175" s="379" t="str">
        <f>IFERROR(R175/Q175,"0,00%")</f>
        <v>0,00%</v>
      </c>
      <c r="T175" s="326"/>
      <c r="U175" s="468"/>
      <c r="V175" s="468"/>
      <c r="W175" s="175"/>
      <c r="X175" s="175"/>
      <c r="Y175" s="249"/>
      <c r="Z175" s="249"/>
      <c r="AA175" s="175"/>
      <c r="AB175" s="175"/>
      <c r="AC175" s="175"/>
      <c r="AD175" s="175"/>
      <c r="AE175" s="175"/>
      <c r="AF175" s="175">
        <v>0</v>
      </c>
      <c r="AG175" s="175"/>
      <c r="AH175" s="175">
        <f>+'P01 2025'!CX88</f>
        <v>195000</v>
      </c>
      <c r="AI175" s="175"/>
      <c r="AJ175" s="1006"/>
      <c r="AK175" s="998"/>
      <c r="AL175" s="998"/>
      <c r="AM175" s="998"/>
      <c r="AN175" s="1200"/>
      <c r="AO175" s="1171"/>
      <c r="AP175" s="1171"/>
      <c r="AQ175" s="1171"/>
      <c r="AR175" s="1171"/>
      <c r="AS175" s="1171"/>
      <c r="AT175" s="1171"/>
      <c r="AU175" s="1171"/>
      <c r="AV175" s="1171"/>
      <c r="AW175" s="1201"/>
      <c r="AX175" s="1202"/>
      <c r="AY175" s="1203"/>
      <c r="AZ175" s="1171"/>
      <c r="BA175" s="1171"/>
      <c r="BB175" s="1204"/>
      <c r="BC175" s="1171"/>
      <c r="BD175" s="1171"/>
      <c r="BE175" s="1171"/>
      <c r="BF175" s="1171"/>
      <c r="BG175" s="1171"/>
      <c r="BH175" s="1171"/>
      <c r="BI175" s="1171"/>
      <c r="BJ175" s="932"/>
      <c r="BK175" s="932"/>
      <c r="BL175" s="1138"/>
      <c r="BM175" s="1138"/>
      <c r="BN175" s="1138"/>
      <c r="BO175" s="1138"/>
      <c r="BP175" s="604"/>
      <c r="BQ175" s="932"/>
      <c r="BR175" s="1138"/>
      <c r="BS175" s="1138"/>
      <c r="BT175" s="1138"/>
      <c r="BU175" s="1138"/>
      <c r="BV175" s="932"/>
      <c r="BW175" s="1205"/>
      <c r="BX175" s="604"/>
      <c r="BY175" s="604"/>
      <c r="BZ175" s="604"/>
      <c r="CA175" s="604"/>
      <c r="CB175" s="1206"/>
      <c r="CC175" s="1206"/>
    </row>
    <row r="176" spans="1:81" s="320" customFormat="1" ht="15" customHeight="1" x14ac:dyDescent="0.25">
      <c r="A176" s="329"/>
      <c r="B176" s="952" t="s">
        <v>470</v>
      </c>
      <c r="C176" s="497" t="s">
        <v>2</v>
      </c>
      <c r="D176" s="967" t="s">
        <v>179</v>
      </c>
      <c r="E176" s="927"/>
      <c r="F176" s="927"/>
      <c r="G176" s="927"/>
      <c r="H176" s="999" t="s">
        <v>134</v>
      </c>
      <c r="I176" s="991">
        <v>0</v>
      </c>
      <c r="J176" s="246">
        <f>+'P01 2025'!DE140</f>
        <v>702000</v>
      </c>
      <c r="K176" s="991">
        <f ca="1">SUMIF(T$3:$AM168,"ok",T176:AM176)</f>
        <v>29100</v>
      </c>
      <c r="L176" s="993">
        <f t="shared" ca="1" si="25"/>
        <v>4.1452991452991451E-2</v>
      </c>
      <c r="M176" s="319">
        <f>+'P01 2025'!DG140</f>
        <v>702000</v>
      </c>
      <c r="N176" s="993">
        <f t="shared" si="26"/>
        <v>1</v>
      </c>
      <c r="O176" s="992">
        <f t="shared" si="27"/>
        <v>0</v>
      </c>
      <c r="P176" s="995">
        <f t="shared" ref="P176:P213" si="29">+IFERROR(O176/J176,0)</f>
        <v>0</v>
      </c>
      <c r="Q176" s="996">
        <f>+'P01 2024'!DJ134</f>
        <v>872249.86400000006</v>
      </c>
      <c r="R176" s="996">
        <f ca="1">SUMIF(T$3:$AM162,"SI",T176:AM176)</f>
        <v>525465.999496</v>
      </c>
      <c r="S176" s="993">
        <f t="shared" ref="S176:S213" ca="1" si="30">IFERROR(R176/Q176,"0,00%")</f>
        <v>0.60242600335446994</v>
      </c>
      <c r="T176" s="326">
        <v>0</v>
      </c>
      <c r="U176" s="1000">
        <v>0</v>
      </c>
      <c r="V176" s="1000">
        <v>0</v>
      </c>
      <c r="W176" s="1001">
        <v>0</v>
      </c>
      <c r="X176" s="1001">
        <v>0</v>
      </c>
      <c r="Y176" s="998">
        <v>0</v>
      </c>
      <c r="Z176" s="998">
        <v>0</v>
      </c>
      <c r="AA176" s="998">
        <v>0</v>
      </c>
      <c r="AB176" s="998">
        <f>SUM(AB177:AB184)</f>
        <v>0</v>
      </c>
      <c r="AC176" s="998">
        <v>0</v>
      </c>
      <c r="AD176" s="998">
        <v>0</v>
      </c>
      <c r="AE176" s="998">
        <f>+'P01 2024'!BX96</f>
        <v>270920</v>
      </c>
      <c r="AF176" s="998">
        <v>0</v>
      </c>
      <c r="AG176" s="998">
        <f>+'P01 2024'!CM104</f>
        <v>254545.99949600003</v>
      </c>
      <c r="AH176" s="175">
        <f>+'P01 2025'!CX89</f>
        <v>29100</v>
      </c>
      <c r="AI176" s="998">
        <v>0</v>
      </c>
      <c r="AJ176" s="998">
        <v>0</v>
      </c>
      <c r="AK176" s="998">
        <f>SUM(AK177:AK183)</f>
        <v>0</v>
      </c>
      <c r="AL176" s="998">
        <v>0</v>
      </c>
      <c r="AM176" s="998">
        <f>+'P01 2024'!FL115</f>
        <v>510600</v>
      </c>
      <c r="AN176" s="1194"/>
      <c r="AO176" s="151"/>
      <c r="AP176" s="151"/>
      <c r="AQ176" s="151"/>
      <c r="AR176" s="151"/>
      <c r="AS176" s="151"/>
      <c r="AT176" s="151"/>
      <c r="AU176" s="151"/>
      <c r="AV176" s="151"/>
      <c r="AW176" s="1195"/>
      <c r="AX176" s="1196"/>
      <c r="AY176" s="148"/>
      <c r="AZ176" s="151"/>
      <c r="BA176" s="151"/>
      <c r="BB176" s="1172"/>
      <c r="BC176" s="151"/>
      <c r="BD176" s="151"/>
      <c r="BE176" s="1171"/>
      <c r="BF176" s="1171"/>
      <c r="BG176" s="1171"/>
      <c r="BH176" s="1171"/>
      <c r="BI176" s="1171"/>
      <c r="BJ176" s="932"/>
      <c r="BK176" s="156"/>
      <c r="BL176" s="594"/>
      <c r="BM176" s="594"/>
      <c r="BN176" s="594"/>
      <c r="BO176" s="594"/>
      <c r="BP176" s="185"/>
      <c r="BQ176" s="156"/>
      <c r="BR176" s="594"/>
      <c r="BS176" s="594"/>
      <c r="BT176" s="594"/>
      <c r="BU176" s="594"/>
      <c r="BV176" s="156"/>
      <c r="BW176" s="158"/>
      <c r="BX176" s="185"/>
      <c r="BY176" s="185"/>
      <c r="BZ176" s="185"/>
      <c r="CA176" s="185"/>
      <c r="CB176" s="159"/>
      <c r="CC176" s="159"/>
    </row>
    <row r="177" spans="1:81" s="320" customFormat="1" ht="15" hidden="1" customHeight="1" x14ac:dyDescent="0.25">
      <c r="A177" s="329"/>
      <c r="B177" s="952" t="s">
        <v>575</v>
      </c>
      <c r="C177" s="955"/>
      <c r="D177" s="967"/>
      <c r="E177" s="970" t="s">
        <v>677</v>
      </c>
      <c r="F177" s="331"/>
      <c r="G177" s="315" t="s">
        <v>239</v>
      </c>
      <c r="H177" s="471" t="s">
        <v>676</v>
      </c>
      <c r="I177" s="246">
        <v>0</v>
      </c>
      <c r="J177" s="317">
        <v>0</v>
      </c>
      <c r="K177" s="317">
        <f ca="1">SUMIF(T$3:$AM168,"ok",T177:AM177)</f>
        <v>0</v>
      </c>
      <c r="L177" s="379">
        <f t="shared" ca="1" si="25"/>
        <v>0</v>
      </c>
      <c r="M177" s="319">
        <v>0</v>
      </c>
      <c r="N177" s="379">
        <f t="shared" si="26"/>
        <v>0</v>
      </c>
      <c r="O177" s="317">
        <f t="shared" si="27"/>
        <v>0</v>
      </c>
      <c r="P177" s="445">
        <f t="shared" si="29"/>
        <v>0</v>
      </c>
      <c r="Q177" s="249">
        <v>0</v>
      </c>
      <c r="R177" s="311">
        <f ca="1">SUMIF(T$3:$AM160,"SI",T177:AM177)</f>
        <v>0</v>
      </c>
      <c r="S177" s="379" t="str">
        <f t="shared" ca="1" si="30"/>
        <v>0,00%</v>
      </c>
      <c r="T177" s="326">
        <v>0</v>
      </c>
      <c r="U177" s="468">
        <v>0</v>
      </c>
      <c r="V177" s="468">
        <v>0</v>
      </c>
      <c r="W177" s="175">
        <v>0</v>
      </c>
      <c r="X177" s="175">
        <v>0</v>
      </c>
      <c r="Y177" s="249">
        <v>0</v>
      </c>
      <c r="Z177" s="249">
        <v>0</v>
      </c>
      <c r="AA177" s="175">
        <v>0</v>
      </c>
      <c r="AB177" s="175">
        <v>0</v>
      </c>
      <c r="AC177" s="175">
        <v>0</v>
      </c>
      <c r="AD177" s="175">
        <v>0</v>
      </c>
      <c r="AE177" s="175">
        <v>0</v>
      </c>
      <c r="AF177" s="175">
        <v>0</v>
      </c>
      <c r="AG177" s="175">
        <v>0</v>
      </c>
      <c r="AH177" s="249">
        <v>0</v>
      </c>
      <c r="AI177" s="175">
        <v>0</v>
      </c>
      <c r="AJ177" s="249">
        <v>0</v>
      </c>
      <c r="AK177" s="175">
        <v>0</v>
      </c>
      <c r="AL177" s="249">
        <v>0</v>
      </c>
      <c r="AM177" s="253">
        <v>0</v>
      </c>
      <c r="AN177" s="1139"/>
      <c r="AO177" s="156"/>
      <c r="AP177" s="156"/>
      <c r="AQ177" s="156"/>
      <c r="AR177" s="156"/>
      <c r="AS177" s="156"/>
      <c r="AT177" s="156"/>
      <c r="AU177" s="156"/>
      <c r="AV177" s="156"/>
      <c r="AW177" s="1140"/>
      <c r="AX177" s="1197"/>
      <c r="AY177" s="148"/>
      <c r="AZ177" s="151"/>
      <c r="BA177" s="151"/>
      <c r="BB177" s="1172"/>
      <c r="BC177" s="151"/>
      <c r="BD177" s="151"/>
      <c r="BE177" s="1171"/>
      <c r="BF177" s="1171"/>
      <c r="BG177" s="1171"/>
      <c r="BH177" s="1171"/>
      <c r="BI177" s="151"/>
      <c r="BJ177" s="156"/>
      <c r="BK177" s="156"/>
      <c r="BL177" s="594"/>
      <c r="BM177" s="594"/>
      <c r="BN177" s="594"/>
      <c r="BO177" s="594"/>
      <c r="BP177" s="185"/>
      <c r="BQ177" s="156"/>
      <c r="BR177" s="594"/>
      <c r="BS177" s="594"/>
      <c r="BT177" s="594"/>
      <c r="BU177" s="594"/>
      <c r="BV177" s="156"/>
      <c r="BW177" s="158"/>
      <c r="BX177" s="185"/>
      <c r="BY177" s="185"/>
      <c r="BZ177" s="185"/>
      <c r="CA177" s="185"/>
      <c r="CB177" s="159"/>
      <c r="CC177" s="159"/>
    </row>
    <row r="178" spans="1:81" s="329" customFormat="1" ht="15" customHeight="1" x14ac:dyDescent="0.25">
      <c r="B178" s="952" t="s">
        <v>905</v>
      </c>
      <c r="C178" s="955" t="s">
        <v>325</v>
      </c>
      <c r="D178" s="967"/>
      <c r="E178" s="971" t="s">
        <v>678</v>
      </c>
      <c r="F178" s="254"/>
      <c r="G178" s="255" t="s">
        <v>315</v>
      </c>
      <c r="H178" s="384" t="s">
        <v>316</v>
      </c>
      <c r="I178" s="248">
        <v>0</v>
      </c>
      <c r="J178" s="317">
        <f>+'P01 2025'!DE141</f>
        <v>432000</v>
      </c>
      <c r="K178" s="248">
        <f ca="1">SUMIF(T$3:$AM169,"ok",T178:AM178)</f>
        <v>29100</v>
      </c>
      <c r="L178" s="379">
        <f t="shared" ca="1" si="25"/>
        <v>6.7361111111111108E-2</v>
      </c>
      <c r="M178" s="319">
        <f>+'P01 2025'!DG141</f>
        <v>432000</v>
      </c>
      <c r="N178" s="379">
        <f t="shared" si="26"/>
        <v>1</v>
      </c>
      <c r="O178" s="317">
        <f t="shared" si="27"/>
        <v>0</v>
      </c>
      <c r="P178" s="445">
        <f t="shared" si="29"/>
        <v>0</v>
      </c>
      <c r="Q178" s="249">
        <f>+'P01 2024'!DJ135</f>
        <v>488004.02799999999</v>
      </c>
      <c r="R178" s="144">
        <f ca="1">SUMIF(T$3:$AM161,"SI",T178:AM178)</f>
        <v>141220.16349600002</v>
      </c>
      <c r="S178" s="379">
        <f t="shared" ca="1" si="30"/>
        <v>0.28938319233709281</v>
      </c>
      <c r="T178" s="326">
        <v>0</v>
      </c>
      <c r="U178" s="468">
        <v>0</v>
      </c>
      <c r="V178" s="468">
        <v>0</v>
      </c>
      <c r="W178" s="175">
        <v>0</v>
      </c>
      <c r="X178" s="175">
        <v>0</v>
      </c>
      <c r="Y178" s="249">
        <v>0</v>
      </c>
      <c r="Z178" s="249">
        <v>0</v>
      </c>
      <c r="AA178" s="175">
        <v>0</v>
      </c>
      <c r="AB178" s="175">
        <v>0</v>
      </c>
      <c r="AC178" s="175">
        <v>0</v>
      </c>
      <c r="AD178" s="175">
        <v>0</v>
      </c>
      <c r="AE178" s="175">
        <v>0</v>
      </c>
      <c r="AF178" s="175">
        <v>0</v>
      </c>
      <c r="AG178" s="175">
        <f>+'P01 2024'!CM105</f>
        <v>141220.16349600002</v>
      </c>
      <c r="AH178" s="175">
        <f>+'P01 2025'!CX90</f>
        <v>29100</v>
      </c>
      <c r="AI178" s="175">
        <v>0</v>
      </c>
      <c r="AJ178" s="175">
        <v>0</v>
      </c>
      <c r="AK178" s="175">
        <v>0</v>
      </c>
      <c r="AL178" s="175">
        <v>0</v>
      </c>
      <c r="AM178" s="252">
        <f>+'P01 2024'!FL116</f>
        <v>300000</v>
      </c>
      <c r="AN178" s="1194"/>
      <c r="AO178" s="151"/>
      <c r="AP178" s="151"/>
      <c r="AQ178" s="151"/>
      <c r="AR178" s="151"/>
      <c r="AS178" s="151"/>
      <c r="AT178" s="151"/>
      <c r="AU178" s="151"/>
      <c r="AV178" s="151"/>
      <c r="AW178" s="1195"/>
      <c r="AX178" s="1196"/>
      <c r="AY178" s="148"/>
      <c r="AZ178" s="151"/>
      <c r="BA178" s="151"/>
      <c r="BB178" s="1172"/>
      <c r="BC178" s="151"/>
      <c r="BD178" s="151"/>
      <c r="BE178" s="1171"/>
      <c r="BF178" s="1171"/>
      <c r="BG178" s="1171"/>
      <c r="BH178" s="1171"/>
      <c r="BI178" s="151"/>
      <c r="BJ178" s="156"/>
      <c r="BK178" s="156"/>
      <c r="BL178" s="594"/>
      <c r="BM178" s="594"/>
      <c r="BN178" s="594"/>
      <c r="BO178" s="594"/>
      <c r="BP178" s="185"/>
      <c r="BQ178" s="156"/>
      <c r="BR178" s="594"/>
      <c r="BS178" s="594"/>
      <c r="BT178" s="594"/>
      <c r="BU178" s="594"/>
      <c r="BV178" s="156"/>
      <c r="BW178" s="158"/>
      <c r="BX178" s="185"/>
      <c r="BY178" s="185"/>
      <c r="BZ178" s="185"/>
      <c r="CA178" s="185"/>
      <c r="CB178" s="241"/>
      <c r="CC178" s="241"/>
    </row>
    <row r="179" spans="1:81" s="320" customFormat="1" ht="15" hidden="1" customHeight="1" x14ac:dyDescent="0.25">
      <c r="A179" s="329"/>
      <c r="B179" s="952" t="s">
        <v>953</v>
      </c>
      <c r="C179" s="955"/>
      <c r="D179" s="967"/>
      <c r="E179" s="970" t="s">
        <v>324</v>
      </c>
      <c r="F179" s="331"/>
      <c r="G179" s="315" t="s">
        <v>675</v>
      </c>
      <c r="H179" s="471" t="s">
        <v>475</v>
      </c>
      <c r="I179" s="248">
        <v>0</v>
      </c>
      <c r="J179" s="317">
        <v>0</v>
      </c>
      <c r="K179" s="248">
        <f ca="1">SUMIF(T$3:$AM170,"ok",T179:AM179)</f>
        <v>0</v>
      </c>
      <c r="L179" s="379">
        <f t="shared" ca="1" si="25"/>
        <v>0</v>
      </c>
      <c r="M179" s="319">
        <v>0</v>
      </c>
      <c r="N179" s="379">
        <f t="shared" si="26"/>
        <v>0</v>
      </c>
      <c r="O179" s="317">
        <f t="shared" si="27"/>
        <v>0</v>
      </c>
      <c r="P179" s="445">
        <f t="shared" si="29"/>
        <v>0</v>
      </c>
      <c r="Q179" s="249">
        <v>0</v>
      </c>
      <c r="R179" s="311">
        <f ca="1">SUMIF(T$3:$AM162,"SI",T179:AM179)</f>
        <v>0</v>
      </c>
      <c r="S179" s="379" t="str">
        <f t="shared" ca="1" si="30"/>
        <v>0,00%</v>
      </c>
      <c r="T179" s="326">
        <v>0</v>
      </c>
      <c r="U179" s="468">
        <v>0</v>
      </c>
      <c r="V179" s="468">
        <v>0</v>
      </c>
      <c r="W179" s="175">
        <v>0</v>
      </c>
      <c r="X179" s="175">
        <v>0</v>
      </c>
      <c r="Y179" s="249">
        <v>0</v>
      </c>
      <c r="Z179" s="249">
        <v>0</v>
      </c>
      <c r="AA179" s="175">
        <v>0</v>
      </c>
      <c r="AB179" s="175">
        <v>0</v>
      </c>
      <c r="AC179" s="175">
        <v>0</v>
      </c>
      <c r="AD179" s="175">
        <v>0</v>
      </c>
      <c r="AE179" s="175">
        <v>0</v>
      </c>
      <c r="AF179" s="175">
        <v>0</v>
      </c>
      <c r="AG179" s="175">
        <v>0</v>
      </c>
      <c r="AH179" s="249">
        <v>0</v>
      </c>
      <c r="AI179" s="175">
        <v>0</v>
      </c>
      <c r="AJ179" s="249">
        <v>0</v>
      </c>
      <c r="AK179" s="175">
        <v>0</v>
      </c>
      <c r="AL179" s="249">
        <v>0</v>
      </c>
      <c r="AM179" s="253">
        <v>0</v>
      </c>
      <c r="AN179" s="1139"/>
      <c r="AO179" s="156"/>
      <c r="AP179" s="156"/>
      <c r="AQ179" s="156"/>
      <c r="AR179" s="156"/>
      <c r="AS179" s="156"/>
      <c r="AT179" s="156"/>
      <c r="AU179" s="156"/>
      <c r="AV179" s="156"/>
      <c r="AW179" s="1140"/>
      <c r="AX179" s="1197"/>
      <c r="AY179" s="148"/>
      <c r="AZ179" s="151"/>
      <c r="BA179" s="151"/>
      <c r="BB179" s="1172"/>
      <c r="BC179" s="151"/>
      <c r="BD179" s="151"/>
      <c r="BE179" s="1171"/>
      <c r="BF179" s="1171"/>
      <c r="BG179" s="1171"/>
      <c r="BH179" s="1171"/>
      <c r="BI179" s="151"/>
      <c r="BJ179" s="156"/>
      <c r="BK179" s="156"/>
      <c r="BL179" s="594"/>
      <c r="BM179" s="594"/>
      <c r="BN179" s="594"/>
      <c r="BO179" s="594"/>
      <c r="BP179" s="185"/>
      <c r="BQ179" s="156"/>
      <c r="BR179" s="594"/>
      <c r="BS179" s="594"/>
      <c r="BT179" s="594"/>
      <c r="BU179" s="594"/>
      <c r="BV179" s="156"/>
      <c r="BW179" s="158"/>
      <c r="BX179" s="185"/>
      <c r="BY179" s="185"/>
      <c r="BZ179" s="185"/>
      <c r="CA179" s="185"/>
      <c r="CB179" s="159"/>
      <c r="CC179" s="159"/>
    </row>
    <row r="180" spans="1:81" s="320" customFormat="1" ht="15" hidden="1" customHeight="1" x14ac:dyDescent="0.25">
      <c r="A180" s="329"/>
      <c r="B180" s="952" t="s">
        <v>576</v>
      </c>
      <c r="C180" s="955"/>
      <c r="D180" s="967"/>
      <c r="E180" s="970" t="s">
        <v>308</v>
      </c>
      <c r="F180" s="331"/>
      <c r="G180" s="315" t="s">
        <v>679</v>
      </c>
      <c r="H180" s="471" t="s">
        <v>680</v>
      </c>
      <c r="I180" s="248">
        <v>0</v>
      </c>
      <c r="J180" s="317">
        <v>0</v>
      </c>
      <c r="K180" s="317">
        <f ca="1">SUMIF(T$3:$AM171,"ok",T180:AM180)</f>
        <v>0</v>
      </c>
      <c r="L180" s="379">
        <f t="shared" ca="1" si="25"/>
        <v>0</v>
      </c>
      <c r="M180" s="319">
        <v>0</v>
      </c>
      <c r="N180" s="379">
        <f t="shared" si="26"/>
        <v>0</v>
      </c>
      <c r="O180" s="317">
        <f t="shared" si="27"/>
        <v>0</v>
      </c>
      <c r="P180" s="445">
        <f t="shared" si="29"/>
        <v>0</v>
      </c>
      <c r="Q180" s="249">
        <f>+'P01 2024'!DJ136</f>
        <v>113325.83600000001</v>
      </c>
      <c r="R180" s="311">
        <f ca="1">SUMIF(T$3:$AM163,"SI",T180:AM180)</f>
        <v>113325.83600000001</v>
      </c>
      <c r="S180" s="379">
        <f t="shared" ca="1" si="30"/>
        <v>1</v>
      </c>
      <c r="T180" s="326">
        <v>0</v>
      </c>
      <c r="U180" s="468">
        <v>0</v>
      </c>
      <c r="V180" s="468">
        <v>0</v>
      </c>
      <c r="W180" s="175">
        <v>0</v>
      </c>
      <c r="X180" s="175">
        <v>0</v>
      </c>
      <c r="Y180" s="249">
        <v>0</v>
      </c>
      <c r="Z180" s="249">
        <v>0</v>
      </c>
      <c r="AA180" s="175">
        <v>0</v>
      </c>
      <c r="AB180" s="175">
        <v>0</v>
      </c>
      <c r="AC180" s="175">
        <v>0</v>
      </c>
      <c r="AD180" s="175">
        <v>0</v>
      </c>
      <c r="AE180" s="175">
        <v>0</v>
      </c>
      <c r="AF180" s="175">
        <v>0</v>
      </c>
      <c r="AG180" s="175">
        <f>+'P01 2024'!CM106</f>
        <v>113325.83600000001</v>
      </c>
      <c r="AH180" s="249">
        <v>0</v>
      </c>
      <c r="AI180" s="175">
        <v>0</v>
      </c>
      <c r="AJ180" s="249">
        <v>0</v>
      </c>
      <c r="AK180" s="175">
        <v>0</v>
      </c>
      <c r="AL180" s="249">
        <v>0</v>
      </c>
      <c r="AM180" s="253">
        <v>0</v>
      </c>
      <c r="AN180" s="1139"/>
      <c r="AO180" s="156"/>
      <c r="AP180" s="156"/>
      <c r="AQ180" s="156"/>
      <c r="AR180" s="156"/>
      <c r="AS180" s="156"/>
      <c r="AT180" s="156"/>
      <c r="AU180" s="156"/>
      <c r="AV180" s="156"/>
      <c r="AW180" s="1140"/>
      <c r="AX180" s="1197"/>
      <c r="AY180" s="148"/>
      <c r="AZ180" s="151"/>
      <c r="BA180" s="151"/>
      <c r="BB180" s="1172"/>
      <c r="BC180" s="151"/>
      <c r="BD180" s="151"/>
      <c r="BE180" s="1171"/>
      <c r="BF180" s="1171"/>
      <c r="BG180" s="1171"/>
      <c r="BH180" s="1171"/>
      <c r="BI180" s="151"/>
      <c r="BJ180" s="156"/>
      <c r="BK180" s="156"/>
      <c r="BL180" s="594"/>
      <c r="BM180" s="594"/>
      <c r="BN180" s="594"/>
      <c r="BO180" s="594"/>
      <c r="BP180" s="185"/>
      <c r="BQ180" s="156"/>
      <c r="BR180" s="594"/>
      <c r="BS180" s="594"/>
      <c r="BT180" s="594"/>
      <c r="BU180" s="594"/>
      <c r="BV180" s="156"/>
      <c r="BW180" s="158"/>
      <c r="BX180" s="185"/>
      <c r="BY180" s="185"/>
      <c r="BZ180" s="185"/>
      <c r="CA180" s="185"/>
      <c r="CB180" s="159"/>
      <c r="CC180" s="159"/>
    </row>
    <row r="181" spans="1:81" s="320" customFormat="1" ht="15" hidden="1" customHeight="1" x14ac:dyDescent="0.25">
      <c r="A181" s="329"/>
      <c r="B181" s="952" t="s">
        <v>754</v>
      </c>
      <c r="C181" s="955"/>
      <c r="D181" s="967"/>
      <c r="E181" s="970">
        <v>8</v>
      </c>
      <c r="F181" s="331"/>
      <c r="G181" s="315" t="s">
        <v>756</v>
      </c>
      <c r="H181" s="471" t="s">
        <v>755</v>
      </c>
      <c r="I181" s="248">
        <v>0</v>
      </c>
      <c r="J181" s="317">
        <v>0</v>
      </c>
      <c r="K181" s="317">
        <f ca="1">SUMIF(T$3:$AM172,"ok",T181:AM181)</f>
        <v>0</v>
      </c>
      <c r="L181" s="379">
        <f t="shared" ca="1" si="25"/>
        <v>0</v>
      </c>
      <c r="M181" s="319">
        <v>0</v>
      </c>
      <c r="N181" s="379">
        <f t="shared" si="26"/>
        <v>0</v>
      </c>
      <c r="O181" s="317">
        <f t="shared" si="27"/>
        <v>0</v>
      </c>
      <c r="P181" s="445">
        <f t="shared" si="29"/>
        <v>0</v>
      </c>
      <c r="Q181" s="249">
        <v>0</v>
      </c>
      <c r="R181" s="311">
        <f ca="1">SUMIF(T$3:$AM164,"SI",T181:AM181)</f>
        <v>0</v>
      </c>
      <c r="S181" s="379" t="str">
        <f t="shared" ca="1" si="30"/>
        <v>0,00%</v>
      </c>
      <c r="T181" s="326">
        <v>0</v>
      </c>
      <c r="U181" s="468">
        <v>0</v>
      </c>
      <c r="V181" s="468">
        <v>0</v>
      </c>
      <c r="W181" s="175">
        <v>0</v>
      </c>
      <c r="X181" s="175">
        <v>0</v>
      </c>
      <c r="Y181" s="249">
        <v>0</v>
      </c>
      <c r="Z181" s="249">
        <v>0</v>
      </c>
      <c r="AA181" s="175">
        <v>0</v>
      </c>
      <c r="AB181" s="175">
        <v>0</v>
      </c>
      <c r="AC181" s="175">
        <v>0</v>
      </c>
      <c r="AD181" s="175">
        <v>0</v>
      </c>
      <c r="AE181" s="175">
        <v>0</v>
      </c>
      <c r="AF181" s="175">
        <v>0</v>
      </c>
      <c r="AG181" s="175">
        <v>0</v>
      </c>
      <c r="AH181" s="249">
        <v>0</v>
      </c>
      <c r="AI181" s="175">
        <v>0</v>
      </c>
      <c r="AJ181" s="249">
        <v>0</v>
      </c>
      <c r="AK181" s="175">
        <v>0</v>
      </c>
      <c r="AL181" s="249">
        <v>0</v>
      </c>
      <c r="AM181" s="175">
        <v>0</v>
      </c>
      <c r="AN181" s="1139"/>
      <c r="AO181" s="156"/>
      <c r="AP181" s="156"/>
      <c r="AQ181" s="156"/>
      <c r="AR181" s="156"/>
      <c r="AS181" s="156"/>
      <c r="AT181" s="156"/>
      <c r="AU181" s="156"/>
      <c r="AV181" s="156"/>
      <c r="AW181" s="1140"/>
      <c r="AX181" s="1197"/>
      <c r="AY181" s="148"/>
      <c r="AZ181" s="151"/>
      <c r="BA181" s="151"/>
      <c r="BB181" s="1172"/>
      <c r="BC181" s="151"/>
      <c r="BD181" s="151"/>
      <c r="BE181" s="1171"/>
      <c r="BF181" s="1171"/>
      <c r="BG181" s="1171"/>
      <c r="BH181" s="1171"/>
      <c r="BI181" s="151"/>
      <c r="BJ181" s="156"/>
      <c r="BK181" s="156"/>
      <c r="BL181" s="594"/>
      <c r="BM181" s="594"/>
      <c r="BN181" s="594"/>
      <c r="BO181" s="594"/>
      <c r="BP181" s="185"/>
      <c r="BQ181" s="156"/>
      <c r="BR181" s="594"/>
      <c r="BS181" s="594"/>
      <c r="BT181" s="594"/>
      <c r="BU181" s="594"/>
      <c r="BV181" s="156"/>
      <c r="BW181" s="158"/>
      <c r="BX181" s="185"/>
      <c r="BY181" s="185"/>
      <c r="BZ181" s="185"/>
      <c r="CA181" s="185"/>
    </row>
    <row r="182" spans="1:81" s="320" customFormat="1" ht="15" hidden="1" customHeight="1" x14ac:dyDescent="0.25">
      <c r="A182" s="329"/>
      <c r="B182" s="952" t="s">
        <v>906</v>
      </c>
      <c r="C182" s="955"/>
      <c r="D182" s="967"/>
      <c r="E182" s="970">
        <v>9</v>
      </c>
      <c r="F182" s="331"/>
      <c r="G182" s="315" t="s">
        <v>912</v>
      </c>
      <c r="H182" s="471" t="s">
        <v>913</v>
      </c>
      <c r="I182" s="248">
        <v>0</v>
      </c>
      <c r="J182" s="317">
        <v>0</v>
      </c>
      <c r="K182" s="317">
        <f ca="1">SUMIF(T$3:$AM173,"ok",T182:AM182)</f>
        <v>0</v>
      </c>
      <c r="L182" s="379">
        <f t="shared" ca="1" si="25"/>
        <v>0</v>
      </c>
      <c r="M182" s="319">
        <v>0</v>
      </c>
      <c r="N182" s="379">
        <f t="shared" si="26"/>
        <v>0</v>
      </c>
      <c r="O182" s="317">
        <f t="shared" si="27"/>
        <v>0</v>
      </c>
      <c r="P182" s="445">
        <f t="shared" si="29"/>
        <v>0</v>
      </c>
      <c r="Q182" s="249">
        <f>+'P01 2024'!DJ137</f>
        <v>270920</v>
      </c>
      <c r="R182" s="311">
        <f ca="1">SUMIF(T$3:$AM165,"SI",T182:AM182)</f>
        <v>270920</v>
      </c>
      <c r="S182" s="379">
        <f t="shared" ca="1" si="30"/>
        <v>1</v>
      </c>
      <c r="T182" s="326">
        <v>0</v>
      </c>
      <c r="U182" s="468">
        <v>0</v>
      </c>
      <c r="V182" s="468">
        <v>0</v>
      </c>
      <c r="W182" s="175"/>
      <c r="X182" s="175">
        <v>0</v>
      </c>
      <c r="Y182" s="249"/>
      <c r="Z182" s="249">
        <v>0</v>
      </c>
      <c r="AA182" s="175">
        <v>0</v>
      </c>
      <c r="AB182" s="175">
        <v>0</v>
      </c>
      <c r="AC182" s="175">
        <v>0</v>
      </c>
      <c r="AD182" s="175">
        <v>0</v>
      </c>
      <c r="AE182" s="175">
        <f>+'P01 2024'!BX96</f>
        <v>270920</v>
      </c>
      <c r="AF182" s="175">
        <v>0</v>
      </c>
      <c r="AG182" s="175">
        <v>0</v>
      </c>
      <c r="AH182" s="249">
        <v>0</v>
      </c>
      <c r="AI182" s="175">
        <v>0</v>
      </c>
      <c r="AJ182" s="249">
        <v>0</v>
      </c>
      <c r="AK182" s="175">
        <v>0</v>
      </c>
      <c r="AL182" s="249">
        <v>0</v>
      </c>
      <c r="AM182" s="175">
        <v>0</v>
      </c>
      <c r="AN182" s="1139"/>
      <c r="AO182" s="156"/>
      <c r="AP182" s="156"/>
      <c r="AQ182" s="156"/>
      <c r="AR182" s="156"/>
      <c r="AS182" s="156"/>
      <c r="AT182" s="156"/>
      <c r="AU182" s="156"/>
      <c r="AV182" s="156"/>
      <c r="AW182" s="1140"/>
      <c r="AX182" s="1197"/>
      <c r="AY182" s="148"/>
      <c r="AZ182" s="151"/>
      <c r="BA182" s="151"/>
      <c r="BB182" s="1172"/>
      <c r="BC182" s="151"/>
      <c r="BD182" s="151"/>
      <c r="BE182" s="1171"/>
      <c r="BF182" s="1171"/>
      <c r="BG182" s="1171"/>
      <c r="BH182" s="1171"/>
      <c r="BI182" s="151"/>
      <c r="BJ182" s="156"/>
      <c r="BK182" s="156"/>
      <c r="BL182" s="594"/>
      <c r="BM182" s="594"/>
      <c r="BN182" s="594"/>
      <c r="BO182" s="594"/>
      <c r="BP182" s="185"/>
      <c r="BQ182" s="156"/>
      <c r="BR182" s="594"/>
      <c r="BS182" s="594"/>
      <c r="BT182" s="594"/>
      <c r="BU182" s="594"/>
      <c r="BV182" s="156"/>
      <c r="BW182" s="158"/>
      <c r="BX182" s="185"/>
      <c r="BY182" s="185"/>
      <c r="BZ182" s="185"/>
      <c r="CA182" s="185"/>
    </row>
    <row r="183" spans="1:81" s="320" customFormat="1" ht="15" hidden="1" customHeight="1" x14ac:dyDescent="0.25">
      <c r="A183" s="329"/>
      <c r="B183" s="952" t="s">
        <v>957</v>
      </c>
      <c r="C183" s="955"/>
      <c r="D183" s="967"/>
      <c r="E183" s="970">
        <v>10</v>
      </c>
      <c r="F183" s="331"/>
      <c r="G183" s="315" t="s">
        <v>958</v>
      </c>
      <c r="H183" s="471" t="s">
        <v>959</v>
      </c>
      <c r="I183" s="248">
        <v>0</v>
      </c>
      <c r="J183" s="317">
        <v>0</v>
      </c>
      <c r="K183" s="317">
        <f ca="1">SUMIF(T$3:$AM174,"ok",T183:AM183)</f>
        <v>0</v>
      </c>
      <c r="L183" s="379">
        <f t="shared" ca="1" si="25"/>
        <v>0</v>
      </c>
      <c r="M183" s="319">
        <v>0</v>
      </c>
      <c r="N183" s="379">
        <f t="shared" si="26"/>
        <v>0</v>
      </c>
      <c r="O183" s="317">
        <f t="shared" si="27"/>
        <v>0</v>
      </c>
      <c r="P183" s="445">
        <f t="shared" si="29"/>
        <v>0</v>
      </c>
      <c r="Q183" s="249">
        <v>0</v>
      </c>
      <c r="R183" s="311">
        <f ca="1">SUMIF(T$3:$AM166,"SI",T183:AM183)</f>
        <v>0</v>
      </c>
      <c r="S183" s="379" t="str">
        <f t="shared" ca="1" si="30"/>
        <v>0,00%</v>
      </c>
      <c r="T183" s="326">
        <v>0</v>
      </c>
      <c r="U183" s="468">
        <v>0</v>
      </c>
      <c r="V183" s="468">
        <v>0</v>
      </c>
      <c r="W183" s="175"/>
      <c r="X183" s="175">
        <v>0</v>
      </c>
      <c r="Y183" s="249"/>
      <c r="Z183" s="249">
        <v>0</v>
      </c>
      <c r="AA183" s="175">
        <v>0</v>
      </c>
      <c r="AB183" s="175">
        <v>0</v>
      </c>
      <c r="AC183" s="175">
        <v>0</v>
      </c>
      <c r="AD183" s="175">
        <v>0</v>
      </c>
      <c r="AE183" s="175"/>
      <c r="AF183" s="175">
        <v>0</v>
      </c>
      <c r="AG183" s="175"/>
      <c r="AH183" s="249">
        <v>0</v>
      </c>
      <c r="AI183" s="175"/>
      <c r="AJ183" s="249">
        <v>0</v>
      </c>
      <c r="AK183" s="175">
        <v>0</v>
      </c>
      <c r="AL183" s="249">
        <v>0</v>
      </c>
      <c r="AM183" s="175">
        <f>+'P01 2024'!FL117</f>
        <v>210600</v>
      </c>
      <c r="AN183" s="1139"/>
      <c r="AO183" s="156"/>
      <c r="AP183" s="156"/>
      <c r="AQ183" s="156"/>
      <c r="AR183" s="156"/>
      <c r="AS183" s="156"/>
      <c r="AT183" s="156"/>
      <c r="AU183" s="156"/>
      <c r="AV183" s="156"/>
      <c r="AW183" s="1140"/>
      <c r="AX183" s="1197"/>
      <c r="AY183" s="148"/>
      <c r="AZ183" s="151"/>
      <c r="BA183" s="151"/>
      <c r="BB183" s="1172"/>
      <c r="BC183" s="151"/>
      <c r="BD183" s="151"/>
      <c r="BE183" s="1171"/>
      <c r="BF183" s="1171"/>
      <c r="BG183" s="1171"/>
      <c r="BH183" s="1171"/>
      <c r="BI183" s="151"/>
      <c r="BJ183" s="156"/>
      <c r="BK183" s="156"/>
      <c r="BL183" s="594"/>
      <c r="BM183" s="594"/>
      <c r="BN183" s="594"/>
      <c r="BO183" s="594"/>
      <c r="BP183" s="185"/>
      <c r="BQ183" s="156"/>
      <c r="BR183" s="594"/>
      <c r="BS183" s="594"/>
      <c r="BT183" s="594"/>
      <c r="BU183" s="594"/>
      <c r="BV183" s="156"/>
      <c r="BW183" s="158"/>
      <c r="BX183" s="185"/>
      <c r="BY183" s="185"/>
      <c r="BZ183" s="185"/>
      <c r="CA183" s="185"/>
    </row>
    <row r="184" spans="1:81" s="320" customFormat="1" ht="15" customHeight="1" x14ac:dyDescent="0.25">
      <c r="A184" s="329"/>
      <c r="B184" s="952" t="s">
        <v>1070</v>
      </c>
      <c r="C184" s="955"/>
      <c r="D184" s="967"/>
      <c r="E184" s="970">
        <v>11</v>
      </c>
      <c r="F184" s="331"/>
      <c r="G184" s="315" t="s">
        <v>1056</v>
      </c>
      <c r="H184" s="471" t="s">
        <v>1055</v>
      </c>
      <c r="I184" s="248">
        <v>0</v>
      </c>
      <c r="J184" s="317">
        <f>+'P01 2025'!DE142</f>
        <v>270000</v>
      </c>
      <c r="K184" s="318">
        <f>+'P01 2025'!AZ135</f>
        <v>0</v>
      </c>
      <c r="L184" s="379">
        <f t="shared" si="25"/>
        <v>0</v>
      </c>
      <c r="M184" s="319">
        <f>'P01 2025'!DG142</f>
        <v>270000</v>
      </c>
      <c r="N184" s="379">
        <f t="shared" si="26"/>
        <v>1</v>
      </c>
      <c r="O184" s="317">
        <f t="shared" si="27"/>
        <v>0</v>
      </c>
      <c r="P184" s="445">
        <f t="shared" si="29"/>
        <v>0</v>
      </c>
      <c r="Q184" s="249">
        <v>0</v>
      </c>
      <c r="R184" s="311">
        <v>0</v>
      </c>
      <c r="S184" s="379" t="str">
        <f t="shared" si="30"/>
        <v>0,00%</v>
      </c>
      <c r="T184" s="326">
        <v>0</v>
      </c>
      <c r="U184" s="468">
        <v>0</v>
      </c>
      <c r="V184" s="468">
        <v>0</v>
      </c>
      <c r="W184" s="175"/>
      <c r="X184" s="175">
        <v>0</v>
      </c>
      <c r="Y184" s="249">
        <v>0</v>
      </c>
      <c r="Z184" s="249">
        <v>0</v>
      </c>
      <c r="AA184" s="175">
        <v>0</v>
      </c>
      <c r="AB184" s="175">
        <v>0</v>
      </c>
      <c r="AC184" s="175">
        <v>0</v>
      </c>
      <c r="AD184" s="175">
        <v>0</v>
      </c>
      <c r="AE184" s="175"/>
      <c r="AF184" s="175">
        <v>0</v>
      </c>
      <c r="AG184" s="175"/>
      <c r="AH184" s="249">
        <v>0</v>
      </c>
      <c r="AI184" s="175"/>
      <c r="AJ184" s="249"/>
      <c r="AK184" s="175"/>
      <c r="AL184" s="249"/>
      <c r="AM184" s="175"/>
      <c r="AN184" s="1194"/>
      <c r="AO184" s="151"/>
      <c r="AP184" s="151"/>
      <c r="AQ184" s="151"/>
      <c r="AR184" s="151"/>
      <c r="AS184" s="151"/>
      <c r="AT184" s="151"/>
      <c r="AU184" s="151"/>
      <c r="AV184" s="151"/>
      <c r="AW184" s="1195"/>
      <c r="AX184" s="1196"/>
      <c r="AY184" s="148"/>
      <c r="AZ184" s="151"/>
      <c r="BA184" s="151"/>
      <c r="BB184" s="1172"/>
      <c r="BC184" s="151"/>
      <c r="BD184" s="151"/>
      <c r="BE184" s="1171"/>
      <c r="BF184" s="1171"/>
      <c r="BG184" s="1171"/>
      <c r="BH184" s="1171"/>
      <c r="BI184" s="151"/>
      <c r="BJ184" s="156"/>
      <c r="BK184" s="156"/>
      <c r="BL184" s="594"/>
      <c r="BM184" s="594"/>
      <c r="BN184" s="594"/>
      <c r="BO184" s="594"/>
      <c r="BP184" s="185"/>
      <c r="BQ184" s="156"/>
      <c r="BR184" s="594"/>
      <c r="BS184" s="594"/>
      <c r="BT184" s="594"/>
      <c r="BU184" s="594"/>
      <c r="BV184" s="156"/>
      <c r="BW184" s="158"/>
      <c r="BX184" s="185"/>
      <c r="BY184" s="185"/>
      <c r="BZ184" s="185"/>
      <c r="CA184" s="185"/>
    </row>
    <row r="185" spans="1:81" s="1009" customFormat="1" ht="15" customHeight="1" x14ac:dyDescent="0.2">
      <c r="A185" s="1002"/>
      <c r="B185" s="1003" t="s">
        <v>1003</v>
      </c>
      <c r="C185" s="497"/>
      <c r="D185" s="794">
        <v>9</v>
      </c>
      <c r="E185" s="970"/>
      <c r="F185" s="927"/>
      <c r="G185" s="933"/>
      <c r="H185" s="1004" t="s">
        <v>1006</v>
      </c>
      <c r="I185" s="1005">
        <f>+'P01 2025'!F127</f>
        <v>82763</v>
      </c>
      <c r="J185" s="317">
        <f>+'P01 2025'!DE143</f>
        <v>82763</v>
      </c>
      <c r="K185" s="991">
        <f ca="1">SUMIF(T$3:$AM176,"ok",T185:AM185)</f>
        <v>57881.926000000007</v>
      </c>
      <c r="L185" s="993">
        <f t="shared" ca="1" si="25"/>
        <v>0.69936959752546435</v>
      </c>
      <c r="M185" s="319">
        <f>'P01 2025'!DG143</f>
        <v>81997.778000000006</v>
      </c>
      <c r="N185" s="993">
        <f t="shared" si="26"/>
        <v>0.99075405676449624</v>
      </c>
      <c r="O185" s="992">
        <f t="shared" si="27"/>
        <v>765.2219999999943</v>
      </c>
      <c r="P185" s="995">
        <f t="shared" si="29"/>
        <v>9.2459432355037185E-3</v>
      </c>
      <c r="Q185" s="1006">
        <v>0</v>
      </c>
      <c r="R185" s="996">
        <f ca="1">SUMIF(T$3:$AM167,"SI",T185:AM185)</f>
        <v>0</v>
      </c>
      <c r="S185" s="993" t="str">
        <f t="shared" ca="1" si="30"/>
        <v>0,00%</v>
      </c>
      <c r="T185" s="1007">
        <f>+'P01 2025'!G127</f>
        <v>7213.2960000000003</v>
      </c>
      <c r="U185" s="1008">
        <v>0</v>
      </c>
      <c r="V185" s="1008">
        <f>+'P01 2025'!N83</f>
        <v>7213.2960000000003</v>
      </c>
      <c r="W185" s="998"/>
      <c r="X185" s="998">
        <f>+'P01 2025'!AC98</f>
        <v>7213.2960000000003</v>
      </c>
      <c r="Y185" s="1006"/>
      <c r="Z185" s="1006">
        <f>+'P01 2025'!AR88</f>
        <v>7250.5770000000002</v>
      </c>
      <c r="AA185" s="998">
        <v>0</v>
      </c>
      <c r="AB185" s="998">
        <f>AB186</f>
        <v>7321.4629999999997</v>
      </c>
      <c r="AC185" s="998">
        <v>0</v>
      </c>
      <c r="AD185" s="998">
        <f>+'P01 2025'!BU95</f>
        <v>7213.2960000000003</v>
      </c>
      <c r="AE185" s="998"/>
      <c r="AF185" s="175">
        <f>+'P01 2025'!CI80</f>
        <v>7213.2960000000003</v>
      </c>
      <c r="AG185" s="175">
        <v>0</v>
      </c>
      <c r="AH185" s="175">
        <f>+'P01 2025'!CX91</f>
        <v>7243.4059999999999</v>
      </c>
      <c r="AI185" s="998"/>
      <c r="AJ185" s="1006"/>
      <c r="AK185" s="998"/>
      <c r="AL185" s="1006"/>
      <c r="AM185" s="998"/>
      <c r="AN185" s="1194"/>
      <c r="AO185" s="151"/>
      <c r="AP185" s="151"/>
      <c r="AQ185" s="151"/>
      <c r="AR185" s="151"/>
      <c r="AS185" s="151"/>
      <c r="AT185" s="151"/>
      <c r="AU185" s="151"/>
      <c r="AV185" s="151"/>
      <c r="AW185" s="1195"/>
      <c r="AX185" s="1196"/>
      <c r="AY185" s="148"/>
      <c r="AZ185" s="151"/>
      <c r="BA185" s="151"/>
      <c r="BB185" s="1172"/>
      <c r="BC185" s="151"/>
      <c r="BD185" s="151"/>
      <c r="BE185" s="1171"/>
      <c r="BF185" s="1171"/>
      <c r="BG185" s="1171"/>
      <c r="BH185" s="1171"/>
      <c r="BI185" s="1171"/>
      <c r="BJ185" s="932"/>
      <c r="BK185" s="156"/>
      <c r="BL185" s="594"/>
      <c r="BM185" s="594"/>
      <c r="BN185" s="594"/>
      <c r="BO185" s="594"/>
      <c r="BP185" s="604"/>
      <c r="BQ185" s="156"/>
      <c r="BR185" s="594"/>
      <c r="BS185" s="594"/>
      <c r="BT185" s="594"/>
      <c r="BU185" s="594"/>
      <c r="BV185" s="156"/>
      <c r="BW185" s="158"/>
      <c r="BX185" s="604"/>
      <c r="BY185" s="604"/>
      <c r="BZ185" s="604"/>
      <c r="CA185" s="604"/>
    </row>
    <row r="186" spans="1:81" s="320" customFormat="1" ht="15" customHeight="1" x14ac:dyDescent="0.2">
      <c r="A186" s="329"/>
      <c r="B186" s="953" t="s">
        <v>1004</v>
      </c>
      <c r="C186" s="955"/>
      <c r="D186" s="967"/>
      <c r="E186" s="970">
        <v>409</v>
      </c>
      <c r="F186" s="331"/>
      <c r="G186" s="315" t="s">
        <v>1009</v>
      </c>
      <c r="H186" s="471" t="s">
        <v>256</v>
      </c>
      <c r="I186" s="248">
        <f>+'P01 2025'!F128</f>
        <v>82763</v>
      </c>
      <c r="J186" s="317">
        <f>+'P01 2025'!DE144</f>
        <v>82763</v>
      </c>
      <c r="K186" s="248">
        <f ca="1">SUMIF(T$3:$AM177,"ok",T186:AM186)</f>
        <v>57881.926000000007</v>
      </c>
      <c r="L186" s="379">
        <f t="shared" ca="1" si="25"/>
        <v>0.69936959752546435</v>
      </c>
      <c r="M186" s="319">
        <f>'P01 2025'!DG144</f>
        <v>81997.778000000006</v>
      </c>
      <c r="N186" s="379">
        <f t="shared" si="26"/>
        <v>0.99075405676449624</v>
      </c>
      <c r="O186" s="317">
        <f t="shared" si="27"/>
        <v>765.2219999999943</v>
      </c>
      <c r="P186" s="445">
        <f t="shared" si="29"/>
        <v>9.2459432355037185E-3</v>
      </c>
      <c r="Q186" s="249">
        <v>0</v>
      </c>
      <c r="R186" s="311">
        <f ca="1">SUMIF(T$3:$AM168,"SI",T186:AM186)</f>
        <v>0</v>
      </c>
      <c r="S186" s="379" t="str">
        <f t="shared" ca="1" si="30"/>
        <v>0,00%</v>
      </c>
      <c r="T186" s="326">
        <f>+'P01 2025'!G128</f>
        <v>7213.2960000000003</v>
      </c>
      <c r="U186" s="468">
        <v>0</v>
      </c>
      <c r="V186" s="468">
        <f>+'P01 2025'!N84</f>
        <v>7213.2960000000003</v>
      </c>
      <c r="W186" s="175"/>
      <c r="X186" s="175">
        <f>+'P01 2025'!AC99</f>
        <v>7213.2960000000003</v>
      </c>
      <c r="Y186" s="249"/>
      <c r="Z186" s="249">
        <f>+'P01 2025'!AR89</f>
        <v>7250.5770000000002</v>
      </c>
      <c r="AA186" s="175">
        <v>0</v>
      </c>
      <c r="AB186" s="175">
        <f>'P01 2025'!BF80</f>
        <v>7321.4629999999997</v>
      </c>
      <c r="AC186" s="175">
        <v>0</v>
      </c>
      <c r="AD186" s="175">
        <f>+'P01 2025'!BU96</f>
        <v>7213.2960000000003</v>
      </c>
      <c r="AE186" s="175"/>
      <c r="AF186" s="175">
        <f>+'P01 2025'!CI81</f>
        <v>7213.2960000000003</v>
      </c>
      <c r="AG186" s="175">
        <v>0</v>
      </c>
      <c r="AH186" s="175">
        <f>+'P01 2025'!CX92</f>
        <v>7243.4059999999999</v>
      </c>
      <c r="AI186" s="175"/>
      <c r="AJ186" s="249"/>
      <c r="AK186" s="175"/>
      <c r="AL186" s="249"/>
      <c r="AM186" s="175"/>
      <c r="AN186" s="1194"/>
      <c r="AO186" s="151"/>
      <c r="AP186" s="151"/>
      <c r="AQ186" s="151"/>
      <c r="AR186" s="151"/>
      <c r="AS186" s="151"/>
      <c r="AT186" s="151"/>
      <c r="AU186" s="151"/>
      <c r="AV186" s="151"/>
      <c r="AW186" s="1195"/>
      <c r="AX186" s="1196"/>
      <c r="AY186" s="148"/>
      <c r="AZ186" s="151"/>
      <c r="BA186" s="151"/>
      <c r="BB186" s="1172"/>
      <c r="BC186" s="151"/>
      <c r="BD186" s="151"/>
      <c r="BE186" s="1171"/>
      <c r="BF186" s="1171"/>
      <c r="BG186" s="1171"/>
      <c r="BH186" s="1171"/>
      <c r="BI186" s="151"/>
      <c r="BJ186" s="156"/>
      <c r="BK186" s="156"/>
      <c r="BL186" s="594"/>
      <c r="BM186" s="594"/>
      <c r="BN186" s="594"/>
      <c r="BO186" s="594"/>
      <c r="BP186" s="185"/>
      <c r="BQ186" s="156"/>
      <c r="BR186" s="594"/>
      <c r="BS186" s="594"/>
      <c r="BT186" s="594"/>
      <c r="BU186" s="594"/>
      <c r="BV186" s="156"/>
      <c r="BW186" s="158"/>
      <c r="BX186" s="185"/>
      <c r="BY186" s="185"/>
      <c r="BZ186" s="185"/>
      <c r="CA186" s="185"/>
    </row>
    <row r="187" spans="1:81" s="308" customFormat="1" ht="15" customHeight="1" x14ac:dyDescent="0.25">
      <c r="A187" s="84"/>
      <c r="B187" s="169" t="s">
        <v>594</v>
      </c>
      <c r="C187" s="508">
        <v>25</v>
      </c>
      <c r="D187" s="369"/>
      <c r="E187" s="369"/>
      <c r="F187" s="237"/>
      <c r="G187" s="237"/>
      <c r="H187" s="88" t="s">
        <v>599</v>
      </c>
      <c r="I187" s="306">
        <f>+'P01 2025'!F129</f>
        <v>178378</v>
      </c>
      <c r="J187" s="306">
        <f>+'P01 2025'!DE145</f>
        <v>178378</v>
      </c>
      <c r="K187" s="306">
        <f ca="1">SUMIF(T$3:$AM176,"ok",T187:AM187)</f>
        <v>258408.34000000003</v>
      </c>
      <c r="L187" s="378">
        <v>1</v>
      </c>
      <c r="M187" s="323">
        <f>'P01 2025'!DG145</f>
        <v>258408.34099999999</v>
      </c>
      <c r="N187" s="378">
        <v>1</v>
      </c>
      <c r="O187" s="306">
        <f t="shared" si="27"/>
        <v>-80030.340999999986</v>
      </c>
      <c r="P187" s="443">
        <v>0</v>
      </c>
      <c r="Q187" s="321">
        <f>+'P01 2024'!DJ138</f>
        <v>178367.476</v>
      </c>
      <c r="R187" s="307">
        <f ca="1">SUMIF(T$3:$AM174,"SI",T187:AM187)</f>
        <v>332902.24359800003</v>
      </c>
      <c r="S187" s="378">
        <v>1</v>
      </c>
      <c r="T187" s="509">
        <f>+'P01 2025'!G129</f>
        <v>0</v>
      </c>
      <c r="U187" s="467">
        <f>+'P01 2024'!K127</f>
        <v>48308.367274000004</v>
      </c>
      <c r="V187" s="469">
        <f>+'P01 2025'!N85</f>
        <v>56827.652999999998</v>
      </c>
      <c r="W187" s="307">
        <f>+'P01 2024'!Q79</f>
        <v>14814.223410000001</v>
      </c>
      <c r="X187" s="307">
        <v>0</v>
      </c>
      <c r="Y187" s="86">
        <f>+'P01 2024'!AE97</f>
        <v>19316.482422000001</v>
      </c>
      <c r="Z187" s="86">
        <f>+'P01 2025'!AR90</f>
        <v>64608.55</v>
      </c>
      <c r="AA187" s="86">
        <f>+'P01 2024'!AT87</f>
        <v>28539.706868000001</v>
      </c>
      <c r="AB187" s="86">
        <f>AB188</f>
        <v>22563.653999999999</v>
      </c>
      <c r="AC187" s="86">
        <f>+'P01 2024'!BI81</f>
        <v>110952.36423200001</v>
      </c>
      <c r="AD187" s="86">
        <f>+'P01 2025'!BU97</f>
        <v>36737.858</v>
      </c>
      <c r="AE187" s="86">
        <f>+'P01 2024'!BX98</f>
        <v>29136.712432</v>
      </c>
      <c r="AF187" s="155">
        <f>+'P01 2025'!CI82</f>
        <v>51219.326999999997</v>
      </c>
      <c r="AG187" s="86">
        <f>+'P01 2024'!CM107</f>
        <v>22223.010129999999</v>
      </c>
      <c r="AH187" s="155">
        <f>+'P01 2025'!CX93</f>
        <v>26451.297999999999</v>
      </c>
      <c r="AI187" s="86">
        <f>+'P01 2024'!DB102</f>
        <v>59611.376830000001</v>
      </c>
      <c r="AJ187" s="86">
        <f>+'P01 2024'!DR96</f>
        <v>56745.569000000003</v>
      </c>
      <c r="AK187" s="86">
        <f>AK188</f>
        <v>41494.175999999999</v>
      </c>
      <c r="AL187" s="86">
        <f>+'P01 2024'!ET93</f>
        <v>70336.353000000003</v>
      </c>
      <c r="AM187" s="86">
        <f>+'P01 2024'!FL118</f>
        <v>33357.678999999996</v>
      </c>
      <c r="AN187" s="1194"/>
      <c r="AO187" s="151"/>
      <c r="AP187" s="151"/>
      <c r="AQ187" s="151"/>
      <c r="AR187" s="151"/>
      <c r="AS187" s="151"/>
      <c r="AT187" s="151"/>
      <c r="AU187" s="151"/>
      <c r="AV187" s="151"/>
      <c r="AW187" s="1195"/>
      <c r="AX187" s="1196"/>
      <c r="AY187" s="148"/>
      <c r="AZ187" s="151"/>
      <c r="BA187" s="151"/>
      <c r="BB187" s="1172"/>
      <c r="BC187" s="151"/>
      <c r="BD187" s="151"/>
      <c r="BE187" s="1171"/>
      <c r="BF187" s="1171"/>
      <c r="BG187" s="1171"/>
      <c r="BH187" s="1171"/>
      <c r="BI187" s="1171"/>
      <c r="BJ187" s="932"/>
      <c r="BK187" s="156"/>
      <c r="BL187" s="594"/>
      <c r="BM187" s="594"/>
      <c r="BN187" s="594"/>
      <c r="BO187" s="594"/>
      <c r="BP187" s="185"/>
      <c r="BQ187" s="156"/>
      <c r="BR187" s="594"/>
      <c r="BS187" s="594"/>
      <c r="BT187" s="594"/>
      <c r="BU187" s="594"/>
      <c r="BV187" s="156"/>
      <c r="BW187" s="158"/>
      <c r="BX187" s="185"/>
      <c r="BY187" s="185"/>
      <c r="BZ187" s="185"/>
      <c r="CA187" s="185"/>
    </row>
    <row r="188" spans="1:81" s="329" customFormat="1" ht="15" customHeight="1" x14ac:dyDescent="0.25">
      <c r="B188" s="952" t="s">
        <v>595</v>
      </c>
      <c r="C188" s="955"/>
      <c r="D188" s="967" t="s">
        <v>1091</v>
      </c>
      <c r="E188" s="497"/>
      <c r="F188" s="375"/>
      <c r="G188" s="374" t="s">
        <v>647</v>
      </c>
      <c r="H188" s="422" t="s">
        <v>598</v>
      </c>
      <c r="I188" s="246">
        <f>+'P01 2025'!F130</f>
        <v>178378</v>
      </c>
      <c r="J188" s="317">
        <f>+'P01 2025'!DE146</f>
        <v>178378</v>
      </c>
      <c r="K188" s="248">
        <f ca="1">SUMIF(T$3:$AM177,"ok",T188:AM188)</f>
        <v>258408.34000000003</v>
      </c>
      <c r="L188" s="379">
        <v>1</v>
      </c>
      <c r="M188" s="319">
        <f>'P01 2025'!DG146</f>
        <v>258408.34099999999</v>
      </c>
      <c r="N188" s="379">
        <v>1</v>
      </c>
      <c r="O188" s="317">
        <f t="shared" si="27"/>
        <v>-80030.340999999986</v>
      </c>
      <c r="P188" s="445">
        <v>0</v>
      </c>
      <c r="Q188" s="248">
        <f>+'P01 2024'!DJ139</f>
        <v>178367.476</v>
      </c>
      <c r="R188" s="248">
        <f ca="1">SUMIF(T$3:$AM176,"SI",T188:AM188)</f>
        <v>332902.24359800003</v>
      </c>
      <c r="S188" s="379">
        <v>1</v>
      </c>
      <c r="T188" s="326">
        <f>+'P01 2025'!G130</f>
        <v>0</v>
      </c>
      <c r="U188" s="468">
        <f>+'P01 2024'!K128</f>
        <v>48308.367274000004</v>
      </c>
      <c r="V188" s="468">
        <f>+'P01 2025'!N86</f>
        <v>56827.652999999998</v>
      </c>
      <c r="W188" s="175">
        <f>+'P01 2024'!Q80</f>
        <v>14814.223410000001</v>
      </c>
      <c r="X188" s="175">
        <v>0</v>
      </c>
      <c r="Y188" s="249">
        <f>+'P01 2024'!AE98</f>
        <v>19316.482422000001</v>
      </c>
      <c r="Z188" s="249">
        <f>+'P01 2025'!AR91</f>
        <v>64608.55</v>
      </c>
      <c r="AA188" s="175">
        <f>+'P01 2024'!AT88</f>
        <v>28539.706868000001</v>
      </c>
      <c r="AB188" s="175">
        <f>SUM(AB189:AB193)</f>
        <v>22563.653999999999</v>
      </c>
      <c r="AC188" s="175">
        <f>+'P01 2024'!BI82</f>
        <v>110952.36423200001</v>
      </c>
      <c r="AD188" s="175">
        <f>+'P01 2025'!BU98</f>
        <v>36737.858</v>
      </c>
      <c r="AE188" s="175">
        <f>+'P01 2024'!BX99</f>
        <v>29136.712432</v>
      </c>
      <c r="AF188" s="175">
        <f>+'P01 2025'!CI83</f>
        <v>51219.326999999997</v>
      </c>
      <c r="AG188" s="175">
        <f>+'P01 2024'!CM108</f>
        <v>22223.010129999999</v>
      </c>
      <c r="AH188" s="175">
        <f>+'P01 2025'!CX94</f>
        <v>26451.297999999999</v>
      </c>
      <c r="AI188" s="175">
        <f>+'P01 2024'!DB103</f>
        <v>59611.376830000001</v>
      </c>
      <c r="AJ188" s="175">
        <f>+'P01 2024'!DR97</f>
        <v>56745.569000000003</v>
      </c>
      <c r="AK188" s="175">
        <f>SUM(AK189:AK193)</f>
        <v>41494.175999999999</v>
      </c>
      <c r="AL188" s="249">
        <f>+'P01 2024'!ET94</f>
        <v>70336.353000000003</v>
      </c>
      <c r="AM188" s="175">
        <f>+'P01 2024'!FL119</f>
        <v>33357.678999999996</v>
      </c>
      <c r="AN188" s="1194"/>
      <c r="AO188" s="151"/>
      <c r="AP188" s="151"/>
      <c r="AQ188" s="151"/>
      <c r="AR188" s="151"/>
      <c r="AS188" s="151"/>
      <c r="AT188" s="151"/>
      <c r="AU188" s="151"/>
      <c r="AV188" s="151"/>
      <c r="AW188" s="1195"/>
      <c r="AX188" s="1196"/>
      <c r="AY188" s="148"/>
      <c r="AZ188" s="151"/>
      <c r="BA188" s="151"/>
      <c r="BB188" s="1172"/>
      <c r="BC188" s="151"/>
      <c r="BD188" s="151"/>
      <c r="BE188" s="1171"/>
      <c r="BF188" s="1171"/>
      <c r="BG188" s="1171"/>
      <c r="BH188" s="1171"/>
      <c r="BI188" s="151"/>
      <c r="BJ188" s="156"/>
      <c r="BK188" s="156"/>
      <c r="BL188" s="594"/>
      <c r="BM188" s="594"/>
      <c r="BN188" s="594"/>
      <c r="BO188" s="594"/>
      <c r="BP188" s="185"/>
      <c r="BQ188" s="156"/>
      <c r="BR188" s="594"/>
      <c r="BS188" s="594"/>
      <c r="BT188" s="594"/>
      <c r="BU188" s="594"/>
      <c r="BV188" s="156"/>
      <c r="BW188" s="158"/>
      <c r="BX188" s="185"/>
      <c r="BY188" s="185"/>
      <c r="BZ188" s="185"/>
      <c r="CA188" s="185"/>
    </row>
    <row r="189" spans="1:81" s="320" customFormat="1" ht="15" hidden="1" customHeight="1" x14ac:dyDescent="0.25">
      <c r="A189" s="329"/>
      <c r="B189" s="952" t="s">
        <v>844</v>
      </c>
      <c r="C189" s="955"/>
      <c r="D189" s="497"/>
      <c r="E189" s="497"/>
      <c r="F189" s="375"/>
      <c r="G189" s="374" t="s">
        <v>847</v>
      </c>
      <c r="H189" s="471" t="s">
        <v>846</v>
      </c>
      <c r="I189" s="246">
        <f>+'P01 2025'!F131</f>
        <v>178374</v>
      </c>
      <c r="J189" s="317">
        <f>+'P01 2025'!DE147</f>
        <v>178374</v>
      </c>
      <c r="K189" s="248">
        <f ca="1">SUMIF(T$3:$AM178,"ok",T189:AM189)</f>
        <v>253639.54400000002</v>
      </c>
      <c r="L189" s="379">
        <v>1</v>
      </c>
      <c r="M189" s="319">
        <f>'P01 2025'!DG147</f>
        <v>253639.54500000001</v>
      </c>
      <c r="N189" s="379">
        <v>1</v>
      </c>
      <c r="O189" s="317">
        <f t="shared" si="27"/>
        <v>-75265.545000000013</v>
      </c>
      <c r="P189" s="445">
        <v>0</v>
      </c>
      <c r="Q189" s="248">
        <f>+'P01 2024'!DJ140</f>
        <v>73982</v>
      </c>
      <c r="R189" s="248">
        <f ca="1">SUMIF(T$3:$AM177,"SI",T189:AM189)</f>
        <v>332902.24359800003</v>
      </c>
      <c r="S189" s="379">
        <v>1</v>
      </c>
      <c r="T189" s="326">
        <f>+'P01 2025'!G131</f>
        <v>0</v>
      </c>
      <c r="U189" s="468">
        <f>+'P01 2024'!K129</f>
        <v>48308.367274000004</v>
      </c>
      <c r="V189" s="468">
        <f>+'P01 2025'!N87</f>
        <v>56827.652999999998</v>
      </c>
      <c r="W189" s="175">
        <f>+'P01 2024'!Q81</f>
        <v>14814.223410000001</v>
      </c>
      <c r="X189" s="175">
        <v>0</v>
      </c>
      <c r="Y189" s="249">
        <f>+'P01 2024'!AE99</f>
        <v>19316.482422000001</v>
      </c>
      <c r="Z189" s="249">
        <f>+'P01 2025'!AR92</f>
        <v>64608.55</v>
      </c>
      <c r="AA189" s="175">
        <f>+'P01 2024'!AT89</f>
        <v>28539.706868000001</v>
      </c>
      <c r="AB189" s="175">
        <f>'P01 2025'!BF83</f>
        <v>22563.653999999999</v>
      </c>
      <c r="AC189" s="376">
        <f>+'P01 2024'!BI83</f>
        <v>110952.36423200001</v>
      </c>
      <c r="AD189" s="175">
        <f>+'P01 2025'!BU99</f>
        <v>36737.858</v>
      </c>
      <c r="AE189" s="175">
        <f>+'P01 2024'!BX100</f>
        <v>29136.712432</v>
      </c>
      <c r="AF189" s="175">
        <f>+'P01 2025'!CI84</f>
        <v>51219.326999999997</v>
      </c>
      <c r="AG189" s="175">
        <f>+'P01 2024'!CM109</f>
        <v>22223.010129999999</v>
      </c>
      <c r="AH189" s="175">
        <f>+'P01 2025'!CX95</f>
        <v>21682.502</v>
      </c>
      <c r="AI189" s="175">
        <f>+'P01 2024'!DB104</f>
        <v>59611.376830000001</v>
      </c>
      <c r="AJ189" s="175">
        <f>+'P01 2024'!DR98</f>
        <v>56745.569000000003</v>
      </c>
      <c r="AK189" s="175">
        <f>'P01 2024'!EG97</f>
        <v>40026.548999999999</v>
      </c>
      <c r="AL189" s="249">
        <f>+'P01 2024'!ET95</f>
        <v>36358.955000000002</v>
      </c>
      <c r="AM189" s="175">
        <f>+'P01 2024'!FL120</f>
        <v>33357.678999999996</v>
      </c>
      <c r="AN189" s="1194"/>
      <c r="AO189" s="151"/>
      <c r="AP189" s="151"/>
      <c r="AQ189" s="151"/>
      <c r="AR189" s="151"/>
      <c r="AS189" s="151"/>
      <c r="AT189" s="151"/>
      <c r="AU189" s="151"/>
      <c r="AV189" s="151"/>
      <c r="AW189" s="1195"/>
      <c r="AX189" s="1196"/>
      <c r="AY189" s="148"/>
      <c r="AZ189" s="151"/>
      <c r="BA189" s="151"/>
      <c r="BB189" s="1172"/>
      <c r="BC189" s="151"/>
      <c r="BD189" s="151"/>
      <c r="BE189" s="1171"/>
      <c r="BF189" s="1171"/>
      <c r="BG189" s="1171"/>
      <c r="BH189" s="1171"/>
      <c r="BI189" s="151"/>
      <c r="BJ189" s="156"/>
      <c r="BK189" s="156"/>
      <c r="BL189" s="594"/>
      <c r="BM189" s="594"/>
      <c r="BN189" s="594"/>
      <c r="BO189" s="594"/>
      <c r="BP189" s="185"/>
      <c r="BQ189" s="156"/>
      <c r="BR189" s="594"/>
      <c r="BS189" s="594"/>
      <c r="BT189" s="594"/>
      <c r="BU189" s="594"/>
      <c r="BV189" s="156"/>
      <c r="BW189" s="158"/>
      <c r="BX189" s="185"/>
      <c r="BY189" s="185"/>
      <c r="BZ189" s="185"/>
      <c r="CA189" s="185"/>
    </row>
    <row r="190" spans="1:81" s="320" customFormat="1" ht="15" hidden="1" customHeight="1" x14ac:dyDescent="0.25">
      <c r="A190" s="329"/>
      <c r="B190" s="952" t="s">
        <v>974</v>
      </c>
      <c r="C190" s="497"/>
      <c r="D190" s="497"/>
      <c r="E190" s="497"/>
      <c r="F190" s="375"/>
      <c r="G190" s="444" t="s">
        <v>886</v>
      </c>
      <c r="H190" s="471" t="s">
        <v>885</v>
      </c>
      <c r="I190" s="246">
        <f>+'P01 2025'!F132</f>
        <v>1</v>
      </c>
      <c r="J190" s="317">
        <f>+'P01 2025'!DE148</f>
        <v>1</v>
      </c>
      <c r="K190" s="248">
        <f ca="1">SUMIF(T$3:$AM179,"ok",T190:AM190)</f>
        <v>0</v>
      </c>
      <c r="L190" s="379">
        <f t="shared" ca="1" si="25"/>
        <v>0</v>
      </c>
      <c r="M190" s="319">
        <f>'P01 2025'!DG148</f>
        <v>0</v>
      </c>
      <c r="N190" s="379">
        <f t="shared" si="26"/>
        <v>0</v>
      </c>
      <c r="O190" s="317">
        <f t="shared" si="27"/>
        <v>1</v>
      </c>
      <c r="P190" s="445">
        <f t="shared" si="29"/>
        <v>1</v>
      </c>
      <c r="Q190" s="248">
        <v>0</v>
      </c>
      <c r="R190" s="248">
        <f ca="1">SUMIF(T$3:$AM178,"SI",T190:AM190)</f>
        <v>0</v>
      </c>
      <c r="S190" s="379" t="str">
        <f t="shared" ca="1" si="30"/>
        <v>0,00%</v>
      </c>
      <c r="T190" s="326">
        <f>+'P01 2025'!G132</f>
        <v>0</v>
      </c>
      <c r="U190" s="468">
        <v>0</v>
      </c>
      <c r="V190" s="468">
        <v>0</v>
      </c>
      <c r="W190" s="175">
        <v>0</v>
      </c>
      <c r="X190" s="175">
        <v>0</v>
      </c>
      <c r="Y190" s="249">
        <v>0</v>
      </c>
      <c r="Z190" s="249">
        <v>0</v>
      </c>
      <c r="AA190" s="175">
        <v>0</v>
      </c>
      <c r="AB190" s="175">
        <v>0</v>
      </c>
      <c r="AC190" s="376">
        <v>0</v>
      </c>
      <c r="AD190" s="175">
        <v>0</v>
      </c>
      <c r="AE190" s="175">
        <v>0</v>
      </c>
      <c r="AF190" s="175">
        <v>0</v>
      </c>
      <c r="AG190" s="175">
        <v>0</v>
      </c>
      <c r="AH190" s="249">
        <v>0</v>
      </c>
      <c r="AI190" s="175">
        <v>0</v>
      </c>
      <c r="AJ190" s="175">
        <v>0</v>
      </c>
      <c r="AK190" s="175">
        <v>0</v>
      </c>
      <c r="AL190" s="249">
        <v>0</v>
      </c>
      <c r="AM190" s="175">
        <v>0</v>
      </c>
      <c r="AN190" s="1194"/>
      <c r="AO190" s="151"/>
      <c r="AP190" s="151"/>
      <c r="AQ190" s="151"/>
      <c r="AR190" s="151"/>
      <c r="AS190" s="151"/>
      <c r="AT190" s="151"/>
      <c r="AU190" s="151"/>
      <c r="AV190" s="151"/>
      <c r="AW190" s="1195"/>
      <c r="AX190" s="1196"/>
      <c r="AY190" s="148"/>
      <c r="AZ190" s="151"/>
      <c r="BA190" s="151"/>
      <c r="BB190" s="1172"/>
      <c r="BC190" s="151"/>
      <c r="BD190" s="151"/>
      <c r="BE190" s="1171"/>
      <c r="BF190" s="1171"/>
      <c r="BG190" s="1171"/>
      <c r="BH190" s="1171"/>
      <c r="BI190" s="151"/>
      <c r="BJ190" s="156"/>
      <c r="BK190" s="156"/>
      <c r="BL190" s="594"/>
      <c r="BM190" s="594"/>
      <c r="BN190" s="594"/>
      <c r="BO190" s="594"/>
      <c r="BP190" s="185"/>
      <c r="BQ190" s="156"/>
      <c r="BR190" s="594"/>
      <c r="BS190" s="594"/>
      <c r="BT190" s="594"/>
      <c r="BU190" s="594"/>
      <c r="BV190" s="156"/>
      <c r="BW190" s="158"/>
      <c r="BX190" s="185"/>
      <c r="BY190" s="185"/>
      <c r="BZ190" s="185"/>
      <c r="CA190" s="185"/>
    </row>
    <row r="191" spans="1:81" s="320" customFormat="1" ht="15" hidden="1" customHeight="1" x14ac:dyDescent="0.25">
      <c r="A191" s="329"/>
      <c r="B191" s="952" t="s">
        <v>849</v>
      </c>
      <c r="C191" s="955"/>
      <c r="D191" s="497"/>
      <c r="E191" s="497"/>
      <c r="F191" s="375"/>
      <c r="G191" s="374" t="s">
        <v>882</v>
      </c>
      <c r="H191" s="471" t="s">
        <v>855</v>
      </c>
      <c r="I191" s="246">
        <f>+'P01 2025'!F133</f>
        <v>1</v>
      </c>
      <c r="J191" s="317">
        <f>+'P01 2025'!DE149</f>
        <v>1</v>
      </c>
      <c r="K191" s="248">
        <f ca="1">SUMIF(T$3:$AM180,"ok",T191:AM191)</f>
        <v>4768.7960000000003</v>
      </c>
      <c r="L191" s="379">
        <f t="shared" ca="1" si="25"/>
        <v>4768.7960000000003</v>
      </c>
      <c r="M191" s="319">
        <f>'P01 2025'!DG149</f>
        <v>4768.7960000000003</v>
      </c>
      <c r="N191" s="379">
        <f t="shared" si="26"/>
        <v>4768.7960000000003</v>
      </c>
      <c r="O191" s="317">
        <f t="shared" si="27"/>
        <v>-4767.7960000000003</v>
      </c>
      <c r="P191" s="445">
        <f t="shared" si="29"/>
        <v>-4767.7960000000003</v>
      </c>
      <c r="Q191" s="248">
        <f>+'P01 2024'!DJ141</f>
        <v>104.2</v>
      </c>
      <c r="R191" s="248">
        <f ca="1">SUMIF(T$3:$AM179,"SI",T191:AM191)</f>
        <v>0</v>
      </c>
      <c r="S191" s="379">
        <f t="shared" ca="1" si="30"/>
        <v>0</v>
      </c>
      <c r="T191" s="326">
        <f>+'P01 2025'!G133</f>
        <v>0</v>
      </c>
      <c r="U191" s="468">
        <f>+'P01 2024'!K130</f>
        <v>0</v>
      </c>
      <c r="V191" s="468">
        <v>0</v>
      </c>
      <c r="W191" s="376">
        <v>0</v>
      </c>
      <c r="X191" s="376">
        <v>0</v>
      </c>
      <c r="Y191" s="249">
        <v>0</v>
      </c>
      <c r="Z191" s="249">
        <v>0</v>
      </c>
      <c r="AA191" s="376">
        <v>0</v>
      </c>
      <c r="AB191" s="175">
        <v>0</v>
      </c>
      <c r="AC191" s="376">
        <v>0</v>
      </c>
      <c r="AD191" s="376">
        <v>0</v>
      </c>
      <c r="AE191" s="376">
        <v>0</v>
      </c>
      <c r="AF191" s="376">
        <v>0</v>
      </c>
      <c r="AG191" s="175">
        <v>0</v>
      </c>
      <c r="AH191" s="175">
        <f>+'P01 2025'!CX96</f>
        <v>4768.7960000000003</v>
      </c>
      <c r="AI191" s="175">
        <v>0</v>
      </c>
      <c r="AJ191" s="376">
        <v>0</v>
      </c>
      <c r="AK191" s="175">
        <f>'P01 2024'!EG98</f>
        <v>1467.627</v>
      </c>
      <c r="AL191" s="249">
        <f>+'P01 2024'!ET97</f>
        <v>1172.394</v>
      </c>
      <c r="AM191" s="175">
        <v>0</v>
      </c>
      <c r="AN191" s="1194"/>
      <c r="AO191" s="151"/>
      <c r="AP191" s="151"/>
      <c r="AQ191" s="151"/>
      <c r="AR191" s="151"/>
      <c r="AS191" s="151"/>
      <c r="AT191" s="151"/>
      <c r="AU191" s="151"/>
      <c r="AV191" s="151"/>
      <c r="AW191" s="1195"/>
      <c r="AX191" s="1196"/>
      <c r="AY191" s="148"/>
      <c r="AZ191" s="151"/>
      <c r="BA191" s="151"/>
      <c r="BB191" s="1172"/>
      <c r="BC191" s="151"/>
      <c r="BD191" s="151"/>
      <c r="BE191" s="1171"/>
      <c r="BF191" s="1171"/>
      <c r="BG191" s="1171"/>
      <c r="BH191" s="1171"/>
      <c r="BI191" s="151"/>
      <c r="BJ191" s="156"/>
      <c r="BK191" s="156"/>
      <c r="BL191" s="594"/>
      <c r="BM191" s="594"/>
      <c r="BN191" s="594"/>
      <c r="BO191" s="594"/>
      <c r="BP191" s="185"/>
      <c r="BQ191" s="156"/>
      <c r="BR191" s="594"/>
      <c r="BS191" s="594"/>
      <c r="BT191" s="594"/>
      <c r="BU191" s="594"/>
      <c r="BV191" s="156"/>
      <c r="BW191" s="158"/>
      <c r="BX191" s="185"/>
      <c r="BY191" s="185"/>
      <c r="BZ191" s="185"/>
      <c r="CA191" s="185"/>
    </row>
    <row r="192" spans="1:81" s="320" customFormat="1" ht="15" hidden="1" customHeight="1" x14ac:dyDescent="0.25">
      <c r="A192" s="329"/>
      <c r="B192" s="952" t="s">
        <v>850</v>
      </c>
      <c r="C192" s="955"/>
      <c r="D192" s="497"/>
      <c r="E192" s="497"/>
      <c r="F192" s="375"/>
      <c r="G192" s="374" t="s">
        <v>883</v>
      </c>
      <c r="H192" s="471" t="s">
        <v>856</v>
      </c>
      <c r="I192" s="246">
        <f>+'P01 2025'!F134</f>
        <v>1</v>
      </c>
      <c r="J192" s="317">
        <f>+'P01 2025'!DE150</f>
        <v>1</v>
      </c>
      <c r="K192" s="248">
        <f ca="1">SUMIF(T$3:$AM180,"ok",T192:AM192)</f>
        <v>0</v>
      </c>
      <c r="L192" s="379">
        <f t="shared" ca="1" si="25"/>
        <v>0</v>
      </c>
      <c r="M192" s="319">
        <f>'P01 2025'!DG150</f>
        <v>0</v>
      </c>
      <c r="N192" s="379">
        <f t="shared" si="26"/>
        <v>0</v>
      </c>
      <c r="O192" s="317">
        <f t="shared" si="27"/>
        <v>1</v>
      </c>
      <c r="P192" s="445">
        <f t="shared" si="29"/>
        <v>1</v>
      </c>
      <c r="Q192" s="248">
        <f>+'P01 2024'!DJ142</f>
        <v>81.275999999999996</v>
      </c>
      <c r="R192" s="248">
        <f ca="1">SUMIF(T$3:$AM180,"SI",T192:AM192)</f>
        <v>0</v>
      </c>
      <c r="S192" s="379">
        <f t="shared" ca="1" si="30"/>
        <v>0</v>
      </c>
      <c r="T192" s="326">
        <f>+'P01 2025'!G134</f>
        <v>0</v>
      </c>
      <c r="U192" s="468">
        <f>+'P01 2024'!K131</f>
        <v>0</v>
      </c>
      <c r="V192" s="468">
        <v>0</v>
      </c>
      <c r="W192" s="376">
        <v>0</v>
      </c>
      <c r="X192" s="376">
        <v>0</v>
      </c>
      <c r="Y192" s="249">
        <v>0</v>
      </c>
      <c r="Z192" s="249">
        <v>0</v>
      </c>
      <c r="AA192" s="376">
        <v>0</v>
      </c>
      <c r="AB192" s="175">
        <v>0</v>
      </c>
      <c r="AC192" s="376">
        <v>0</v>
      </c>
      <c r="AD192" s="376">
        <v>0</v>
      </c>
      <c r="AE192" s="376">
        <v>0</v>
      </c>
      <c r="AF192" s="376">
        <v>0</v>
      </c>
      <c r="AG192" s="175">
        <v>0</v>
      </c>
      <c r="AH192" s="249">
        <v>0</v>
      </c>
      <c r="AI192" s="376">
        <v>0</v>
      </c>
      <c r="AJ192" s="376">
        <v>0</v>
      </c>
      <c r="AK192" s="175">
        <v>0</v>
      </c>
      <c r="AL192" s="249">
        <v>0</v>
      </c>
      <c r="AM192" s="175">
        <v>0</v>
      </c>
      <c r="AN192" s="1194"/>
      <c r="AO192" s="151"/>
      <c r="AP192" s="151"/>
      <c r="AQ192" s="151"/>
      <c r="AR192" s="151"/>
      <c r="AS192" s="151"/>
      <c r="AT192" s="151"/>
      <c r="AU192" s="151"/>
      <c r="AV192" s="151"/>
      <c r="AW192" s="1195"/>
      <c r="AX192" s="1196"/>
      <c r="AY192" s="148"/>
      <c r="AZ192" s="151"/>
      <c r="BA192" s="151"/>
      <c r="BB192" s="1172"/>
      <c r="BC192" s="151"/>
      <c r="BD192" s="151"/>
      <c r="BE192" s="1171"/>
      <c r="BF192" s="1171"/>
      <c r="BG192" s="1171"/>
      <c r="BH192" s="1171"/>
      <c r="BI192" s="151"/>
      <c r="BJ192" s="156"/>
      <c r="BK192" s="156"/>
      <c r="BL192" s="594"/>
      <c r="BM192" s="594"/>
      <c r="BN192" s="594"/>
      <c r="BO192" s="594"/>
      <c r="BP192" s="185"/>
      <c r="BQ192" s="156"/>
      <c r="BR192" s="594"/>
      <c r="BS192" s="594"/>
      <c r="BT192" s="594"/>
      <c r="BU192" s="594"/>
      <c r="BV192" s="156"/>
      <c r="BW192" s="158"/>
      <c r="BX192" s="185"/>
      <c r="BY192" s="185"/>
      <c r="BZ192" s="185"/>
      <c r="CA192" s="185"/>
    </row>
    <row r="193" spans="1:80" s="320" customFormat="1" ht="15" hidden="1" customHeight="1" x14ac:dyDescent="0.25">
      <c r="A193" s="329"/>
      <c r="B193" s="952" t="s">
        <v>851</v>
      </c>
      <c r="C193" s="955"/>
      <c r="D193" s="497"/>
      <c r="E193" s="497"/>
      <c r="F193" s="375"/>
      <c r="G193" s="374" t="s">
        <v>854</v>
      </c>
      <c r="H193" s="471" t="s">
        <v>51</v>
      </c>
      <c r="I193" s="246">
        <f>+'P01 2025'!F135</f>
        <v>1</v>
      </c>
      <c r="J193" s="317">
        <f>+'P01 2025'!DE151</f>
        <v>1</v>
      </c>
      <c r="K193" s="248">
        <f ca="1">SUMIF(T$3:$AM181,"ok",T193:AM193)</f>
        <v>0</v>
      </c>
      <c r="L193" s="379">
        <f t="shared" ca="1" si="25"/>
        <v>0</v>
      </c>
      <c r="M193" s="319">
        <f>'P01 2025'!DG151</f>
        <v>0</v>
      </c>
      <c r="N193" s="379">
        <f t="shared" si="26"/>
        <v>0</v>
      </c>
      <c r="O193" s="317">
        <f t="shared" si="27"/>
        <v>1</v>
      </c>
      <c r="P193" s="445">
        <f t="shared" si="29"/>
        <v>1</v>
      </c>
      <c r="Q193" s="248">
        <f>+'P01 2024'!DJ143</f>
        <v>104200</v>
      </c>
      <c r="R193" s="248">
        <f ca="1">SUMIF(T$3:$AM181,"SI",T193:AM193)</f>
        <v>0</v>
      </c>
      <c r="S193" s="379">
        <f t="shared" ca="1" si="30"/>
        <v>0</v>
      </c>
      <c r="T193" s="326">
        <f>+'P01 2025'!G135</f>
        <v>0</v>
      </c>
      <c r="U193" s="468">
        <f>+'P01 2024'!K132</f>
        <v>0</v>
      </c>
      <c r="V193" s="468">
        <v>0</v>
      </c>
      <c r="W193" s="376">
        <v>0</v>
      </c>
      <c r="X193" s="376">
        <v>0</v>
      </c>
      <c r="Y193" s="249">
        <v>0</v>
      </c>
      <c r="Z193" s="249">
        <v>0</v>
      </c>
      <c r="AA193" s="376">
        <v>0</v>
      </c>
      <c r="AB193" s="175">
        <v>0</v>
      </c>
      <c r="AC193" s="376">
        <v>0</v>
      </c>
      <c r="AD193" s="376">
        <v>0</v>
      </c>
      <c r="AE193" s="376">
        <v>0</v>
      </c>
      <c r="AF193" s="376">
        <v>0</v>
      </c>
      <c r="AG193" s="376">
        <v>0</v>
      </c>
      <c r="AH193" s="249">
        <v>0</v>
      </c>
      <c r="AI193" s="376">
        <v>0</v>
      </c>
      <c r="AJ193" s="376">
        <v>0</v>
      </c>
      <c r="AK193" s="175">
        <v>0</v>
      </c>
      <c r="AL193" s="249">
        <v>0</v>
      </c>
      <c r="AM193" s="175">
        <v>0</v>
      </c>
      <c r="AN193" s="1194"/>
      <c r="AO193" s="151"/>
      <c r="AP193" s="151"/>
      <c r="AQ193" s="151"/>
      <c r="AR193" s="151"/>
      <c r="AS193" s="151"/>
      <c r="AT193" s="151"/>
      <c r="AU193" s="151"/>
      <c r="AV193" s="151"/>
      <c r="AW193" s="1195"/>
      <c r="AX193" s="1196"/>
      <c r="AY193" s="148"/>
      <c r="AZ193" s="151"/>
      <c r="BA193" s="151"/>
      <c r="BB193" s="1172"/>
      <c r="BC193" s="151"/>
      <c r="BD193" s="151"/>
      <c r="BE193" s="1171"/>
      <c r="BF193" s="1171"/>
      <c r="BG193" s="1171"/>
      <c r="BH193" s="1171"/>
      <c r="BI193" s="151"/>
      <c r="BJ193" s="156"/>
      <c r="BK193" s="156"/>
      <c r="BL193" s="594"/>
      <c r="BM193" s="594"/>
      <c r="BN193" s="594"/>
      <c r="BO193" s="594"/>
      <c r="BP193" s="185"/>
      <c r="BQ193" s="156"/>
      <c r="BR193" s="594"/>
      <c r="BS193" s="594"/>
      <c r="BT193" s="594"/>
      <c r="BU193" s="594"/>
      <c r="BV193" s="156"/>
      <c r="BW193" s="158"/>
      <c r="BX193" s="185"/>
      <c r="BY193" s="185"/>
      <c r="BZ193" s="185"/>
      <c r="CA193" s="185"/>
    </row>
    <row r="194" spans="1:80" ht="15" customHeight="1" x14ac:dyDescent="0.25">
      <c r="B194" s="169" t="s">
        <v>577</v>
      </c>
      <c r="C194" s="508">
        <v>29</v>
      </c>
      <c r="D194" s="172" t="s">
        <v>2</v>
      </c>
      <c r="E194" s="237"/>
      <c r="F194" s="237"/>
      <c r="G194" s="238"/>
      <c r="H194" s="503" t="s">
        <v>304</v>
      </c>
      <c r="I194" s="145">
        <f>+'P01 2025'!F136+11957</f>
        <v>239135</v>
      </c>
      <c r="J194" s="306">
        <f>+'P01 2025'!DE152</f>
        <v>227178</v>
      </c>
      <c r="K194" s="306">
        <f ca="1">SUMIF(T$3:$AM179,"ok",T194:AM194)</f>
        <v>66778.896999999997</v>
      </c>
      <c r="L194" s="378">
        <f t="shared" ca="1" si="25"/>
        <v>0.2939496650203805</v>
      </c>
      <c r="M194" s="323">
        <f>'P01 2025'!DG152</f>
        <v>67159.697</v>
      </c>
      <c r="N194" s="378">
        <f t="shared" si="26"/>
        <v>0.29562588366831294</v>
      </c>
      <c r="O194" s="306">
        <f t="shared" si="27"/>
        <v>160018.30300000001</v>
      </c>
      <c r="P194" s="443">
        <f t="shared" si="29"/>
        <v>0.70437411633168712</v>
      </c>
      <c r="Q194" s="321">
        <f>+'P01 2024'!DJ144</f>
        <v>319211.49</v>
      </c>
      <c r="R194" s="321">
        <f ca="1">SUMIF(U$3:$AM172,"SI",U194:AM194)</f>
        <v>108845.412098</v>
      </c>
      <c r="S194" s="378">
        <f t="shared" ca="1" si="30"/>
        <v>0.34098212472865563</v>
      </c>
      <c r="T194" s="509">
        <f>+'P01 2025'!G136</f>
        <v>0</v>
      </c>
      <c r="U194" s="467">
        <f>+'P01 2024'!K135</f>
        <v>4328.3377500000006</v>
      </c>
      <c r="V194" s="467">
        <f>+'P01 2025'!N88</f>
        <v>25191.001</v>
      </c>
      <c r="W194" s="86">
        <f>+'P01 2024'!Q82</f>
        <v>31839.976157999998</v>
      </c>
      <c r="X194" s="86">
        <v>0</v>
      </c>
      <c r="Y194" s="86">
        <v>0</v>
      </c>
      <c r="Z194" s="86">
        <v>0</v>
      </c>
      <c r="AA194" s="155">
        <f>+'P01 2024'!AT90</f>
        <v>6456.4664500000008</v>
      </c>
      <c r="AB194" s="155">
        <v>0</v>
      </c>
      <c r="AC194" s="155">
        <v>0</v>
      </c>
      <c r="AD194" s="155">
        <v>0</v>
      </c>
      <c r="AE194" s="155">
        <f>+'P01 2024'!BX101</f>
        <v>2597.0026499999999</v>
      </c>
      <c r="AF194" s="155">
        <f>+'P01 2025'!CI85</f>
        <v>3321.2440000000001</v>
      </c>
      <c r="AG194" s="86">
        <f>+'P01 2024'!CM110</f>
        <v>5016.9434500000007</v>
      </c>
      <c r="AH194" s="86">
        <f>+'P01 2025'!CX97</f>
        <v>38266.652000000002</v>
      </c>
      <c r="AI194" s="86">
        <f>+'P01 2024'!DB105</f>
        <v>58606.685640000003</v>
      </c>
      <c r="AJ194" s="86">
        <v>0</v>
      </c>
      <c r="AK194" s="155">
        <f>AK195+AK196+AK197+AK198+AK199+AK202</f>
        <v>8018.2179999999998</v>
      </c>
      <c r="AL194" s="155">
        <f>+'P01 2024'!ET98</f>
        <v>103353.62</v>
      </c>
      <c r="AM194" s="86">
        <f>+'P01 2024'!FL121</f>
        <v>45579.02</v>
      </c>
      <c r="AN194" s="1194"/>
      <c r="AO194" s="151"/>
      <c r="AP194" s="151"/>
      <c r="AQ194" s="151"/>
      <c r="AR194" s="151"/>
      <c r="AS194" s="151"/>
      <c r="AT194" s="151"/>
      <c r="AU194" s="151"/>
      <c r="AV194" s="151"/>
      <c r="AW194" s="1195"/>
      <c r="AX194" s="1196"/>
      <c r="AY194" s="148"/>
      <c r="AZ194" s="151"/>
      <c r="BA194" s="151"/>
      <c r="BB194" s="1172"/>
      <c r="BC194" s="151"/>
      <c r="BD194" s="151"/>
      <c r="BE194" s="1171"/>
      <c r="BF194" s="1171"/>
      <c r="BG194" s="1171"/>
      <c r="BH194" s="1171"/>
      <c r="BI194" s="1171"/>
      <c r="BJ194" s="932"/>
      <c r="BK194" s="156"/>
      <c r="BL194" s="594"/>
      <c r="BM194" s="594"/>
      <c r="BN194" s="594"/>
      <c r="BO194" s="594"/>
      <c r="BQ194" s="156"/>
      <c r="BR194" s="594"/>
      <c r="BS194" s="594"/>
      <c r="BT194" s="594"/>
      <c r="BU194" s="594"/>
      <c r="BV194" s="156"/>
      <c r="BW194" s="158"/>
      <c r="CB194" s="85"/>
    </row>
    <row r="195" spans="1:80" s="320" customFormat="1" ht="15" customHeight="1" x14ac:dyDescent="0.25">
      <c r="A195" s="329"/>
      <c r="B195" s="952" t="s">
        <v>768</v>
      </c>
      <c r="C195" s="955"/>
      <c r="D195" s="794">
        <v>3</v>
      </c>
      <c r="E195" s="927"/>
      <c r="F195" s="331"/>
      <c r="G195" s="972" t="s">
        <v>776</v>
      </c>
      <c r="H195" s="328" t="s">
        <v>775</v>
      </c>
      <c r="I195" s="246">
        <f>+'P01 2025'!F137</f>
        <v>26050</v>
      </c>
      <c r="J195" s="317">
        <f>+'P01 2025'!DE153</f>
        <v>26050</v>
      </c>
      <c r="K195" s="317">
        <f ca="1">SUMIF(T$3:$AM180,"ok",T195:AM195)</f>
        <v>25191.001</v>
      </c>
      <c r="L195" s="379">
        <f t="shared" ca="1" si="25"/>
        <v>0.96702499040307099</v>
      </c>
      <c r="M195" s="319">
        <f>'P01 2025'!DG153</f>
        <v>25191.001</v>
      </c>
      <c r="N195" s="379">
        <f t="shared" si="26"/>
        <v>0.96702499040307099</v>
      </c>
      <c r="O195" s="317">
        <f t="shared" si="27"/>
        <v>858.9989999999998</v>
      </c>
      <c r="P195" s="445">
        <f t="shared" si="29"/>
        <v>3.2975009596928978E-2</v>
      </c>
      <c r="Q195" s="248">
        <f>+'P01 2024'!DJ145</f>
        <v>23445</v>
      </c>
      <c r="R195" s="175">
        <f ca="1">SUMIF(T$3:$AM174,"SI",T195:AM195)</f>
        <v>23399.776158000001</v>
      </c>
      <c r="S195" s="379">
        <f t="shared" ca="1" si="30"/>
        <v>0.99807106666666667</v>
      </c>
      <c r="T195" s="326">
        <f>+'P01 2025'!G137</f>
        <v>0</v>
      </c>
      <c r="U195" s="468">
        <f>+'P01 2024'!K136</f>
        <v>0</v>
      </c>
      <c r="V195" s="468">
        <f>+'P01 2025'!N89</f>
        <v>25191.001</v>
      </c>
      <c r="W195" s="175">
        <f>+'P01 2024'!Q83</f>
        <v>23399.776158000001</v>
      </c>
      <c r="X195" s="175">
        <v>0</v>
      </c>
      <c r="Y195" s="249">
        <v>0</v>
      </c>
      <c r="Z195" s="249">
        <v>0</v>
      </c>
      <c r="AA195" s="249">
        <v>0</v>
      </c>
      <c r="AB195" s="249">
        <v>0</v>
      </c>
      <c r="AC195" s="249">
        <v>0</v>
      </c>
      <c r="AD195" s="249">
        <v>0</v>
      </c>
      <c r="AE195" s="249">
        <v>0</v>
      </c>
      <c r="AF195" s="249">
        <v>0</v>
      </c>
      <c r="AG195" s="175">
        <v>0</v>
      </c>
      <c r="AH195" s="249">
        <v>0</v>
      </c>
      <c r="AI195" s="175">
        <v>0</v>
      </c>
      <c r="AJ195" s="249">
        <v>0</v>
      </c>
      <c r="AK195" s="175">
        <v>0</v>
      </c>
      <c r="AL195" s="249">
        <v>0</v>
      </c>
      <c r="AM195" s="249">
        <v>0</v>
      </c>
      <c r="AN195" s="1194"/>
      <c r="AO195" s="151"/>
      <c r="AP195" s="151"/>
      <c r="AQ195" s="151"/>
      <c r="AR195" s="151"/>
      <c r="AS195" s="151"/>
      <c r="AT195" s="151"/>
      <c r="AU195" s="151"/>
      <c r="AV195" s="151"/>
      <c r="AW195" s="1195"/>
      <c r="AX195" s="1196"/>
      <c r="AY195" s="148"/>
      <c r="AZ195" s="151"/>
      <c r="BA195" s="151"/>
      <c r="BB195" s="1172"/>
      <c r="BC195" s="151"/>
      <c r="BD195" s="151"/>
      <c r="BE195" s="1171"/>
      <c r="BF195" s="1171"/>
      <c r="BG195" s="1171"/>
      <c r="BH195" s="1171"/>
      <c r="BI195" s="151"/>
      <c r="BJ195" s="156"/>
      <c r="BK195" s="156"/>
      <c r="BL195" s="594"/>
      <c r="BM195" s="594"/>
      <c r="BN195" s="594"/>
      <c r="BO195" s="594"/>
      <c r="BP195" s="185"/>
      <c r="BQ195" s="156"/>
      <c r="BR195" s="594"/>
      <c r="BS195" s="594"/>
      <c r="BT195" s="594"/>
      <c r="BU195" s="594"/>
      <c r="BV195" s="156"/>
      <c r="BW195" s="158"/>
      <c r="BX195" s="185"/>
      <c r="BY195" s="185"/>
      <c r="BZ195" s="185"/>
      <c r="CA195" s="185"/>
    </row>
    <row r="196" spans="1:80" s="320" customFormat="1" ht="15" hidden="1" customHeight="1" x14ac:dyDescent="0.25">
      <c r="A196" s="329"/>
      <c r="B196" s="952" t="s">
        <v>824</v>
      </c>
      <c r="C196" s="955"/>
      <c r="D196" s="794" t="s">
        <v>164</v>
      </c>
      <c r="E196" s="927"/>
      <c r="F196" s="331"/>
      <c r="G196" s="972" t="s">
        <v>831</v>
      </c>
      <c r="H196" s="328" t="s">
        <v>826</v>
      </c>
      <c r="I196" s="246">
        <v>0</v>
      </c>
      <c r="J196" s="318">
        <v>0</v>
      </c>
      <c r="K196" s="317">
        <f ca="1">SUMIF(T$3:$AM181,"ok",T196:AM196)</f>
        <v>0</v>
      </c>
      <c r="L196" s="379">
        <f t="shared" ca="1" si="25"/>
        <v>0</v>
      </c>
      <c r="M196" s="319">
        <v>0</v>
      </c>
      <c r="N196" s="379">
        <f t="shared" si="26"/>
        <v>0</v>
      </c>
      <c r="O196" s="317">
        <f t="shared" si="27"/>
        <v>0</v>
      </c>
      <c r="P196" s="445">
        <f t="shared" si="29"/>
        <v>0</v>
      </c>
      <c r="Q196" s="248">
        <f>+'P01 2024'!DJ146</f>
        <v>21882</v>
      </c>
      <c r="R196" s="175">
        <f ca="1">SUMIF(U$3:$AM172,"SI",U196:AM201)</f>
        <v>2153.8452600000001</v>
      </c>
      <c r="S196" s="379">
        <f t="shared" ca="1" si="30"/>
        <v>9.8430000000000004E-2</v>
      </c>
      <c r="T196" s="326">
        <v>0</v>
      </c>
      <c r="U196" s="468">
        <v>0</v>
      </c>
      <c r="V196" s="468">
        <v>0</v>
      </c>
      <c r="W196" s="175">
        <v>0</v>
      </c>
      <c r="X196" s="175">
        <v>0</v>
      </c>
      <c r="Y196" s="249">
        <v>0</v>
      </c>
      <c r="Z196" s="249">
        <v>0</v>
      </c>
      <c r="AA196" s="249">
        <v>0</v>
      </c>
      <c r="AB196" s="249">
        <v>0</v>
      </c>
      <c r="AC196" s="249">
        <v>0</v>
      </c>
      <c r="AD196" s="249">
        <v>0</v>
      </c>
      <c r="AE196" s="249">
        <v>0</v>
      </c>
      <c r="AF196" s="249">
        <v>0</v>
      </c>
      <c r="AG196" s="175">
        <f>+'P01 2024'!CM111</f>
        <v>235.59620000000001</v>
      </c>
      <c r="AH196" s="249">
        <v>0</v>
      </c>
      <c r="AI196" s="175">
        <f>+'P01 2024'!DB106</f>
        <v>1918.2490600000001</v>
      </c>
      <c r="AJ196" s="249">
        <v>0</v>
      </c>
      <c r="AK196" s="249">
        <v>0</v>
      </c>
      <c r="AL196" s="249">
        <f>+'P01 2024'!ET99</f>
        <v>14394.135</v>
      </c>
      <c r="AM196" s="249">
        <v>0</v>
      </c>
      <c r="AN196" s="1139"/>
      <c r="AO196" s="156"/>
      <c r="AP196" s="156"/>
      <c r="AQ196" s="156"/>
      <c r="AR196" s="156"/>
      <c r="AS196" s="156"/>
      <c r="AT196" s="156"/>
      <c r="AU196" s="156"/>
      <c r="AV196" s="156"/>
      <c r="AW196" s="1140"/>
      <c r="AX196" s="1197"/>
      <c r="AY196" s="148"/>
      <c r="AZ196" s="151"/>
      <c r="BA196" s="151"/>
      <c r="BB196" s="1172"/>
      <c r="BC196" s="151"/>
      <c r="BD196" s="151"/>
      <c r="BE196" s="1171"/>
      <c r="BF196" s="1171"/>
      <c r="BG196" s="1171"/>
      <c r="BH196" s="1171"/>
      <c r="BI196" s="151"/>
      <c r="BJ196" s="156"/>
      <c r="BK196" s="156"/>
      <c r="BL196" s="594"/>
      <c r="BM196" s="594"/>
      <c r="BN196" s="594"/>
      <c r="BO196" s="594"/>
      <c r="BP196" s="185"/>
      <c r="BQ196" s="156"/>
      <c r="BR196" s="594"/>
      <c r="BS196" s="594"/>
      <c r="BT196" s="594"/>
      <c r="BU196" s="594"/>
      <c r="BV196" s="156"/>
      <c r="BW196" s="158"/>
      <c r="BX196" s="185"/>
      <c r="BY196" s="185"/>
      <c r="BZ196" s="185"/>
      <c r="CA196" s="185"/>
    </row>
    <row r="197" spans="1:80" s="320" customFormat="1" ht="15" hidden="1" customHeight="1" x14ac:dyDescent="0.25">
      <c r="A197" s="329"/>
      <c r="B197" s="952" t="s">
        <v>862</v>
      </c>
      <c r="C197" s="955"/>
      <c r="D197" s="794" t="s">
        <v>174</v>
      </c>
      <c r="E197" s="927"/>
      <c r="F197" s="331"/>
      <c r="G197" s="972" t="s">
        <v>869</v>
      </c>
      <c r="H197" s="328" t="s">
        <v>867</v>
      </c>
      <c r="I197" s="246">
        <v>0</v>
      </c>
      <c r="J197" s="318">
        <v>0</v>
      </c>
      <c r="K197" s="317">
        <f ca="1">SUMIF(T$3:$AM182,"ok",T197:AM197)</f>
        <v>0</v>
      </c>
      <c r="L197" s="379">
        <f t="shared" ca="1" si="25"/>
        <v>0</v>
      </c>
      <c r="M197" s="319">
        <v>0</v>
      </c>
      <c r="N197" s="379">
        <f t="shared" si="26"/>
        <v>0</v>
      </c>
      <c r="O197" s="317">
        <f t="shared" si="27"/>
        <v>0</v>
      </c>
      <c r="P197" s="445">
        <f t="shared" si="29"/>
        <v>0</v>
      </c>
      <c r="Q197" s="249">
        <v>0</v>
      </c>
      <c r="R197" s="175">
        <f ca="1">SUMIF(T$3:$AM177,"SI",T197:AM197)</f>
        <v>0</v>
      </c>
      <c r="S197" s="379" t="str">
        <f t="shared" ca="1" si="30"/>
        <v>0,00%</v>
      </c>
      <c r="T197" s="326">
        <v>0</v>
      </c>
      <c r="U197" s="468">
        <v>0</v>
      </c>
      <c r="V197" s="468">
        <v>0</v>
      </c>
      <c r="W197" s="175">
        <v>0</v>
      </c>
      <c r="X197" s="175">
        <v>0</v>
      </c>
      <c r="Y197" s="249">
        <v>0</v>
      </c>
      <c r="Z197" s="249">
        <v>0</v>
      </c>
      <c r="AA197" s="175">
        <v>0</v>
      </c>
      <c r="AB197" s="249">
        <v>0</v>
      </c>
      <c r="AC197" s="175">
        <v>0</v>
      </c>
      <c r="AD197" s="249">
        <v>0</v>
      </c>
      <c r="AE197" s="175">
        <v>0</v>
      </c>
      <c r="AF197" s="175">
        <v>0</v>
      </c>
      <c r="AG197" s="175">
        <v>0</v>
      </c>
      <c r="AH197" s="249">
        <v>0</v>
      </c>
      <c r="AI197" s="175">
        <v>0</v>
      </c>
      <c r="AJ197" s="175">
        <v>0</v>
      </c>
      <c r="AK197" s="175">
        <v>0</v>
      </c>
      <c r="AL197" s="175">
        <v>0</v>
      </c>
      <c r="AM197" s="175">
        <v>0</v>
      </c>
      <c r="AN197" s="1139"/>
      <c r="AO197" s="156"/>
      <c r="AP197" s="156"/>
      <c r="AQ197" s="156"/>
      <c r="AR197" s="156"/>
      <c r="AS197" s="156"/>
      <c r="AT197" s="156"/>
      <c r="AU197" s="156"/>
      <c r="AV197" s="156"/>
      <c r="AW197" s="1140"/>
      <c r="AX197" s="1197"/>
      <c r="AY197" s="148"/>
      <c r="AZ197" s="151"/>
      <c r="BA197" s="151"/>
      <c r="BB197" s="1172"/>
      <c r="BC197" s="151"/>
      <c r="BD197" s="151"/>
      <c r="BE197" s="1171"/>
      <c r="BF197" s="1171"/>
      <c r="BG197" s="1171"/>
      <c r="BH197" s="1171"/>
      <c r="BI197" s="151"/>
      <c r="BJ197" s="156"/>
      <c r="BK197" s="156"/>
      <c r="BL197" s="594"/>
      <c r="BM197" s="594"/>
      <c r="BN197" s="594"/>
      <c r="BO197" s="594"/>
      <c r="BP197" s="185"/>
      <c r="BQ197" s="156"/>
      <c r="BR197" s="594"/>
      <c r="BS197" s="594"/>
      <c r="BT197" s="594"/>
      <c r="BU197" s="594"/>
      <c r="BV197" s="156"/>
      <c r="BW197" s="158"/>
      <c r="BX197" s="185"/>
      <c r="BY197" s="185"/>
      <c r="BZ197" s="185"/>
      <c r="CA197" s="185"/>
    </row>
    <row r="198" spans="1:80" s="320" customFormat="1" ht="15" hidden="1" customHeight="1" x14ac:dyDescent="0.25">
      <c r="A198" s="329"/>
      <c r="B198" s="952" t="s">
        <v>863</v>
      </c>
      <c r="C198" s="955"/>
      <c r="D198" s="794"/>
      <c r="E198" s="927" t="s">
        <v>165</v>
      </c>
      <c r="F198" s="331"/>
      <c r="G198" s="972" t="s">
        <v>208</v>
      </c>
      <c r="H198" s="328" t="s">
        <v>868</v>
      </c>
      <c r="I198" s="246">
        <v>0</v>
      </c>
      <c r="J198" s="318">
        <v>0</v>
      </c>
      <c r="K198" s="317">
        <f ca="1">SUMIF(T$3:$AM183,"ok",T198:AM198)</f>
        <v>0</v>
      </c>
      <c r="L198" s="379">
        <f t="shared" ca="1" si="25"/>
        <v>0</v>
      </c>
      <c r="M198" s="319">
        <v>0</v>
      </c>
      <c r="N198" s="379">
        <f t="shared" si="26"/>
        <v>0</v>
      </c>
      <c r="O198" s="317">
        <f t="shared" si="27"/>
        <v>0</v>
      </c>
      <c r="P198" s="445">
        <f t="shared" si="29"/>
        <v>0</v>
      </c>
      <c r="Q198" s="249">
        <v>0</v>
      </c>
      <c r="R198" s="175">
        <f ca="1">SUMIF(T$3:$AM178,"SI",T198:AM198)</f>
        <v>0</v>
      </c>
      <c r="S198" s="379" t="str">
        <f t="shared" ca="1" si="30"/>
        <v>0,00%</v>
      </c>
      <c r="T198" s="326">
        <v>0</v>
      </c>
      <c r="U198" s="468">
        <v>0</v>
      </c>
      <c r="V198" s="468">
        <v>0</v>
      </c>
      <c r="W198" s="175">
        <v>0</v>
      </c>
      <c r="X198" s="175">
        <v>0</v>
      </c>
      <c r="Y198" s="249">
        <v>0</v>
      </c>
      <c r="Z198" s="249">
        <v>0</v>
      </c>
      <c r="AA198" s="175">
        <v>0</v>
      </c>
      <c r="AB198" s="249">
        <v>0</v>
      </c>
      <c r="AC198" s="175">
        <v>0</v>
      </c>
      <c r="AD198" s="249">
        <v>0</v>
      </c>
      <c r="AE198" s="175">
        <v>0</v>
      </c>
      <c r="AF198" s="175">
        <v>0</v>
      </c>
      <c r="AG198" s="175">
        <v>0</v>
      </c>
      <c r="AH198" s="249">
        <v>0</v>
      </c>
      <c r="AI198" s="175">
        <v>0</v>
      </c>
      <c r="AJ198" s="175">
        <v>0</v>
      </c>
      <c r="AK198" s="175">
        <v>0</v>
      </c>
      <c r="AL198" s="175">
        <v>0</v>
      </c>
      <c r="AM198" s="175">
        <v>0</v>
      </c>
      <c r="AN198" s="1139"/>
      <c r="AO198" s="156"/>
      <c r="AP198" s="156"/>
      <c r="AQ198" s="156"/>
      <c r="AR198" s="156"/>
      <c r="AS198" s="156"/>
      <c r="AT198" s="156"/>
      <c r="AU198" s="156"/>
      <c r="AV198" s="156"/>
      <c r="AW198" s="1140"/>
      <c r="AX198" s="1197"/>
      <c r="AY198" s="148"/>
      <c r="AZ198" s="151"/>
      <c r="BA198" s="151"/>
      <c r="BB198" s="1172"/>
      <c r="BC198" s="151"/>
      <c r="BD198" s="151"/>
      <c r="BE198" s="1171"/>
      <c r="BF198" s="1171"/>
      <c r="BG198" s="1171"/>
      <c r="BH198" s="1171"/>
      <c r="BI198" s="151"/>
      <c r="BJ198" s="156"/>
      <c r="BK198" s="156"/>
      <c r="BL198" s="594"/>
      <c r="BM198" s="594"/>
      <c r="BN198" s="594"/>
      <c r="BO198" s="594"/>
      <c r="BP198" s="185"/>
      <c r="BQ198" s="156"/>
      <c r="BR198" s="594"/>
      <c r="BS198" s="594"/>
      <c r="BT198" s="594"/>
      <c r="BU198" s="594"/>
      <c r="BV198" s="156"/>
      <c r="BW198" s="158"/>
      <c r="BX198" s="185"/>
      <c r="BY198" s="185"/>
      <c r="BZ198" s="185"/>
      <c r="CA198" s="185"/>
    </row>
    <row r="199" spans="1:80" s="320" customFormat="1" ht="15" hidden="1" customHeight="1" x14ac:dyDescent="0.25">
      <c r="A199" s="329"/>
      <c r="B199" s="952" t="s">
        <v>397</v>
      </c>
      <c r="C199" s="498"/>
      <c r="D199" s="497" t="s">
        <v>178</v>
      </c>
      <c r="E199" s="389"/>
      <c r="F199" s="388"/>
      <c r="G199" s="972" t="s">
        <v>208</v>
      </c>
      <c r="H199" s="328" t="s">
        <v>81</v>
      </c>
      <c r="I199" s="246">
        <v>0</v>
      </c>
      <c r="J199" s="318">
        <v>0</v>
      </c>
      <c r="K199" s="317">
        <f ca="1">SUMIF(T$3:$AM187,"ok",T199:AM199)</f>
        <v>0</v>
      </c>
      <c r="L199" s="379">
        <f t="shared" ca="1" si="25"/>
        <v>0</v>
      </c>
      <c r="M199" s="319">
        <v>0</v>
      </c>
      <c r="N199" s="379">
        <f t="shared" si="26"/>
        <v>0</v>
      </c>
      <c r="O199" s="317">
        <f t="shared" si="27"/>
        <v>0</v>
      </c>
      <c r="P199" s="445">
        <f t="shared" si="29"/>
        <v>0</v>
      </c>
      <c r="Q199" s="249">
        <f>+'P01 2024'!DJ147</f>
        <v>43243</v>
      </c>
      <c r="R199" s="175">
        <f ca="1">SUMIF(T$3:$AM179,"SI",T199:AM199)</f>
        <v>39021.466208000005</v>
      </c>
      <c r="S199" s="379">
        <f t="shared" ca="1" si="30"/>
        <v>0.90237648192771092</v>
      </c>
      <c r="T199" s="326">
        <v>0</v>
      </c>
      <c r="U199" s="468">
        <v>0</v>
      </c>
      <c r="V199" s="468">
        <v>0</v>
      </c>
      <c r="W199" s="175">
        <v>0</v>
      </c>
      <c r="X199" s="175">
        <v>0</v>
      </c>
      <c r="Y199" s="249">
        <v>0</v>
      </c>
      <c r="Z199" s="249">
        <v>0</v>
      </c>
      <c r="AA199" s="249">
        <v>0</v>
      </c>
      <c r="AB199" s="249">
        <v>0</v>
      </c>
      <c r="AC199" s="249">
        <v>0</v>
      </c>
      <c r="AD199" s="249">
        <v>0</v>
      </c>
      <c r="AE199" s="249">
        <v>0</v>
      </c>
      <c r="AF199" s="249">
        <v>0</v>
      </c>
      <c r="AG199" s="249">
        <f>+'P01 2024'!CM112</f>
        <v>2030.4672500000001</v>
      </c>
      <c r="AH199" s="249">
        <v>0</v>
      </c>
      <c r="AI199" s="175">
        <f>+'P01 2024'!DB107</f>
        <v>36990.998958000004</v>
      </c>
      <c r="AJ199" s="249">
        <v>0</v>
      </c>
      <c r="AK199" s="249">
        <f>SUM(AK200:AK201)</f>
        <v>821.09799999999996</v>
      </c>
      <c r="AL199" s="249">
        <v>0</v>
      </c>
      <c r="AM199" s="253">
        <v>0</v>
      </c>
      <c r="AN199" s="1139"/>
      <c r="AO199" s="156"/>
      <c r="AP199" s="156"/>
      <c r="AQ199" s="156"/>
      <c r="AR199" s="156"/>
      <c r="AS199" s="156"/>
      <c r="AT199" s="156"/>
      <c r="AU199" s="156"/>
      <c r="AV199" s="156"/>
      <c r="AW199" s="1140"/>
      <c r="AX199" s="1197"/>
      <c r="AY199" s="148"/>
      <c r="AZ199" s="151"/>
      <c r="BA199" s="151"/>
      <c r="BB199" s="1172"/>
      <c r="BC199" s="151"/>
      <c r="BD199" s="151"/>
      <c r="BE199" s="1171"/>
      <c r="BF199" s="1171"/>
      <c r="BG199" s="1171"/>
      <c r="BH199" s="1171"/>
      <c r="BI199" s="151"/>
      <c r="BJ199" s="156"/>
      <c r="BK199" s="156"/>
      <c r="BL199" s="594"/>
      <c r="BM199" s="594"/>
      <c r="BN199" s="594"/>
      <c r="BO199" s="594"/>
      <c r="BP199" s="185"/>
      <c r="BQ199" s="156"/>
      <c r="BR199" s="594"/>
      <c r="BS199" s="594"/>
      <c r="BT199" s="594"/>
      <c r="BU199" s="594"/>
      <c r="BV199" s="156"/>
      <c r="BW199" s="158"/>
      <c r="BX199" s="185"/>
      <c r="BY199" s="185"/>
      <c r="BZ199" s="185"/>
      <c r="CA199" s="185"/>
    </row>
    <row r="200" spans="1:80" s="320" customFormat="1" ht="15" hidden="1" customHeight="1" x14ac:dyDescent="0.25">
      <c r="A200" s="329"/>
      <c r="B200" s="952" t="s">
        <v>578</v>
      </c>
      <c r="C200" s="955"/>
      <c r="D200" s="794"/>
      <c r="E200" s="927" t="s">
        <v>165</v>
      </c>
      <c r="F200" s="331"/>
      <c r="G200" s="972" t="s">
        <v>209</v>
      </c>
      <c r="H200" s="328" t="s">
        <v>210</v>
      </c>
      <c r="I200" s="246">
        <v>0</v>
      </c>
      <c r="J200" s="318">
        <v>0</v>
      </c>
      <c r="K200" s="317">
        <f ca="1">SUMIF(T$3:$AM188,"ok",T200:AM200)</f>
        <v>0</v>
      </c>
      <c r="L200" s="379">
        <f t="shared" ca="1" si="25"/>
        <v>0</v>
      </c>
      <c r="M200" s="319">
        <v>0</v>
      </c>
      <c r="N200" s="379">
        <f t="shared" si="26"/>
        <v>0</v>
      </c>
      <c r="O200" s="317">
        <f t="shared" si="27"/>
        <v>0</v>
      </c>
      <c r="P200" s="445">
        <f t="shared" si="29"/>
        <v>0</v>
      </c>
      <c r="Q200" s="249">
        <f>+'P01 2024'!DJ148</f>
        <v>3072.4672500000001</v>
      </c>
      <c r="R200" s="175">
        <f ca="1">SUMIF(T$3:$AM180,"SI",T200:AM200)</f>
        <v>2030.4672500000001</v>
      </c>
      <c r="S200" s="379">
        <f t="shared" ca="1" si="30"/>
        <v>0.66085887489931749</v>
      </c>
      <c r="T200" s="326">
        <v>0</v>
      </c>
      <c r="U200" s="468">
        <v>0</v>
      </c>
      <c r="V200" s="468">
        <v>0</v>
      </c>
      <c r="W200" s="175">
        <v>0</v>
      </c>
      <c r="X200" s="175">
        <v>0</v>
      </c>
      <c r="Y200" s="249">
        <v>0</v>
      </c>
      <c r="Z200" s="249">
        <v>0</v>
      </c>
      <c r="AA200" s="249">
        <v>0</v>
      </c>
      <c r="AB200" s="249">
        <v>0</v>
      </c>
      <c r="AC200" s="249">
        <v>0</v>
      </c>
      <c r="AD200" s="249">
        <v>0</v>
      </c>
      <c r="AE200" s="328">
        <v>0</v>
      </c>
      <c r="AF200" s="328">
        <v>0</v>
      </c>
      <c r="AG200" s="249">
        <f>+'P01 2024'!CM113</f>
        <v>2030.4672500000001</v>
      </c>
      <c r="AH200" s="249">
        <v>0</v>
      </c>
      <c r="AI200" s="175">
        <v>0</v>
      </c>
      <c r="AJ200" s="249">
        <v>0</v>
      </c>
      <c r="AK200" s="249">
        <f>'P01 2024'!EG101</f>
        <v>821.09799999999996</v>
      </c>
      <c r="AL200" s="249">
        <v>0</v>
      </c>
      <c r="AM200" s="253">
        <v>0</v>
      </c>
      <c r="AN200" s="1139"/>
      <c r="AO200" s="156"/>
      <c r="AP200" s="156"/>
      <c r="AQ200" s="156"/>
      <c r="AR200" s="156"/>
      <c r="AS200" s="156"/>
      <c r="AT200" s="156"/>
      <c r="AU200" s="156"/>
      <c r="AV200" s="156"/>
      <c r="AW200" s="1140"/>
      <c r="AX200" s="1197"/>
      <c r="AY200" s="148"/>
      <c r="AZ200" s="151"/>
      <c r="BA200" s="151"/>
      <c r="BB200" s="1172"/>
      <c r="BC200" s="151"/>
      <c r="BD200" s="151"/>
      <c r="BE200" s="1171"/>
      <c r="BF200" s="1171"/>
      <c r="BG200" s="1171"/>
      <c r="BH200" s="1171"/>
      <c r="BI200" s="151"/>
      <c r="BJ200" s="156"/>
      <c r="BK200" s="156"/>
      <c r="BL200" s="594"/>
      <c r="BM200" s="594"/>
      <c r="BN200" s="594"/>
      <c r="BO200" s="594"/>
      <c r="BP200" s="185"/>
      <c r="BQ200" s="156"/>
      <c r="BR200" s="594"/>
      <c r="BS200" s="594"/>
      <c r="BT200" s="594"/>
      <c r="BU200" s="594"/>
      <c r="BV200" s="156"/>
      <c r="BW200" s="158"/>
      <c r="BX200" s="185"/>
      <c r="BY200" s="185"/>
      <c r="BZ200" s="185"/>
      <c r="CA200" s="185"/>
    </row>
    <row r="201" spans="1:80" s="320" customFormat="1" ht="15" hidden="1" customHeight="1" x14ac:dyDescent="0.25">
      <c r="A201" s="329"/>
      <c r="B201" s="952" t="s">
        <v>926</v>
      </c>
      <c r="C201" s="955"/>
      <c r="D201" s="794"/>
      <c r="E201" s="927" t="s">
        <v>161</v>
      </c>
      <c r="F201" s="331"/>
      <c r="G201" s="972" t="s">
        <v>1011</v>
      </c>
      <c r="H201" s="328" t="s">
        <v>927</v>
      </c>
      <c r="I201" s="246">
        <v>0</v>
      </c>
      <c r="J201" s="318">
        <v>0</v>
      </c>
      <c r="K201" s="317">
        <f ca="1">SUMIF(T$3:$AM189,"ok",T201:AM201)</f>
        <v>0</v>
      </c>
      <c r="L201" s="379">
        <f t="shared" ca="1" si="25"/>
        <v>0</v>
      </c>
      <c r="M201" s="319">
        <v>0</v>
      </c>
      <c r="N201" s="379">
        <f t="shared" si="26"/>
        <v>0</v>
      </c>
      <c r="O201" s="317">
        <f t="shared" si="27"/>
        <v>0</v>
      </c>
      <c r="P201" s="445">
        <f t="shared" si="29"/>
        <v>0</v>
      </c>
      <c r="Q201" s="249">
        <f>+'P01 2024'!DJ149</f>
        <v>40170.532749999998</v>
      </c>
      <c r="R201" s="175">
        <f ca="1">SUMIF(T$3:$AM181,"SI",T201:AM201)</f>
        <v>36990.998958000004</v>
      </c>
      <c r="S201" s="379">
        <f t="shared" ca="1" si="30"/>
        <v>0.92084910071300974</v>
      </c>
      <c r="T201" s="326">
        <v>0</v>
      </c>
      <c r="U201" s="468">
        <v>0</v>
      </c>
      <c r="V201" s="468">
        <v>0</v>
      </c>
      <c r="W201" s="175">
        <v>0</v>
      </c>
      <c r="X201" s="175">
        <v>0</v>
      </c>
      <c r="Y201" s="249">
        <v>0</v>
      </c>
      <c r="Z201" s="249">
        <v>0</v>
      </c>
      <c r="AA201" s="249">
        <v>0</v>
      </c>
      <c r="AB201" s="249">
        <v>0</v>
      </c>
      <c r="AC201" s="249">
        <v>0</v>
      </c>
      <c r="AD201" s="249">
        <v>0</v>
      </c>
      <c r="AE201" s="328">
        <v>0</v>
      </c>
      <c r="AF201" s="328">
        <v>0</v>
      </c>
      <c r="AG201" s="249">
        <v>0</v>
      </c>
      <c r="AH201" s="249">
        <v>0</v>
      </c>
      <c r="AI201" s="175">
        <f>+'P01 2024'!DB108</f>
        <v>36990.998958000004</v>
      </c>
      <c r="AJ201" s="249">
        <v>0</v>
      </c>
      <c r="AK201" s="249">
        <v>0</v>
      </c>
      <c r="AL201" s="249">
        <v>0</v>
      </c>
      <c r="AM201" s="253">
        <v>0</v>
      </c>
      <c r="AN201" s="1139"/>
      <c r="AO201" s="156"/>
      <c r="AP201" s="156"/>
      <c r="AQ201" s="156"/>
      <c r="AR201" s="156"/>
      <c r="AS201" s="156"/>
      <c r="AT201" s="156"/>
      <c r="AU201" s="156"/>
      <c r="AV201" s="156"/>
      <c r="AW201" s="1140"/>
      <c r="AX201" s="1197"/>
      <c r="AY201" s="148"/>
      <c r="AZ201" s="151"/>
      <c r="BA201" s="151"/>
      <c r="BB201" s="1172"/>
      <c r="BC201" s="151"/>
      <c r="BD201" s="151"/>
      <c r="BE201" s="1171"/>
      <c r="BF201" s="1171"/>
      <c r="BG201" s="1171"/>
      <c r="BH201" s="1171"/>
      <c r="BI201" s="151"/>
      <c r="BJ201" s="156"/>
      <c r="BK201" s="156"/>
      <c r="BL201" s="594"/>
      <c r="BM201" s="594"/>
      <c r="BN201" s="594"/>
      <c r="BO201" s="594"/>
      <c r="BP201" s="185"/>
      <c r="BQ201" s="156"/>
      <c r="BR201" s="594"/>
      <c r="BS201" s="594"/>
      <c r="BT201" s="594"/>
      <c r="BU201" s="594"/>
      <c r="BV201" s="156"/>
      <c r="BW201" s="158"/>
      <c r="BX201" s="185"/>
      <c r="BY201" s="185"/>
      <c r="BZ201" s="185"/>
      <c r="CA201" s="185"/>
    </row>
    <row r="202" spans="1:80" s="320" customFormat="1" ht="15" customHeight="1" x14ac:dyDescent="0.25">
      <c r="A202" s="329"/>
      <c r="B202" s="952" t="s">
        <v>398</v>
      </c>
      <c r="C202" s="498" t="s">
        <v>2</v>
      </c>
      <c r="D202" s="794" t="s">
        <v>179</v>
      </c>
      <c r="E202" s="389"/>
      <c r="F202" s="388"/>
      <c r="G202" s="390" t="str">
        <f>+CONCATENATE($C$194,"",D202,"",E202)</f>
        <v>29.07</v>
      </c>
      <c r="H202" s="328" t="s">
        <v>80</v>
      </c>
      <c r="I202" s="246">
        <f>+'P01 2025'!F138+11957</f>
        <v>213085</v>
      </c>
      <c r="J202" s="318">
        <f>+'P01 2025'!DE154</f>
        <v>201128</v>
      </c>
      <c r="K202" s="317">
        <f ca="1">SUMIF(T$3:$AM191,"ok",T202:AM202)</f>
        <v>41587.896000000001</v>
      </c>
      <c r="L202" s="379">
        <f t="shared" ca="1" si="25"/>
        <v>0.2067732787080864</v>
      </c>
      <c r="M202" s="319">
        <f>+'P01 2025'!DG154</f>
        <v>41968.696000000004</v>
      </c>
      <c r="N202" s="379">
        <f t="shared" si="26"/>
        <v>0.20866660037389126</v>
      </c>
      <c r="O202" s="317">
        <f t="shared" si="27"/>
        <v>159159.304</v>
      </c>
      <c r="P202" s="445">
        <f t="shared" si="29"/>
        <v>0.79133339962610871</v>
      </c>
      <c r="Q202" s="249">
        <f>+'P01 2024'!DJ150</f>
        <v>230641.49000000002</v>
      </c>
      <c r="R202" s="175">
        <f ca="1">SUMIF(T$3:$AM182,"SI",T202:AM202)</f>
        <v>44270.324472000008</v>
      </c>
      <c r="S202" s="379">
        <f t="shared" ca="1" si="30"/>
        <v>0.19194432221193161</v>
      </c>
      <c r="T202" s="326">
        <f>+'P01 2025'!G138</f>
        <v>0</v>
      </c>
      <c r="U202" s="468">
        <f>+'P01 2024'!K135</f>
        <v>4328.3377500000006</v>
      </c>
      <c r="V202" s="468">
        <v>0</v>
      </c>
      <c r="W202" s="175">
        <f>+'P01 2024'!Q84</f>
        <v>8440.2000000000007</v>
      </c>
      <c r="X202" s="175">
        <v>0</v>
      </c>
      <c r="Y202" s="249">
        <v>0</v>
      </c>
      <c r="Z202" s="249">
        <v>0</v>
      </c>
      <c r="AA202" s="249">
        <f>+'P01 2024'!AT91</f>
        <v>6456.4664500000008</v>
      </c>
      <c r="AB202" s="249">
        <v>0</v>
      </c>
      <c r="AC202" s="249">
        <v>0</v>
      </c>
      <c r="AD202" s="249">
        <v>0</v>
      </c>
      <c r="AE202" s="249">
        <f>+'P01 2024'!BX102</f>
        <v>2597.0026499999999</v>
      </c>
      <c r="AF202" s="249">
        <f>+'P01 2025'!CI86</f>
        <v>3321.2440000000001</v>
      </c>
      <c r="AG202" s="249">
        <f>+'P01 2024'!CM114</f>
        <v>2750.88</v>
      </c>
      <c r="AH202" s="249">
        <f>+'P01 2025'!CX98</f>
        <v>38266.652000000002</v>
      </c>
      <c r="AI202" s="175">
        <f>+'P01 2024'!DB109</f>
        <v>19697.437622000001</v>
      </c>
      <c r="AJ202" s="249">
        <v>0</v>
      </c>
      <c r="AK202" s="175">
        <f>SUM(AK203:AK204)</f>
        <v>7197.12</v>
      </c>
      <c r="AL202" s="175">
        <f>+'P01 2024'!ET100</f>
        <v>88959.485000000001</v>
      </c>
      <c r="AM202" s="175">
        <f>+'P01 2024'!FL122</f>
        <v>45579.02</v>
      </c>
      <c r="AN202" s="1194"/>
      <c r="AO202" s="151"/>
      <c r="AP202" s="151"/>
      <c r="AQ202" s="151"/>
      <c r="AR202" s="151"/>
      <c r="AS202" s="151"/>
      <c r="AT202" s="151"/>
      <c r="AU202" s="151"/>
      <c r="AV202" s="151"/>
      <c r="AW202" s="1195"/>
      <c r="AX202" s="1196"/>
      <c r="AY202" s="148"/>
      <c r="AZ202" s="151"/>
      <c r="BA202" s="151"/>
      <c r="BB202" s="1172"/>
      <c r="BC202" s="151"/>
      <c r="BD202" s="151"/>
      <c r="BE202" s="1171"/>
      <c r="BF202" s="1171"/>
      <c r="BG202" s="1171"/>
      <c r="BH202" s="1171"/>
      <c r="BI202" s="151"/>
      <c r="BJ202" s="156"/>
      <c r="BK202" s="156"/>
      <c r="BL202" s="594"/>
      <c r="BM202" s="594"/>
      <c r="BN202" s="594"/>
      <c r="BO202" s="594"/>
      <c r="BP202" s="185"/>
      <c r="BQ202" s="156"/>
      <c r="BR202" s="594"/>
      <c r="BS202" s="594"/>
      <c r="BT202" s="594"/>
      <c r="BU202" s="594"/>
      <c r="BV202" s="156"/>
      <c r="BW202" s="158"/>
      <c r="BX202" s="185"/>
      <c r="BY202" s="185"/>
      <c r="BZ202" s="185"/>
      <c r="CA202" s="185"/>
    </row>
    <row r="203" spans="1:80" s="320" customFormat="1" ht="15" hidden="1" customHeight="1" x14ac:dyDescent="0.25">
      <c r="A203" s="329"/>
      <c r="B203" s="952" t="s">
        <v>579</v>
      </c>
      <c r="C203" s="955"/>
      <c r="D203" s="794"/>
      <c r="E203" s="927" t="s">
        <v>165</v>
      </c>
      <c r="F203" s="331"/>
      <c r="G203" s="315" t="str">
        <f>+CONCATENATE($C$194,"",$D$202,"",E203)</f>
        <v>29.07.001</v>
      </c>
      <c r="H203" s="328" t="s">
        <v>212</v>
      </c>
      <c r="I203" s="246">
        <f>+'P01 2025'!F139+11957</f>
        <v>213085</v>
      </c>
      <c r="J203" s="318">
        <f>+'P01 2025'!DE155</f>
        <v>201128</v>
      </c>
      <c r="K203" s="317">
        <f ca="1">SUMIF(T$3:$AM192,"ok",T203:AM203)</f>
        <v>41587.896000000001</v>
      </c>
      <c r="L203" s="379">
        <f t="shared" ca="1" si="25"/>
        <v>0.2067732787080864</v>
      </c>
      <c r="M203" s="319">
        <f>+'P01 2025'!DG155</f>
        <v>41968.696000000004</v>
      </c>
      <c r="N203" s="379">
        <f t="shared" si="26"/>
        <v>0.20866660037389126</v>
      </c>
      <c r="O203" s="317">
        <f t="shared" si="27"/>
        <v>159159.304</v>
      </c>
      <c r="P203" s="445">
        <f t="shared" si="29"/>
        <v>0.79133339962610871</v>
      </c>
      <c r="Q203" s="249">
        <f>+'P01 2024'!DJ151</f>
        <v>169012.79075000001</v>
      </c>
      <c r="R203" s="175">
        <f ca="1">SUMIF(T$3:$AM183,"SI",T203:AM203)</f>
        <v>31285.311222000004</v>
      </c>
      <c r="S203" s="379">
        <f t="shared" ca="1" si="30"/>
        <v>0.18510617500113671</v>
      </c>
      <c r="T203" s="326">
        <f>+'P01 2025'!G139</f>
        <v>0</v>
      </c>
      <c r="U203" s="468">
        <f>+'P01 2024'!K138</f>
        <v>0</v>
      </c>
      <c r="V203" s="468">
        <v>0</v>
      </c>
      <c r="W203" s="175">
        <f>+'P01 2024'!Q85</f>
        <v>8440.2000000000007</v>
      </c>
      <c r="X203" s="175">
        <v>0</v>
      </c>
      <c r="Y203" s="249">
        <v>0</v>
      </c>
      <c r="Z203" s="249">
        <v>0</v>
      </c>
      <c r="AA203" s="249">
        <f>+'P01 2024'!AT92</f>
        <v>396.79360000000003</v>
      </c>
      <c r="AB203" s="249">
        <v>0</v>
      </c>
      <c r="AC203" s="249">
        <v>0</v>
      </c>
      <c r="AD203" s="249">
        <v>0</v>
      </c>
      <c r="AE203" s="249">
        <v>0</v>
      </c>
      <c r="AF203" s="249">
        <f>+'P01 2025'!CI87</f>
        <v>3321.2440000000001</v>
      </c>
      <c r="AG203" s="249">
        <f>+'P01 2024'!CM115</f>
        <v>2750.88</v>
      </c>
      <c r="AH203" s="249">
        <f>+'P01 2025'!CX99</f>
        <v>38266.652000000002</v>
      </c>
      <c r="AI203" s="175">
        <f>+'P01 2024'!DB110</f>
        <v>19697.437622000001</v>
      </c>
      <c r="AJ203" s="249">
        <v>0</v>
      </c>
      <c r="AK203" s="175">
        <f>'P01 2024'!EG103</f>
        <v>7197.12</v>
      </c>
      <c r="AL203" s="175">
        <f>+'P01 2024'!ET101</f>
        <v>88959.485000000001</v>
      </c>
      <c r="AM203" s="175">
        <f>+'P01 2024'!FL123</f>
        <v>45579.02</v>
      </c>
      <c r="AN203" s="1194"/>
      <c r="AO203" s="151"/>
      <c r="AP203" s="151"/>
      <c r="AQ203" s="151"/>
      <c r="AR203" s="151"/>
      <c r="AS203" s="151"/>
      <c r="AT203" s="151"/>
      <c r="AU203" s="151"/>
      <c r="AV203" s="151"/>
      <c r="AW203" s="1195"/>
      <c r="AX203" s="1196"/>
      <c r="AY203" s="148"/>
      <c r="AZ203" s="151"/>
      <c r="BA203" s="151"/>
      <c r="BB203" s="1172"/>
      <c r="BC203" s="151"/>
      <c r="BD203" s="151"/>
      <c r="BE203" s="1171"/>
      <c r="BF203" s="1171"/>
      <c r="BG203" s="1171"/>
      <c r="BH203" s="1171"/>
      <c r="BI203" s="151"/>
      <c r="BJ203" s="156"/>
      <c r="BK203" s="156"/>
      <c r="BL203" s="594"/>
      <c r="BM203" s="594"/>
      <c r="BN203" s="594"/>
      <c r="BO203" s="594"/>
      <c r="BP203" s="185"/>
      <c r="BQ203" s="156"/>
      <c r="BR203" s="594"/>
      <c r="BS203" s="594"/>
      <c r="BT203" s="594"/>
      <c r="BU203" s="594"/>
      <c r="BV203" s="156"/>
      <c r="BW203" s="158"/>
      <c r="BX203" s="185"/>
      <c r="BY203" s="185"/>
      <c r="BZ203" s="185"/>
      <c r="CA203" s="185"/>
    </row>
    <row r="204" spans="1:80" s="320" customFormat="1" ht="15" hidden="1" customHeight="1" x14ac:dyDescent="0.25">
      <c r="A204" s="329"/>
      <c r="B204" s="952" t="s">
        <v>762</v>
      </c>
      <c r="C204" s="955"/>
      <c r="D204" s="794"/>
      <c r="E204" s="927" t="s">
        <v>161</v>
      </c>
      <c r="F204" s="331"/>
      <c r="G204" s="315" t="s">
        <v>830</v>
      </c>
      <c r="H204" s="328" t="s">
        <v>829</v>
      </c>
      <c r="I204" s="246">
        <v>0</v>
      </c>
      <c r="J204" s="318">
        <v>0</v>
      </c>
      <c r="K204" s="317">
        <f ca="1">SUMIF(T$3:$AM193,"ok",T204:AM204)</f>
        <v>0</v>
      </c>
      <c r="L204" s="379">
        <f t="shared" ca="1" si="25"/>
        <v>0</v>
      </c>
      <c r="M204" s="319">
        <v>0</v>
      </c>
      <c r="N204" s="379">
        <f t="shared" si="26"/>
        <v>0</v>
      </c>
      <c r="O204" s="317">
        <f t="shared" si="27"/>
        <v>0</v>
      </c>
      <c r="P204" s="445">
        <f t="shared" si="29"/>
        <v>0</v>
      </c>
      <c r="Q204" s="249">
        <f>+'P01 2024'!DJ152</f>
        <v>61628.699250000005</v>
      </c>
      <c r="R204" s="175">
        <f ca="1">SUMIF(T$3:$AM185,"SI",T204:AM204)</f>
        <v>12985.013250000002</v>
      </c>
      <c r="S204" s="379">
        <f t="shared" ca="1" si="30"/>
        <v>0.21069750632453924</v>
      </c>
      <c r="T204" s="326">
        <v>0</v>
      </c>
      <c r="U204" s="468">
        <f>+'P01 2024'!K137</f>
        <v>4328.3377500000006</v>
      </c>
      <c r="V204" s="468">
        <v>0</v>
      </c>
      <c r="W204" s="319">
        <v>0</v>
      </c>
      <c r="X204" s="319">
        <v>0</v>
      </c>
      <c r="Y204" s="249">
        <v>0</v>
      </c>
      <c r="Z204" s="249">
        <v>0</v>
      </c>
      <c r="AA204" s="249">
        <f>+'P01 2024'!AT93</f>
        <v>6059.6728500000008</v>
      </c>
      <c r="AB204" s="249">
        <v>0</v>
      </c>
      <c r="AC204" s="249">
        <v>0</v>
      </c>
      <c r="AD204" s="249">
        <v>0</v>
      </c>
      <c r="AE204" s="249">
        <f>+'P01 2024'!BX103</f>
        <v>2597.0026499999999</v>
      </c>
      <c r="AF204" s="249">
        <v>0</v>
      </c>
      <c r="AG204" s="175">
        <v>0</v>
      </c>
      <c r="AH204" s="249">
        <v>0</v>
      </c>
      <c r="AI204" s="175">
        <v>0</v>
      </c>
      <c r="AJ204" s="249">
        <v>0</v>
      </c>
      <c r="AK204" s="249">
        <v>0</v>
      </c>
      <c r="AL204" s="249">
        <v>0</v>
      </c>
      <c r="AM204" s="175">
        <v>0</v>
      </c>
      <c r="AN204" s="1139"/>
      <c r="AO204" s="156"/>
      <c r="AP204" s="156"/>
      <c r="AQ204" s="156"/>
      <c r="AR204" s="156"/>
      <c r="AS204" s="156"/>
      <c r="AT204" s="156"/>
      <c r="AU204" s="156"/>
      <c r="AV204" s="156"/>
      <c r="AW204" s="1140"/>
      <c r="AX204" s="1197"/>
      <c r="AY204" s="148"/>
      <c r="AZ204" s="151"/>
      <c r="BA204" s="151"/>
      <c r="BB204" s="1172"/>
      <c r="BC204" s="151"/>
      <c r="BD204" s="151"/>
      <c r="BE204" s="1171"/>
      <c r="BF204" s="1171"/>
      <c r="BG204" s="1171"/>
      <c r="BH204" s="1171"/>
      <c r="BI204" s="151"/>
      <c r="BJ204" s="156"/>
      <c r="BK204" s="156"/>
      <c r="BL204" s="594"/>
      <c r="BM204" s="594"/>
      <c r="BN204" s="594"/>
      <c r="BO204" s="594"/>
      <c r="BP204" s="185"/>
      <c r="BQ204" s="156"/>
      <c r="BR204" s="594"/>
      <c r="BS204" s="594"/>
      <c r="BT204" s="594"/>
      <c r="BU204" s="594"/>
      <c r="BV204" s="156"/>
      <c r="BW204" s="158"/>
      <c r="BX204" s="185"/>
      <c r="BY204" s="185"/>
      <c r="BZ204" s="185"/>
      <c r="CA204" s="185"/>
    </row>
    <row r="205" spans="1:80" s="308" customFormat="1" ht="15" hidden="1" customHeight="1" x14ac:dyDescent="0.25">
      <c r="A205" s="500"/>
      <c r="B205" s="954" t="s">
        <v>873</v>
      </c>
      <c r="C205" s="508">
        <v>33</v>
      </c>
      <c r="D205" s="333"/>
      <c r="E205" s="333"/>
      <c r="F205" s="333"/>
      <c r="G205" s="333"/>
      <c r="H205" s="793" t="s">
        <v>876</v>
      </c>
      <c r="I205" s="145">
        <v>0</v>
      </c>
      <c r="J205" s="145">
        <v>0</v>
      </c>
      <c r="K205" s="145">
        <f ca="1">SUMIF(T$3:$AM194,"ok",T205:AM205)</f>
        <v>0</v>
      </c>
      <c r="L205" s="378">
        <f t="shared" ca="1" si="25"/>
        <v>0</v>
      </c>
      <c r="M205" s="145">
        <v>0</v>
      </c>
      <c r="N205" s="378">
        <f t="shared" si="26"/>
        <v>0</v>
      </c>
      <c r="O205" s="306">
        <f t="shared" si="27"/>
        <v>0</v>
      </c>
      <c r="P205" s="443">
        <f t="shared" si="29"/>
        <v>0</v>
      </c>
      <c r="Q205" s="321">
        <f>+'P01 2024'!DJ153</f>
        <v>200119194.74000001</v>
      </c>
      <c r="R205" s="145">
        <f ca="1">SUMIF(T$3:$AM189,"SI",T205:AM205)</f>
        <v>1045719.9400000001</v>
      </c>
      <c r="S205" s="378">
        <f t="shared" ca="1" si="30"/>
        <v>5.225485448103198E-3</v>
      </c>
      <c r="T205" s="509">
        <v>0</v>
      </c>
      <c r="U205" s="509">
        <f>+'P01 2024'!K138</f>
        <v>0</v>
      </c>
      <c r="V205" s="467">
        <v>0</v>
      </c>
      <c r="W205" s="323">
        <f>+'P01 2024'!Q86</f>
        <v>218926.28400000001</v>
      </c>
      <c r="X205" s="323">
        <v>0</v>
      </c>
      <c r="Y205" s="86">
        <f>+'P01 2024'!AE100</f>
        <v>826793.65600000008</v>
      </c>
      <c r="Z205" s="86">
        <v>0</v>
      </c>
      <c r="AA205" s="155">
        <v>0</v>
      </c>
      <c r="AB205" s="155">
        <v>0</v>
      </c>
      <c r="AC205" s="155">
        <v>0</v>
      </c>
      <c r="AD205" s="155">
        <v>0</v>
      </c>
      <c r="AE205" s="155">
        <v>0</v>
      </c>
      <c r="AF205" s="155">
        <v>0</v>
      </c>
      <c r="AG205" s="155">
        <v>0</v>
      </c>
      <c r="AH205" s="155">
        <v>0</v>
      </c>
      <c r="AI205" s="155">
        <v>0</v>
      </c>
      <c r="AJ205" s="155">
        <f>+'P01 2024'!DR99</f>
        <v>1717703.4569999999</v>
      </c>
      <c r="AK205" s="155">
        <f>SUM(AK206:AK207)</f>
        <v>0</v>
      </c>
      <c r="AL205" s="155">
        <f>+'P01 2024'!ET102</f>
        <v>4109387.1269999999</v>
      </c>
      <c r="AM205" s="155">
        <f>+'P01 2024'!FL124</f>
        <v>618892.41599999997</v>
      </c>
      <c r="AN205" s="1139"/>
      <c r="AO205" s="156"/>
      <c r="AP205" s="156"/>
      <c r="AQ205" s="156"/>
      <c r="AR205" s="156"/>
      <c r="AS205" s="156"/>
      <c r="AT205" s="156"/>
      <c r="AU205" s="156"/>
      <c r="AV205" s="156"/>
      <c r="AW205" s="1140"/>
      <c r="AX205" s="1197"/>
      <c r="AY205" s="148"/>
      <c r="AZ205" s="151"/>
      <c r="BA205" s="151"/>
      <c r="BB205" s="1172"/>
      <c r="BC205" s="151"/>
      <c r="BD205" s="151"/>
      <c r="BE205" s="1171"/>
      <c r="BF205" s="1171"/>
      <c r="BG205" s="1171"/>
      <c r="BH205" s="1171"/>
      <c r="BI205" s="1171"/>
      <c r="BJ205" s="932"/>
      <c r="BK205" s="156"/>
      <c r="BL205" s="594"/>
      <c r="BM205" s="594"/>
      <c r="BN205" s="594"/>
      <c r="BO205" s="594"/>
      <c r="BP205" s="185"/>
      <c r="BQ205" s="156"/>
      <c r="BR205" s="594"/>
      <c r="BS205" s="594"/>
      <c r="BT205" s="594"/>
      <c r="BU205" s="594"/>
      <c r="BV205" s="156"/>
      <c r="BW205" s="158"/>
      <c r="BX205" s="185"/>
      <c r="BY205" s="185"/>
      <c r="BZ205" s="185"/>
      <c r="CA205" s="185"/>
    </row>
    <row r="206" spans="1:80" s="1009" customFormat="1" ht="15" hidden="1" customHeight="1" x14ac:dyDescent="0.25">
      <c r="A206" s="1002"/>
      <c r="B206" s="1010" t="s">
        <v>874</v>
      </c>
      <c r="C206" s="955"/>
      <c r="D206" s="794">
        <v>2</v>
      </c>
      <c r="E206" s="794"/>
      <c r="F206" s="331"/>
      <c r="G206" s="331"/>
      <c r="H206" s="999" t="s">
        <v>86</v>
      </c>
      <c r="I206" s="991">
        <v>0</v>
      </c>
      <c r="J206" s="991">
        <v>0</v>
      </c>
      <c r="K206" s="992">
        <f ca="1">SUMIF(T$3:$AM195,"ok",T206:AM206)</f>
        <v>0</v>
      </c>
      <c r="L206" s="993">
        <f t="shared" ca="1" si="25"/>
        <v>0</v>
      </c>
      <c r="M206" s="991">
        <v>0</v>
      </c>
      <c r="N206" s="993">
        <f t="shared" si="26"/>
        <v>0</v>
      </c>
      <c r="O206" s="992">
        <f t="shared" si="27"/>
        <v>0</v>
      </c>
      <c r="P206" s="995">
        <f t="shared" si="29"/>
        <v>0</v>
      </c>
      <c r="Q206" s="249">
        <f>+'P01 2024'!DJ154</f>
        <v>200119194.74000001</v>
      </c>
      <c r="R206" s="998">
        <f ca="1">SUMIF(T$3:$AM191,"SI",T206:AM206)</f>
        <v>1045719.9400000001</v>
      </c>
      <c r="S206" s="993">
        <f t="shared" ca="1" si="30"/>
        <v>5.225485448103198E-3</v>
      </c>
      <c r="T206" s="1007">
        <v>0</v>
      </c>
      <c r="U206" s="1008">
        <f>+'P01 2024'!K139</f>
        <v>0</v>
      </c>
      <c r="V206" s="1000">
        <v>0</v>
      </c>
      <c r="W206" s="998">
        <f>+'P01 2024'!Q87</f>
        <v>218926.28400000001</v>
      </c>
      <c r="X206" s="998">
        <v>0</v>
      </c>
      <c r="Y206" s="1006">
        <f>+'P01 2024'!AE101</f>
        <v>826793.65600000008</v>
      </c>
      <c r="Z206" s="1006">
        <v>0</v>
      </c>
      <c r="AA206" s="1006">
        <v>0</v>
      </c>
      <c r="AB206" s="1006">
        <v>0</v>
      </c>
      <c r="AC206" s="1006">
        <v>0</v>
      </c>
      <c r="AD206" s="1006">
        <v>0</v>
      </c>
      <c r="AE206" s="1006">
        <v>0</v>
      </c>
      <c r="AF206" s="1006">
        <v>0</v>
      </c>
      <c r="AG206" s="1006">
        <v>0</v>
      </c>
      <c r="AH206" s="249">
        <v>0</v>
      </c>
      <c r="AI206" s="1006">
        <v>0</v>
      </c>
      <c r="AJ206" s="1006">
        <f>+'P01 2024'!DR100</f>
        <v>1717703.4569999999</v>
      </c>
      <c r="AK206" s="1006">
        <v>0</v>
      </c>
      <c r="AL206" s="1006">
        <f>+'P01 2024'!ET103</f>
        <v>4109387.1269999999</v>
      </c>
      <c r="AM206" s="1006">
        <f>+'P01 2024'!FL125</f>
        <v>618892.41599999997</v>
      </c>
      <c r="AN206" s="1139"/>
      <c r="AO206" s="156"/>
      <c r="AP206" s="156"/>
      <c r="AQ206" s="156"/>
      <c r="AR206" s="156"/>
      <c r="AS206" s="156"/>
      <c r="AT206" s="156"/>
      <c r="AU206" s="156"/>
      <c r="AV206" s="156"/>
      <c r="AW206" s="1140"/>
      <c r="AX206" s="1197"/>
      <c r="AY206" s="148"/>
      <c r="AZ206" s="151"/>
      <c r="BA206" s="151"/>
      <c r="BB206" s="1172"/>
      <c r="BC206" s="151"/>
      <c r="BD206" s="151"/>
      <c r="BE206" s="1171"/>
      <c r="BF206" s="1171"/>
      <c r="BG206" s="1171"/>
      <c r="BH206" s="1171"/>
      <c r="BI206" s="1171"/>
      <c r="BJ206" s="932"/>
      <c r="BK206" s="156"/>
      <c r="BL206" s="594"/>
      <c r="BM206" s="594"/>
      <c r="BN206" s="594"/>
      <c r="BO206" s="594"/>
      <c r="BP206" s="185"/>
      <c r="BQ206" s="156"/>
      <c r="BR206" s="594"/>
      <c r="BS206" s="594"/>
      <c r="BT206" s="594"/>
      <c r="BU206" s="594"/>
      <c r="BV206" s="156"/>
      <c r="BW206" s="158"/>
      <c r="BX206" s="185"/>
      <c r="BY206" s="185"/>
      <c r="BZ206" s="185"/>
      <c r="CA206" s="604"/>
    </row>
    <row r="207" spans="1:80" s="320" customFormat="1" ht="15" hidden="1" customHeight="1" x14ac:dyDescent="0.25">
      <c r="A207" s="329"/>
      <c r="B207" s="952" t="s">
        <v>875</v>
      </c>
      <c r="C207" s="955"/>
      <c r="D207" s="794"/>
      <c r="E207" s="927">
        <v>100</v>
      </c>
      <c r="F207" s="331"/>
      <c r="G207" s="973" t="s">
        <v>898</v>
      </c>
      <c r="H207" s="328" t="s">
        <v>877</v>
      </c>
      <c r="I207" s="246">
        <v>0</v>
      </c>
      <c r="J207" s="318">
        <v>0</v>
      </c>
      <c r="K207" s="317">
        <f ca="1">SUMIF(T$3:$AM196,"ok",T207:AM207)</f>
        <v>0</v>
      </c>
      <c r="L207" s="379">
        <f t="shared" ca="1" si="25"/>
        <v>0</v>
      </c>
      <c r="M207" s="319">
        <v>0</v>
      </c>
      <c r="N207" s="379">
        <f t="shared" si="26"/>
        <v>0</v>
      </c>
      <c r="O207" s="317">
        <f t="shared" si="27"/>
        <v>0</v>
      </c>
      <c r="P207" s="445">
        <f t="shared" si="29"/>
        <v>0</v>
      </c>
      <c r="Q207" s="249">
        <f>+'P01 2024'!DJ155</f>
        <v>200119194.74000001</v>
      </c>
      <c r="R207" s="175">
        <f ca="1">SUMIF(T$3:$AM192,"SI",T207:AM207)</f>
        <v>1045719.9400000001</v>
      </c>
      <c r="S207" s="379">
        <f t="shared" ca="1" si="30"/>
        <v>5.225485448103198E-3</v>
      </c>
      <c r="T207" s="326">
        <v>0</v>
      </c>
      <c r="U207" s="468">
        <f>+'P01 2024'!K140</f>
        <v>0</v>
      </c>
      <c r="V207" s="468">
        <v>0</v>
      </c>
      <c r="W207" s="175">
        <f>+'P01 2024'!Q88</f>
        <v>218926.28400000001</v>
      </c>
      <c r="X207" s="175">
        <v>0</v>
      </c>
      <c r="Y207" s="249">
        <f>+'P01 2024'!AE102</f>
        <v>826793.65600000008</v>
      </c>
      <c r="Z207" s="249">
        <v>0</v>
      </c>
      <c r="AA207" s="249">
        <v>0</v>
      </c>
      <c r="AB207" s="249">
        <v>0</v>
      </c>
      <c r="AC207" s="249">
        <v>0</v>
      </c>
      <c r="AD207" s="249">
        <v>0</v>
      </c>
      <c r="AE207" s="249">
        <v>0</v>
      </c>
      <c r="AF207" s="249">
        <v>0</v>
      </c>
      <c r="AG207" s="249">
        <v>0</v>
      </c>
      <c r="AH207" s="249">
        <v>0</v>
      </c>
      <c r="AI207" s="249">
        <v>0</v>
      </c>
      <c r="AJ207" s="249">
        <f>+'P01 2024'!DR101</f>
        <v>1717703.4569999999</v>
      </c>
      <c r="AK207" s="249">
        <v>0</v>
      </c>
      <c r="AL207" s="249">
        <f>+'P01 2024'!ET104</f>
        <v>4109387.1269999999</v>
      </c>
      <c r="AM207" s="175">
        <f>+'P01 2024'!FL126</f>
        <v>618892.41599999997</v>
      </c>
      <c r="AN207" s="1139"/>
      <c r="AO207" s="156"/>
      <c r="AP207" s="156"/>
      <c r="AQ207" s="156"/>
      <c r="AR207" s="156"/>
      <c r="AS207" s="156"/>
      <c r="AT207" s="156"/>
      <c r="AU207" s="156"/>
      <c r="AV207" s="156"/>
      <c r="AW207" s="1140"/>
      <c r="AX207" s="1197"/>
      <c r="AY207" s="148"/>
      <c r="AZ207" s="151"/>
      <c r="BA207" s="151"/>
      <c r="BB207" s="1172"/>
      <c r="BC207" s="151"/>
      <c r="BD207" s="151"/>
      <c r="BE207" s="1171"/>
      <c r="BF207" s="1171"/>
      <c r="BG207" s="1171"/>
      <c r="BH207" s="1171"/>
      <c r="BI207" s="151"/>
      <c r="BJ207" s="156"/>
      <c r="BK207" s="156"/>
      <c r="BL207" s="594"/>
      <c r="BM207" s="594"/>
      <c r="BN207" s="594"/>
      <c r="BO207" s="594"/>
      <c r="BP207" s="185"/>
      <c r="BQ207" s="156"/>
      <c r="BR207" s="594"/>
      <c r="BS207" s="594"/>
      <c r="BT207" s="594"/>
      <c r="BU207" s="594"/>
      <c r="BV207" s="156"/>
      <c r="BW207" s="158"/>
      <c r="BX207" s="185"/>
      <c r="BY207" s="185"/>
      <c r="BZ207" s="185"/>
      <c r="CA207" s="185"/>
    </row>
    <row r="208" spans="1:80" ht="15" customHeight="1" x14ac:dyDescent="0.25">
      <c r="B208" s="169" t="s">
        <v>399</v>
      </c>
      <c r="C208" s="508">
        <v>34</v>
      </c>
      <c r="D208" s="172"/>
      <c r="E208" s="237"/>
      <c r="F208" s="237"/>
      <c r="G208" s="237"/>
      <c r="H208" s="503" t="s">
        <v>83</v>
      </c>
      <c r="I208" s="145">
        <f>+'P01 2025'!F140</f>
        <v>16451809.1</v>
      </c>
      <c r="J208" s="145">
        <f>+'P01 2025'!DE156</f>
        <v>18144732.100000001</v>
      </c>
      <c r="K208" s="145">
        <f ca="1">SUMIF(T$3:$AM197,"ok",T208:AM208)</f>
        <v>13217644.785000002</v>
      </c>
      <c r="L208" s="378">
        <f t="shared" ca="1" si="25"/>
        <v>0.72845632066400146</v>
      </c>
      <c r="M208" s="145">
        <f>+'P01 2025'!DG156</f>
        <v>13217644.785</v>
      </c>
      <c r="N208" s="378">
        <f t="shared" si="26"/>
        <v>0.72845632066400134</v>
      </c>
      <c r="O208" s="306">
        <f t="shared" si="27"/>
        <v>4927087.3150000013</v>
      </c>
      <c r="P208" s="443">
        <f t="shared" si="29"/>
        <v>0.2715436793359986</v>
      </c>
      <c r="Q208" s="321">
        <f>+'P01 2024'!DJ156</f>
        <v>17020680.396200001</v>
      </c>
      <c r="R208" s="145">
        <f ca="1">SUM(R209:R212)</f>
        <v>11371134.238507999</v>
      </c>
      <c r="S208" s="378">
        <f t="shared" ca="1" si="30"/>
        <v>0.6680775370793457</v>
      </c>
      <c r="T208" s="509">
        <f>+'P01 2025'!G140</f>
        <v>2705198.2439999999</v>
      </c>
      <c r="U208" s="509">
        <f>+'P01 2024'!K141</f>
        <v>2149899.165362</v>
      </c>
      <c r="V208" s="509">
        <f>+'P01 2025'!N90</f>
        <v>2593828.0580000002</v>
      </c>
      <c r="W208" s="323">
        <v>0</v>
      </c>
      <c r="X208" s="323">
        <f>+'P01 2025'!AC100</f>
        <v>7613312.7300000004</v>
      </c>
      <c r="Y208" s="86">
        <f>+'P01 2024'!AE103</f>
        <v>8281664.8443539999</v>
      </c>
      <c r="Z208" s="86">
        <f>+'P01 2025'!AR93</f>
        <v>-3600</v>
      </c>
      <c r="AA208" s="165">
        <v>0</v>
      </c>
      <c r="AB208" s="165">
        <v>0</v>
      </c>
      <c r="AC208" s="165">
        <v>0</v>
      </c>
      <c r="AD208" s="165">
        <f>+'P01 2025'!BU100</f>
        <v>155341.83199999999</v>
      </c>
      <c r="AE208" s="165">
        <f>+'P01 2024'!BX104</f>
        <v>149914.16552000001</v>
      </c>
      <c r="AF208" s="165">
        <f>+'P01 2025'!CI88</f>
        <v>153563.921</v>
      </c>
      <c r="AG208" s="165">
        <f>+'P01 2024'!CM116</f>
        <v>789656.06327200006</v>
      </c>
      <c r="AH208" s="155">
        <v>0</v>
      </c>
      <c r="AI208" s="86">
        <v>0</v>
      </c>
      <c r="AJ208" s="155">
        <f>+'P01 2024'!DR102</f>
        <v>5421732.4759999998</v>
      </c>
      <c r="AK208" s="165">
        <f>SUM(AK209:AK212)</f>
        <v>0</v>
      </c>
      <c r="AL208" s="165">
        <v>0</v>
      </c>
      <c r="AM208" s="86">
        <v>0</v>
      </c>
      <c r="AN208" s="1194"/>
      <c r="AO208" s="151"/>
      <c r="AP208" s="151"/>
      <c r="AQ208" s="151"/>
      <c r="AR208" s="151"/>
      <c r="AS208" s="151"/>
      <c r="AT208" s="151"/>
      <c r="AU208" s="151"/>
      <c r="AV208" s="151"/>
      <c r="AW208" s="1195"/>
      <c r="AX208" s="1196"/>
      <c r="AY208" s="148"/>
      <c r="AZ208" s="151"/>
      <c r="BA208" s="151"/>
      <c r="BB208" s="1172"/>
      <c r="BC208" s="151"/>
      <c r="BD208" s="151"/>
      <c r="BE208" s="1171"/>
      <c r="BF208" s="1171"/>
      <c r="BG208" s="1171"/>
      <c r="BH208" s="1171"/>
      <c r="BI208" s="1171"/>
      <c r="BJ208" s="932"/>
      <c r="BK208" s="156"/>
      <c r="BL208" s="594"/>
      <c r="BM208" s="594"/>
      <c r="BN208" s="594"/>
      <c r="BO208" s="594"/>
      <c r="BQ208" s="156"/>
      <c r="BR208" s="594"/>
      <c r="BS208" s="594"/>
      <c r="BT208" s="594"/>
      <c r="BU208" s="594"/>
      <c r="BV208" s="156"/>
      <c r="BW208" s="158"/>
      <c r="CB208" s="85"/>
    </row>
    <row r="209" spans="1:81" s="320" customFormat="1" ht="15" customHeight="1" x14ac:dyDescent="0.25">
      <c r="A209" s="329"/>
      <c r="B209" s="952" t="s">
        <v>400</v>
      </c>
      <c r="C209" s="955"/>
      <c r="D209" s="794">
        <v>2</v>
      </c>
      <c r="E209" s="927"/>
      <c r="F209" s="331"/>
      <c r="G209" s="462" t="s">
        <v>199</v>
      </c>
      <c r="H209" s="471" t="s">
        <v>741</v>
      </c>
      <c r="I209" s="246">
        <f>+'P01 2025'!F141</f>
        <v>13716466</v>
      </c>
      <c r="J209" s="317">
        <f>+'P01 2025'!DE157</f>
        <v>13716466</v>
      </c>
      <c r="K209" s="317">
        <f ca="1">SUMIF(T$3:$AM198,"ok",T209:AM209)</f>
        <v>9000105.0170000009</v>
      </c>
      <c r="L209" s="379">
        <f t="shared" ref="L209:L213" ca="1" si="31">IFERROR(K209/J209,0)</f>
        <v>0.65615334277794302</v>
      </c>
      <c r="M209" s="317">
        <f>+'P01 2025'!DG157</f>
        <v>9000105.0170000009</v>
      </c>
      <c r="N209" s="379">
        <f t="shared" si="26"/>
        <v>0.65615334277794302</v>
      </c>
      <c r="O209" s="317">
        <f t="shared" si="27"/>
        <v>4716360.9829999991</v>
      </c>
      <c r="P209" s="445">
        <f t="shared" si="29"/>
        <v>0.34384665722205698</v>
      </c>
      <c r="Q209" s="249">
        <f>+'P01 2024'!DJ157</f>
        <v>13220615.702</v>
      </c>
      <c r="R209" s="175">
        <f ca="1">SUMIF(T$3:$AM194,"SI",T209:AM209)</f>
        <v>7571170.4620079994</v>
      </c>
      <c r="S209" s="379">
        <f t="shared" ca="1" si="30"/>
        <v>0.57267911212808653</v>
      </c>
      <c r="T209" s="326">
        <f>+'P01 2025'!G141</f>
        <v>0</v>
      </c>
      <c r="U209" s="468">
        <f>+'P01 2024'!K142</f>
        <v>0</v>
      </c>
      <c r="V209" s="468">
        <f>+'P01 2025'!N91</f>
        <v>1729970.892</v>
      </c>
      <c r="W209" s="175">
        <v>0</v>
      </c>
      <c r="X209" s="175">
        <f>+'P01 2025'!AC101</f>
        <v>7137347.7630000003</v>
      </c>
      <c r="Y209" s="249">
        <f>+'P01 2024'!AE104</f>
        <v>7443839.9907499999</v>
      </c>
      <c r="Z209" s="249">
        <v>0</v>
      </c>
      <c r="AA209" s="249">
        <v>0</v>
      </c>
      <c r="AB209" s="249">
        <v>0</v>
      </c>
      <c r="AC209" s="249">
        <v>0</v>
      </c>
      <c r="AD209" s="249">
        <f>+'P01 2025'!BU101</f>
        <v>132786.36199999999</v>
      </c>
      <c r="AE209" s="175">
        <f>+'P01 2024'!BX105</f>
        <v>127330.47125800001</v>
      </c>
      <c r="AF209" s="175">
        <v>0</v>
      </c>
      <c r="AG209" s="175">
        <v>0</v>
      </c>
      <c r="AH209" s="249">
        <v>0</v>
      </c>
      <c r="AI209" s="175">
        <v>0</v>
      </c>
      <c r="AJ209" s="175">
        <f>+'P01 2024'!DR103</f>
        <v>5421732.4759999998</v>
      </c>
      <c r="AK209" s="175">
        <v>0</v>
      </c>
      <c r="AL209" s="175">
        <v>0</v>
      </c>
      <c r="AM209" s="175">
        <v>0</v>
      </c>
      <c r="AN209" s="1194"/>
      <c r="AO209" s="151"/>
      <c r="AP209" s="151"/>
      <c r="AQ209" s="151"/>
      <c r="AR209" s="151"/>
      <c r="AS209" s="151"/>
      <c r="AT209" s="151"/>
      <c r="AU209" s="151"/>
      <c r="AV209" s="151"/>
      <c r="AW209" s="1195"/>
      <c r="AX209" s="1196"/>
      <c r="AY209" s="148"/>
      <c r="AZ209" s="151"/>
      <c r="BA209" s="151"/>
      <c r="BB209" s="1172"/>
      <c r="BC209" s="151"/>
      <c r="BD209" s="151"/>
      <c r="BE209" s="1171"/>
      <c r="BF209" s="1171"/>
      <c r="BG209" s="1171"/>
      <c r="BH209" s="1171"/>
      <c r="BI209" s="151"/>
      <c r="BJ209" s="156"/>
      <c r="BK209" s="156"/>
      <c r="BL209" s="594"/>
      <c r="BM209" s="594"/>
      <c r="BN209" s="594"/>
      <c r="BO209" s="594"/>
      <c r="BP209" s="185"/>
      <c r="BQ209" s="156"/>
      <c r="BR209" s="594"/>
      <c r="BS209" s="594"/>
      <c r="BT209" s="594"/>
      <c r="BU209" s="594"/>
      <c r="BV209" s="156"/>
      <c r="BW209" s="158"/>
      <c r="BX209" s="185"/>
      <c r="BY209" s="185"/>
      <c r="BZ209" s="185"/>
      <c r="CA209" s="185"/>
    </row>
    <row r="210" spans="1:81" s="320" customFormat="1" ht="15" customHeight="1" x14ac:dyDescent="0.25">
      <c r="A210" s="329"/>
      <c r="B210" s="952" t="s">
        <v>402</v>
      </c>
      <c r="C210" s="955"/>
      <c r="D210" s="794">
        <v>4</v>
      </c>
      <c r="E210" s="927"/>
      <c r="F210" s="331"/>
      <c r="G210" s="462" t="s">
        <v>200</v>
      </c>
      <c r="H210" s="471" t="s">
        <v>85</v>
      </c>
      <c r="I210" s="246">
        <f>+'P01 2025'!F142</f>
        <v>2528207</v>
      </c>
      <c r="J210" s="317">
        <f>+'P01 2025'!DE159</f>
        <v>2528207</v>
      </c>
      <c r="K210" s="317">
        <f ca="1">SUMIF(T$3:$AM199,"ok",T210:AM210)</f>
        <v>2528207.0000000005</v>
      </c>
      <c r="L210" s="379">
        <f t="shared" ca="1" si="31"/>
        <v>1.0000000000000002</v>
      </c>
      <c r="M210" s="317">
        <f>+'P01 2025'!DG159</f>
        <v>2528207</v>
      </c>
      <c r="N210" s="379">
        <f t="shared" si="26"/>
        <v>1</v>
      </c>
      <c r="O210" s="317">
        <f t="shared" si="27"/>
        <v>0</v>
      </c>
      <c r="P210" s="445">
        <f t="shared" si="29"/>
        <v>0</v>
      </c>
      <c r="Q210" s="249">
        <f>+'P01 2024'!DJ159</f>
        <v>2668877.7260000003</v>
      </c>
      <c r="R210" s="175">
        <f ca="1">SUMIF(T$3:$AM195,"SI",T210:AM210)</f>
        <v>2668877.7260000003</v>
      </c>
      <c r="S210" s="379">
        <f t="shared" ca="1" si="30"/>
        <v>1</v>
      </c>
      <c r="T210" s="326">
        <f>+'P01 2025'!G142</f>
        <v>1012265.476</v>
      </c>
      <c r="U210" s="468">
        <f>+'P01 2024'!K143</f>
        <v>1018711.9741740001</v>
      </c>
      <c r="V210" s="468">
        <f>+'P01 2025'!N92</f>
        <v>863857.16599999997</v>
      </c>
      <c r="W210" s="175">
        <v>0</v>
      </c>
      <c r="X210" s="175">
        <f>+'P01 2025'!AC102</f>
        <v>475964.967</v>
      </c>
      <c r="Y210" s="249">
        <f>+'P01 2024'!AE106</f>
        <v>837925.99429200008</v>
      </c>
      <c r="Z210" s="249">
        <v>0</v>
      </c>
      <c r="AA210" s="249">
        <v>0</v>
      </c>
      <c r="AB210" s="249">
        <v>0</v>
      </c>
      <c r="AC210" s="249">
        <v>0</v>
      </c>
      <c r="AD210" s="249">
        <f>+'P01 2025'!BU102</f>
        <v>22555.47</v>
      </c>
      <c r="AE210" s="175">
        <f>+'P01 2024'!BX107</f>
        <v>22583.694262000001</v>
      </c>
      <c r="AF210" s="175">
        <f>+'P01 2025'!CI89</f>
        <v>153563.921</v>
      </c>
      <c r="AG210" s="175">
        <f>+'P01 2024'!CM117</f>
        <v>789656.06327200006</v>
      </c>
      <c r="AH210" s="249">
        <v>0</v>
      </c>
      <c r="AI210" s="175">
        <v>0</v>
      </c>
      <c r="AJ210" s="249">
        <v>0</v>
      </c>
      <c r="AK210" s="175">
        <v>0</v>
      </c>
      <c r="AL210" s="249">
        <v>0</v>
      </c>
      <c r="AM210" s="175">
        <v>0</v>
      </c>
      <c r="AN210" s="1194"/>
      <c r="AO210" s="151"/>
      <c r="AP210" s="151"/>
      <c r="AQ210" s="151"/>
      <c r="AR210" s="151"/>
      <c r="AS210" s="151"/>
      <c r="AT210" s="151"/>
      <c r="AU210" s="151"/>
      <c r="AV210" s="151"/>
      <c r="AW210" s="1195"/>
      <c r="AX210" s="1196"/>
      <c r="AY210" s="148"/>
      <c r="AZ210" s="151"/>
      <c r="BA210" s="151"/>
      <c r="BB210" s="1172"/>
      <c r="BC210" s="151"/>
      <c r="BD210" s="151"/>
      <c r="BE210" s="1171"/>
      <c r="BF210" s="1171"/>
      <c r="BG210" s="1171"/>
      <c r="BH210" s="1171"/>
      <c r="BI210" s="151"/>
      <c r="BJ210" s="156"/>
      <c r="BK210" s="156"/>
      <c r="BL210" s="594"/>
      <c r="BM210" s="594"/>
      <c r="BN210" s="594"/>
      <c r="BO210" s="594"/>
      <c r="BP210" s="185"/>
      <c r="BQ210" s="156"/>
      <c r="BR210" s="594"/>
      <c r="BS210" s="594"/>
      <c r="BT210" s="594"/>
      <c r="BU210" s="594"/>
      <c r="BV210" s="156"/>
      <c r="BW210" s="158"/>
      <c r="BX210" s="185"/>
      <c r="BY210" s="185"/>
      <c r="BZ210" s="185"/>
      <c r="CA210" s="185"/>
    </row>
    <row r="211" spans="1:81" s="320" customFormat="1" ht="15" customHeight="1" x14ac:dyDescent="0.25">
      <c r="A211" s="329"/>
      <c r="B211" s="952" t="s">
        <v>954</v>
      </c>
      <c r="C211" s="955"/>
      <c r="D211" s="794">
        <v>6</v>
      </c>
      <c r="E211" s="927"/>
      <c r="F211" s="331"/>
      <c r="G211" s="462" t="s">
        <v>287</v>
      </c>
      <c r="H211" s="471" t="s">
        <v>286</v>
      </c>
      <c r="I211" s="246">
        <f>+'P01 2025'!F143</f>
        <v>207126</v>
      </c>
      <c r="J211" s="317">
        <f>+'P01 2025'!DE162</f>
        <v>207126</v>
      </c>
      <c r="K211" s="317">
        <f ca="1">SUMIF(W$3:$AM197,"ok",W211:AM211)</f>
        <v>0</v>
      </c>
      <c r="L211" s="379">
        <f t="shared" ca="1" si="31"/>
        <v>0</v>
      </c>
      <c r="M211" s="317">
        <f>+'P01 2025'!DG162</f>
        <v>0</v>
      </c>
      <c r="N211" s="379">
        <f t="shared" si="26"/>
        <v>0</v>
      </c>
      <c r="O211" s="317">
        <f t="shared" si="27"/>
        <v>207126</v>
      </c>
      <c r="P211" s="445">
        <f t="shared" si="29"/>
        <v>1</v>
      </c>
      <c r="Q211" s="249">
        <v>0</v>
      </c>
      <c r="R211" s="175">
        <f ca="1">SUMIF(T$3:$AM199,"SI",T211:AM211)</f>
        <v>0</v>
      </c>
      <c r="S211" s="379" t="str">
        <f t="shared" ca="1" si="30"/>
        <v>0,00%</v>
      </c>
      <c r="T211" s="326">
        <f>+'P01 2025'!G143</f>
        <v>0</v>
      </c>
      <c r="U211" s="468">
        <v>0</v>
      </c>
      <c r="V211" s="468">
        <v>0</v>
      </c>
      <c r="W211" s="175">
        <v>0</v>
      </c>
      <c r="X211" s="175">
        <v>0</v>
      </c>
      <c r="Y211" s="249">
        <v>0</v>
      </c>
      <c r="Z211" s="249">
        <v>0</v>
      </c>
      <c r="AA211" s="249">
        <v>0</v>
      </c>
      <c r="AB211" s="249">
        <v>0</v>
      </c>
      <c r="AC211" s="249">
        <v>0</v>
      </c>
      <c r="AD211" s="249">
        <v>0</v>
      </c>
      <c r="AE211" s="328">
        <v>0</v>
      </c>
      <c r="AF211" s="328">
        <v>0</v>
      </c>
      <c r="AG211" s="249">
        <v>0</v>
      </c>
      <c r="AH211" s="249">
        <v>0</v>
      </c>
      <c r="AI211" s="175">
        <v>0</v>
      </c>
      <c r="AJ211" s="249">
        <v>0</v>
      </c>
      <c r="AK211" s="249">
        <v>0</v>
      </c>
      <c r="AL211" s="249">
        <v>0</v>
      </c>
      <c r="AM211" s="253">
        <v>0</v>
      </c>
      <c r="AN211" s="1194"/>
      <c r="AO211" s="151"/>
      <c r="AP211" s="151"/>
      <c r="AQ211" s="151"/>
      <c r="AR211" s="151"/>
      <c r="AS211" s="151"/>
      <c r="AT211" s="151"/>
      <c r="AU211" s="151"/>
      <c r="AV211" s="151"/>
      <c r="AW211" s="1195"/>
      <c r="AX211" s="1196"/>
      <c r="AY211" s="148"/>
      <c r="AZ211" s="151"/>
      <c r="BA211" s="151"/>
      <c r="BB211" s="1172"/>
      <c r="BC211" s="151"/>
      <c r="BD211" s="151"/>
      <c r="BE211" s="1171"/>
      <c r="BF211" s="1171"/>
      <c r="BG211" s="1171"/>
      <c r="BH211" s="1171"/>
      <c r="BI211" s="151"/>
      <c r="BJ211" s="156"/>
      <c r="BK211" s="156"/>
      <c r="BL211" s="594"/>
      <c r="BM211" s="594"/>
      <c r="BN211" s="594"/>
      <c r="BO211" s="594"/>
      <c r="BP211" s="185"/>
      <c r="BQ211" s="156"/>
      <c r="BR211" s="594"/>
      <c r="BS211" s="594"/>
      <c r="BT211" s="594"/>
      <c r="BU211" s="594"/>
      <c r="BV211" s="156"/>
      <c r="BW211" s="158"/>
      <c r="BX211" s="185"/>
      <c r="BY211" s="185"/>
      <c r="BZ211" s="185"/>
      <c r="CA211" s="185"/>
    </row>
    <row r="212" spans="1:81" s="320" customFormat="1" ht="15" customHeight="1" x14ac:dyDescent="0.25">
      <c r="A212" s="329"/>
      <c r="B212" s="952" t="s">
        <v>404</v>
      </c>
      <c r="C212" s="955"/>
      <c r="D212" s="794">
        <v>7</v>
      </c>
      <c r="E212" s="927"/>
      <c r="F212" s="331"/>
      <c r="G212" s="462" t="s">
        <v>201</v>
      </c>
      <c r="H212" s="471" t="s">
        <v>127</v>
      </c>
      <c r="I212" s="246">
        <f>+'P01 2025'!F144</f>
        <v>10.1</v>
      </c>
      <c r="J212" s="317">
        <f>+'P01 2025'!DE164</f>
        <v>1692933.1</v>
      </c>
      <c r="K212" s="317">
        <f ca="1">SUMIF(T$3:$AM200,"ok",T212:AM212)</f>
        <v>1689332.7679999999</v>
      </c>
      <c r="L212" s="379">
        <f t="shared" ca="1" si="31"/>
        <v>0.99787331702593551</v>
      </c>
      <c r="M212" s="317">
        <f>+'P01 2025'!DG164</f>
        <v>1689332.7679999999</v>
      </c>
      <c r="N212" s="379">
        <f t="shared" si="26"/>
        <v>0.99787331702593551</v>
      </c>
      <c r="O212" s="317">
        <f t="shared" si="27"/>
        <v>3600.3320000001695</v>
      </c>
      <c r="P212" s="445">
        <f t="shared" si="29"/>
        <v>2.1266829740644619E-3</v>
      </c>
      <c r="Q212" s="249">
        <f>+'P01 2024'!DJ162</f>
        <v>1131186.9682000002</v>
      </c>
      <c r="R212" s="175">
        <f ca="1">SUMIF(T$3:$AM200,"SI",T212:AM212)</f>
        <v>1131086.0505000001</v>
      </c>
      <c r="S212" s="379">
        <f t="shared" ca="1" si="30"/>
        <v>0.99991078601253625</v>
      </c>
      <c r="T212" s="326">
        <f>+'P01 2025'!G144</f>
        <v>1692932.7679999999</v>
      </c>
      <c r="U212" s="468">
        <f>+'P01 2024'!K144</f>
        <v>1131187.1911880001</v>
      </c>
      <c r="V212" s="468">
        <v>0</v>
      </c>
      <c r="W212" s="175">
        <v>0</v>
      </c>
      <c r="X212" s="175">
        <v>0</v>
      </c>
      <c r="Y212" s="249">
        <f>+'P01 2024'!AE109</f>
        <v>-101.140688</v>
      </c>
      <c r="Z212" s="249">
        <f>+'P01 2025'!AR94</f>
        <v>-3600</v>
      </c>
      <c r="AA212" s="249">
        <v>0</v>
      </c>
      <c r="AB212" s="249">
        <v>0</v>
      </c>
      <c r="AC212" s="249">
        <v>0</v>
      </c>
      <c r="AD212" s="249">
        <v>0</v>
      </c>
      <c r="AE212" s="249">
        <v>0</v>
      </c>
      <c r="AF212" s="249">
        <v>0</v>
      </c>
      <c r="AG212" s="249">
        <v>0</v>
      </c>
      <c r="AH212" s="249">
        <v>0</v>
      </c>
      <c r="AI212" s="175">
        <v>0</v>
      </c>
      <c r="AJ212" s="249">
        <v>0</v>
      </c>
      <c r="AK212" s="249">
        <v>0</v>
      </c>
      <c r="AL212" s="249">
        <v>0</v>
      </c>
      <c r="AM212" s="175">
        <v>0</v>
      </c>
      <c r="AN212" s="1194"/>
      <c r="AO212" s="151"/>
      <c r="AP212" s="151"/>
      <c r="AQ212" s="151"/>
      <c r="AR212" s="151"/>
      <c r="AS212" s="151"/>
      <c r="AT212" s="151"/>
      <c r="AU212" s="151"/>
      <c r="AV212" s="151"/>
      <c r="AW212" s="1195"/>
      <c r="AX212" s="1196"/>
      <c r="AY212" s="148"/>
      <c r="AZ212" s="151"/>
      <c r="BA212" s="151"/>
      <c r="BB212" s="1172"/>
      <c r="BC212" s="151"/>
      <c r="BD212" s="151"/>
      <c r="BE212" s="1171"/>
      <c r="BF212" s="1171"/>
      <c r="BG212" s="1171"/>
      <c r="BH212" s="1171"/>
      <c r="BI212" s="151"/>
      <c r="BJ212" s="156"/>
      <c r="BK212" s="156"/>
      <c r="BL212" s="594"/>
      <c r="BM212" s="594"/>
      <c r="BN212" s="594"/>
      <c r="BO212" s="594"/>
      <c r="BP212" s="185"/>
      <c r="BQ212" s="156"/>
      <c r="BR212" s="594"/>
      <c r="BS212" s="594"/>
      <c r="BT212" s="594"/>
      <c r="BU212" s="594"/>
      <c r="BV212" s="156"/>
      <c r="BW212" s="158"/>
      <c r="BX212" s="185"/>
      <c r="BY212" s="185"/>
      <c r="BZ212" s="185"/>
      <c r="CA212" s="185"/>
    </row>
    <row r="213" spans="1:81" ht="15" customHeight="1" x14ac:dyDescent="0.25">
      <c r="B213" s="169" t="s">
        <v>955</v>
      </c>
      <c r="C213" s="508">
        <v>35</v>
      </c>
      <c r="D213" s="172"/>
      <c r="E213" s="237"/>
      <c r="F213" s="237"/>
      <c r="G213" s="237"/>
      <c r="H213" s="503" t="s">
        <v>124</v>
      </c>
      <c r="I213" s="145">
        <v>0</v>
      </c>
      <c r="J213" s="306">
        <v>0</v>
      </c>
      <c r="K213" s="306">
        <f ca="1">SUMIF(W$3:$AM199,"ok",W213:AM213)</f>
        <v>0</v>
      </c>
      <c r="L213" s="378">
        <f t="shared" ca="1" si="31"/>
        <v>0</v>
      </c>
      <c r="M213" s="306">
        <v>0</v>
      </c>
      <c r="N213" s="378">
        <f t="shared" si="26"/>
        <v>0</v>
      </c>
      <c r="O213" s="306">
        <f t="shared" si="27"/>
        <v>0</v>
      </c>
      <c r="P213" s="443">
        <f t="shared" si="29"/>
        <v>0</v>
      </c>
      <c r="Q213" s="314">
        <v>0</v>
      </c>
      <c r="R213" s="314">
        <f ca="1">SUMIF(T$3:$AM203,"SI",T213:AM213)</f>
        <v>0</v>
      </c>
      <c r="S213" s="378" t="str">
        <f t="shared" ca="1" si="30"/>
        <v>0,00%</v>
      </c>
      <c r="T213" s="509">
        <v>0</v>
      </c>
      <c r="U213" s="467">
        <v>0</v>
      </c>
      <c r="V213" s="467">
        <v>0</v>
      </c>
      <c r="W213" s="323">
        <v>0</v>
      </c>
      <c r="X213" s="323">
        <v>0</v>
      </c>
      <c r="Y213" s="86">
        <v>0</v>
      </c>
      <c r="Z213" s="165"/>
      <c r="AA213" s="165">
        <v>0</v>
      </c>
      <c r="AB213" s="165">
        <v>0</v>
      </c>
      <c r="AC213" s="165">
        <v>0</v>
      </c>
      <c r="AD213" s="165">
        <v>0</v>
      </c>
      <c r="AE213" s="165">
        <v>0</v>
      </c>
      <c r="AF213" s="165">
        <v>0</v>
      </c>
      <c r="AG213" s="165">
        <v>0</v>
      </c>
      <c r="AH213" s="155">
        <v>0</v>
      </c>
      <c r="AI213" s="86">
        <v>0</v>
      </c>
      <c r="AJ213" s="86">
        <v>0</v>
      </c>
      <c r="AK213" s="165">
        <v>0</v>
      </c>
      <c r="AL213" s="165">
        <v>0</v>
      </c>
      <c r="AM213" s="165">
        <v>0</v>
      </c>
      <c r="AN213" s="1139"/>
      <c r="AO213" s="156"/>
      <c r="AP213" s="156"/>
      <c r="AQ213" s="156"/>
      <c r="AR213" s="156"/>
      <c r="AS213" s="156"/>
      <c r="AT213" s="156"/>
      <c r="AU213" s="156"/>
      <c r="AV213" s="156"/>
      <c r="AW213" s="1140"/>
      <c r="AX213" s="1197"/>
      <c r="AY213" s="148"/>
      <c r="AZ213" s="151"/>
      <c r="BA213" s="151"/>
      <c r="BB213" s="1172"/>
      <c r="BC213" s="151"/>
      <c r="BD213" s="151"/>
      <c r="BE213" s="1171"/>
      <c r="BF213" s="1171"/>
      <c r="BG213" s="1171"/>
      <c r="BH213" s="1171"/>
      <c r="BI213" s="1171"/>
      <c r="BJ213" s="932"/>
      <c r="BK213" s="156"/>
      <c r="BL213" s="594"/>
      <c r="BM213" s="594"/>
      <c r="BN213" s="594"/>
      <c r="BO213" s="594"/>
      <c r="BQ213" s="156"/>
      <c r="BR213" s="594"/>
      <c r="BS213" s="594"/>
      <c r="BT213" s="594"/>
      <c r="BU213" s="594"/>
      <c r="BV213" s="156"/>
      <c r="BW213" s="158"/>
      <c r="CB213" s="85"/>
    </row>
    <row r="214" spans="1:81" x14ac:dyDescent="0.25">
      <c r="B214" s="1193"/>
      <c r="C214" s="935"/>
      <c r="D214" s="936"/>
      <c r="E214" s="937"/>
      <c r="H214" s="1156"/>
      <c r="J214" s="938"/>
      <c r="K214" s="938"/>
      <c r="L214" s="938"/>
      <c r="M214" s="938"/>
      <c r="N214" s="938"/>
      <c r="O214" s="938"/>
      <c r="P214" s="939"/>
      <c r="Q214" s="334"/>
      <c r="S214" s="334"/>
      <c r="T214" s="343"/>
      <c r="U214" s="334"/>
      <c r="V214" s="334"/>
      <c r="W214" s="334"/>
      <c r="X214" s="334"/>
      <c r="AC214" s="334"/>
      <c r="AD214" s="334"/>
      <c r="AE214" s="334"/>
      <c r="AF214" s="334"/>
      <c r="AG214" s="334"/>
      <c r="AH214" s="334"/>
      <c r="AI214" s="334"/>
      <c r="AJ214" s="334"/>
      <c r="AK214" s="334"/>
      <c r="AL214" s="334"/>
      <c r="AM214" s="334"/>
      <c r="AN214" s="1184"/>
      <c r="AO214" s="1183"/>
      <c r="AP214" s="1183"/>
      <c r="AQ214" s="1183"/>
      <c r="AR214" s="1183"/>
      <c r="AS214" s="1185"/>
      <c r="AT214" s="1185"/>
      <c r="AU214" s="1185"/>
      <c r="AV214" s="1182"/>
      <c r="AW214" s="1166"/>
      <c r="AX214" s="1178"/>
      <c r="AY214" s="1169"/>
      <c r="AZ214" s="1170"/>
      <c r="BA214" s="1170"/>
      <c r="BB214" s="1170"/>
      <c r="BC214" s="1170"/>
      <c r="BD214" s="1170"/>
      <c r="BE214" s="1172"/>
      <c r="BF214" s="1172"/>
      <c r="BG214" s="1172"/>
      <c r="BH214" s="1172"/>
      <c r="BI214" s="1172"/>
      <c r="BJ214" s="185"/>
      <c r="BV214" s="156"/>
      <c r="BW214" s="158"/>
      <c r="CB214" s="85"/>
    </row>
    <row r="215" spans="1:81" x14ac:dyDescent="0.25">
      <c r="B215" s="1193"/>
      <c r="C215" s="935"/>
      <c r="D215" s="936"/>
      <c r="E215" s="937"/>
      <c r="H215" s="1156"/>
      <c r="J215" s="939"/>
      <c r="K215" s="939"/>
      <c r="L215" s="940"/>
      <c r="M215" s="939"/>
      <c r="O215" s="939"/>
      <c r="Q215" s="334"/>
      <c r="T215" s="343"/>
      <c r="Y215" s="340"/>
      <c r="Z215" s="340"/>
      <c r="AA215" s="340"/>
      <c r="AB215" s="340"/>
      <c r="AH215" s="1169"/>
      <c r="AN215" s="1149"/>
      <c r="AO215" s="1146"/>
      <c r="AP215" s="1146"/>
      <c r="AQ215" s="1146"/>
      <c r="AR215" s="1146"/>
      <c r="AS215" s="1148"/>
      <c r="AT215" s="1148"/>
      <c r="AU215" s="1148"/>
      <c r="AY215" s="1169"/>
      <c r="AZ215" s="1170"/>
      <c r="BA215" s="1170"/>
      <c r="BB215" s="1170"/>
      <c r="BC215" s="1170"/>
      <c r="BD215" s="1170"/>
      <c r="BE215" s="1172"/>
      <c r="BF215" s="1172"/>
      <c r="BG215" s="1172"/>
      <c r="BH215" s="1172"/>
      <c r="BI215" s="1172"/>
      <c r="BJ215" s="185"/>
      <c r="BV215" s="156"/>
      <c r="BW215" s="158"/>
      <c r="CB215" s="152"/>
      <c r="CC215" s="152"/>
    </row>
    <row r="216" spans="1:81" x14ac:dyDescent="0.25">
      <c r="K216" s="335"/>
      <c r="Q216" s="334"/>
      <c r="Y216" s="340"/>
      <c r="Z216" s="340"/>
      <c r="AA216" s="340"/>
      <c r="AB216" s="340"/>
      <c r="AN216" s="1149"/>
      <c r="AO216" s="1146"/>
      <c r="AP216" s="1146"/>
      <c r="AQ216" s="1146"/>
      <c r="AR216" s="1146"/>
      <c r="AS216" s="1148"/>
      <c r="AT216" s="1148"/>
      <c r="AU216" s="1148"/>
      <c r="AY216" s="1169"/>
      <c r="AZ216" s="1170"/>
      <c r="BA216" s="1170"/>
      <c r="BB216" s="1170"/>
      <c r="BC216" s="1170"/>
      <c r="BD216" s="1170"/>
      <c r="BE216" s="1172"/>
      <c r="BF216" s="1172"/>
      <c r="BG216" s="1172"/>
      <c r="BH216" s="1172"/>
      <c r="BI216" s="1172"/>
      <c r="BJ216" s="185"/>
      <c r="BV216" s="156"/>
      <c r="BW216" s="158"/>
      <c r="CB216" s="152"/>
      <c r="CC216" s="152"/>
    </row>
    <row r="217" spans="1:81" ht="13.15" customHeight="1" x14ac:dyDescent="0.25">
      <c r="H217" s="1158"/>
      <c r="I217" s="341"/>
      <c r="Q217" s="334"/>
      <c r="Y217" s="340"/>
      <c r="Z217" s="340"/>
      <c r="AA217" s="340"/>
      <c r="AB217" s="340"/>
      <c r="AN217" s="1149"/>
      <c r="AO217" s="1146"/>
      <c r="AP217" s="1146"/>
      <c r="AQ217" s="1146"/>
      <c r="AR217" s="1146"/>
      <c r="AS217" s="1148"/>
      <c r="AT217" s="1148"/>
      <c r="AU217" s="1148"/>
      <c r="AY217" s="1169"/>
      <c r="AZ217" s="1170"/>
      <c r="BA217" s="1170"/>
      <c r="BB217" s="1170"/>
      <c r="BC217" s="1170"/>
      <c r="BD217" s="1170"/>
      <c r="BE217" s="1172"/>
      <c r="BF217" s="1172"/>
      <c r="BG217" s="1172"/>
      <c r="BH217" s="1172"/>
      <c r="BI217" s="1172"/>
      <c r="BJ217" s="185"/>
      <c r="BV217" s="156"/>
      <c r="BW217" s="158"/>
      <c r="CB217" s="152"/>
      <c r="CC217" s="152"/>
    </row>
    <row r="218" spans="1:81" ht="15.75" customHeight="1" x14ac:dyDescent="0.25">
      <c r="C218" s="1236" t="s">
        <v>1032</v>
      </c>
      <c r="D218" s="1236"/>
      <c r="E218" s="1236"/>
      <c r="F218" s="1236"/>
      <c r="G218" s="1236"/>
      <c r="H218" s="1236"/>
      <c r="I218" s="1236"/>
      <c r="J218" s="1236"/>
      <c r="K218" s="1236"/>
      <c r="L218" s="1236"/>
      <c r="M218" s="1236"/>
      <c r="N218" s="1236"/>
      <c r="O218" s="1236"/>
      <c r="P218" s="1236"/>
      <c r="Q218" s="1236"/>
      <c r="R218" s="1236"/>
      <c r="S218" s="1236"/>
      <c r="Y218" s="340"/>
      <c r="Z218" s="340"/>
      <c r="AA218" s="340"/>
      <c r="AB218" s="340"/>
      <c r="AN218" s="1149"/>
      <c r="AO218" s="1146"/>
      <c r="AP218" s="1146"/>
      <c r="AQ218" s="1146"/>
      <c r="AR218" s="1146"/>
      <c r="AS218" s="1148"/>
      <c r="AT218" s="1148"/>
      <c r="AU218" s="1148"/>
      <c r="AY218" s="1169"/>
      <c r="AZ218" s="1170"/>
      <c r="BA218" s="1170"/>
      <c r="BB218" s="1170"/>
      <c r="BC218" s="1170"/>
      <c r="BD218" s="1170"/>
      <c r="BE218" s="1172"/>
      <c r="BF218" s="1172"/>
      <c r="BG218" s="1172"/>
      <c r="BH218" s="1172"/>
      <c r="BI218" s="1172"/>
      <c r="BJ218" s="185"/>
      <c r="BV218" s="156"/>
      <c r="BW218" s="158"/>
      <c r="CB218" s="152"/>
      <c r="CC218" s="152"/>
    </row>
    <row r="219" spans="1:81" ht="15" x14ac:dyDescent="0.25">
      <c r="C219" s="1236"/>
      <c r="D219" s="1236"/>
      <c r="E219" s="1236"/>
      <c r="F219" s="1236"/>
      <c r="G219" s="1236"/>
      <c r="H219" s="1236"/>
      <c r="I219" s="1236"/>
      <c r="J219" s="1236"/>
      <c r="K219" s="1236"/>
      <c r="L219" s="1236"/>
      <c r="M219" s="1236"/>
      <c r="N219" s="1236"/>
      <c r="O219" s="1236"/>
      <c r="P219" s="1236"/>
      <c r="Q219" s="1236"/>
      <c r="R219" s="1236"/>
      <c r="S219" s="1236"/>
      <c r="Y219" s="340"/>
      <c r="Z219" s="340"/>
      <c r="AA219" s="340"/>
      <c r="AB219" s="340"/>
      <c r="AN219" s="1149"/>
      <c r="AO219" s="1146"/>
      <c r="AP219" s="1146"/>
      <c r="AQ219" s="1146"/>
      <c r="AR219" s="1146"/>
      <c r="AS219" s="1148"/>
      <c r="AT219" s="1148"/>
      <c r="AU219" s="1148"/>
      <c r="AY219" s="1169"/>
      <c r="AZ219" s="1170"/>
      <c r="BA219" s="1170"/>
      <c r="BB219" s="1170"/>
      <c r="BC219" s="1170"/>
      <c r="BD219" s="1170"/>
      <c r="BE219" s="1172"/>
      <c r="BF219" s="1172"/>
      <c r="BG219" s="1172"/>
      <c r="BH219" s="1172"/>
      <c r="BI219" s="1172"/>
      <c r="BJ219" s="185"/>
      <c r="BV219" s="156"/>
      <c r="BW219" s="158"/>
      <c r="CB219" s="152"/>
      <c r="CC219" s="152"/>
    </row>
    <row r="220" spans="1:81" ht="15" x14ac:dyDescent="0.25">
      <c r="C220" s="1236"/>
      <c r="D220" s="1236"/>
      <c r="E220" s="1236"/>
      <c r="F220" s="1236"/>
      <c r="G220" s="1236"/>
      <c r="H220" s="1236"/>
      <c r="I220" s="1236"/>
      <c r="J220" s="1236"/>
      <c r="K220" s="1236"/>
      <c r="L220" s="1236"/>
      <c r="M220" s="1236"/>
      <c r="N220" s="1236"/>
      <c r="O220" s="1236"/>
      <c r="P220" s="1236"/>
      <c r="Q220" s="1236"/>
      <c r="R220" s="1236"/>
      <c r="S220" s="1236"/>
      <c r="U220" s="148"/>
      <c r="Y220" s="340"/>
      <c r="Z220" s="340"/>
      <c r="AA220" s="340"/>
      <c r="AB220" s="340"/>
      <c r="AN220" s="1149"/>
      <c r="AO220" s="1146"/>
      <c r="AP220" s="1146"/>
      <c r="AQ220" s="1146"/>
      <c r="AR220" s="1146"/>
      <c r="AS220" s="1148"/>
      <c r="AT220" s="1148"/>
      <c r="AU220" s="1148"/>
      <c r="AY220" s="1169"/>
      <c r="AZ220" s="1170"/>
      <c r="BA220" s="1170"/>
      <c r="BB220" s="1170"/>
      <c r="BC220" s="1170"/>
      <c r="BD220" s="1170"/>
      <c r="BE220" s="1172"/>
      <c r="BF220" s="1172"/>
      <c r="BG220" s="1172"/>
      <c r="BH220" s="1172"/>
      <c r="BI220" s="1172"/>
      <c r="BJ220" s="185"/>
      <c r="BV220" s="156"/>
      <c r="BW220" s="158"/>
      <c r="CB220" s="152"/>
      <c r="CC220" s="152"/>
    </row>
    <row r="221" spans="1:81" x14ac:dyDescent="0.25">
      <c r="H221" s="1159"/>
      <c r="L221" s="342"/>
      <c r="N221" s="1071"/>
      <c r="P221" s="342"/>
      <c r="Q221" s="344"/>
      <c r="S221" s="342"/>
      <c r="T221" s="343"/>
      <c r="U221" s="342"/>
      <c r="V221" s="342"/>
      <c r="W221" s="344"/>
      <c r="X221" s="344"/>
      <c r="Y221" s="340"/>
      <c r="Z221" s="340"/>
      <c r="AA221" s="340"/>
      <c r="AB221" s="340"/>
      <c r="AN221" s="1148"/>
      <c r="AO221" s="1148"/>
      <c r="AP221" s="1148"/>
      <c r="AQ221" s="1148"/>
      <c r="AR221" s="1148"/>
      <c r="AS221" s="1148"/>
      <c r="AT221" s="1148"/>
      <c r="AU221" s="1148"/>
      <c r="AY221" s="1169"/>
      <c r="AZ221" s="1170"/>
      <c r="BA221" s="1170"/>
      <c r="BB221" s="1170"/>
      <c r="BC221" s="1170"/>
      <c r="BD221" s="1170"/>
      <c r="BE221" s="1172"/>
      <c r="BF221" s="1172"/>
      <c r="BG221" s="1172"/>
      <c r="BH221" s="1172"/>
      <c r="BI221" s="1172"/>
      <c r="BJ221" s="185"/>
      <c r="BV221" s="156"/>
      <c r="BW221" s="158"/>
      <c r="CB221" s="152"/>
      <c r="CC221" s="152"/>
    </row>
    <row r="222" spans="1:81" x14ac:dyDescent="0.25">
      <c r="H222" s="1159"/>
      <c r="L222" s="342"/>
      <c r="N222" s="1071"/>
      <c r="P222" s="342"/>
      <c r="Q222" s="344"/>
      <c r="S222" s="342"/>
      <c r="T222" s="343"/>
      <c r="U222" s="342"/>
      <c r="V222" s="342"/>
      <c r="W222" s="344"/>
      <c r="X222" s="344"/>
      <c r="Y222" s="340"/>
      <c r="Z222" s="340"/>
      <c r="AA222" s="340"/>
      <c r="AB222" s="340"/>
      <c r="AN222" s="1148"/>
      <c r="AO222" s="1148"/>
      <c r="AP222" s="1148"/>
      <c r="AQ222" s="1148"/>
      <c r="AR222" s="1148"/>
      <c r="AS222" s="1148"/>
      <c r="AT222" s="1148"/>
      <c r="AU222" s="1148"/>
      <c r="AY222" s="1169"/>
      <c r="AZ222" s="1170"/>
      <c r="BA222" s="1170"/>
      <c r="BB222" s="1170"/>
      <c r="BC222" s="1170"/>
      <c r="BD222" s="1170"/>
      <c r="BE222" s="1172"/>
      <c r="BF222" s="1172"/>
      <c r="BG222" s="1172"/>
      <c r="BH222" s="1172"/>
      <c r="BI222" s="1172"/>
      <c r="BJ222" s="185"/>
      <c r="BV222" s="156"/>
      <c r="BW222" s="158"/>
      <c r="CB222" s="152"/>
      <c r="CC222" s="152"/>
    </row>
    <row r="223" spans="1:81" x14ac:dyDescent="0.25">
      <c r="H223" s="1159"/>
      <c r="L223" s="342"/>
      <c r="N223" s="1071"/>
      <c r="P223" s="342"/>
      <c r="Q223" s="344"/>
      <c r="S223" s="342"/>
      <c r="T223" s="343"/>
      <c r="U223" s="342"/>
      <c r="V223" s="342"/>
      <c r="W223" s="344"/>
      <c r="X223" s="344"/>
      <c r="Y223" s="340"/>
      <c r="Z223" s="340"/>
      <c r="AA223" s="340"/>
      <c r="AB223" s="340"/>
      <c r="AN223" s="1148"/>
      <c r="AO223" s="1148"/>
      <c r="AP223" s="1148"/>
      <c r="AQ223" s="1148"/>
      <c r="AR223" s="1148"/>
      <c r="AS223" s="1148"/>
      <c r="AT223" s="1148"/>
      <c r="AU223" s="1148"/>
      <c r="AY223" s="1169"/>
      <c r="AZ223" s="1170"/>
      <c r="BA223" s="1170"/>
      <c r="BB223" s="1170"/>
      <c r="BC223" s="1170"/>
      <c r="BD223" s="1170"/>
      <c r="BE223" s="1172"/>
      <c r="BF223" s="1172"/>
      <c r="BG223" s="1172"/>
      <c r="BH223" s="1172"/>
      <c r="BI223" s="1172"/>
      <c r="BJ223" s="185"/>
      <c r="CB223" s="152"/>
      <c r="CC223" s="152"/>
    </row>
    <row r="224" spans="1:81" x14ac:dyDescent="0.25">
      <c r="H224" s="1159"/>
      <c r="L224" s="342"/>
      <c r="N224" s="1071"/>
      <c r="P224" s="342"/>
      <c r="Q224" s="344"/>
      <c r="S224" s="342"/>
      <c r="T224" s="343"/>
      <c r="U224" s="342"/>
      <c r="V224" s="342"/>
      <c r="W224" s="344"/>
      <c r="X224" s="344"/>
      <c r="Y224" s="340"/>
      <c r="Z224" s="340"/>
      <c r="AA224" s="340"/>
      <c r="AB224" s="340"/>
      <c r="AN224" s="1148"/>
      <c r="AO224" s="1148"/>
      <c r="AP224" s="1148"/>
      <c r="AQ224" s="1148"/>
      <c r="AR224" s="1148"/>
      <c r="AS224" s="1148"/>
      <c r="AT224" s="1148"/>
      <c r="AU224" s="1148"/>
      <c r="AY224" s="1169"/>
      <c r="AZ224" s="1170"/>
      <c r="BA224" s="1170"/>
      <c r="BB224" s="1170"/>
      <c r="BC224" s="1170"/>
      <c r="BD224" s="1170"/>
      <c r="BE224" s="1172"/>
      <c r="BF224" s="1172"/>
      <c r="BG224" s="1172"/>
      <c r="BH224" s="1172"/>
      <c r="BI224" s="1172"/>
      <c r="BJ224" s="185"/>
      <c r="CB224" s="152"/>
      <c r="CC224" s="152"/>
    </row>
    <row r="225" spans="8:81" x14ac:dyDescent="0.25">
      <c r="H225" s="1159"/>
      <c r="L225" s="342"/>
      <c r="N225" s="1071"/>
      <c r="P225" s="342"/>
      <c r="Q225" s="344"/>
      <c r="S225" s="342"/>
      <c r="T225" s="343"/>
      <c r="U225" s="342"/>
      <c r="V225" s="342"/>
      <c r="W225" s="344"/>
      <c r="X225" s="344"/>
      <c r="Y225" s="340"/>
      <c r="Z225" s="340"/>
      <c r="AA225" s="340"/>
      <c r="AB225" s="340"/>
      <c r="AN225" s="1148"/>
      <c r="AO225" s="1148"/>
      <c r="AP225" s="1148"/>
      <c r="AQ225" s="1148"/>
      <c r="AR225" s="1148"/>
      <c r="AS225" s="1148"/>
      <c r="AT225" s="1148"/>
      <c r="AU225" s="1148"/>
      <c r="AY225" s="1169"/>
      <c r="AZ225" s="1170"/>
      <c r="BA225" s="1170"/>
      <c r="BB225" s="1170"/>
      <c r="BC225" s="1170"/>
      <c r="BD225" s="1170"/>
      <c r="BE225" s="1172"/>
      <c r="BF225" s="1172"/>
      <c r="BG225" s="1172"/>
      <c r="BH225" s="1172"/>
      <c r="BI225" s="1172"/>
      <c r="BJ225" s="185"/>
      <c r="CB225" s="152"/>
      <c r="CC225" s="152"/>
    </row>
    <row r="226" spans="8:81" x14ac:dyDescent="0.25">
      <c r="H226" s="1159"/>
      <c r="L226" s="342"/>
      <c r="N226" s="1071"/>
      <c r="P226" s="342"/>
      <c r="Q226" s="344"/>
      <c r="S226" s="342"/>
      <c r="T226" s="343"/>
      <c r="U226" s="342"/>
      <c r="V226" s="342"/>
      <c r="W226" s="344"/>
      <c r="X226" s="344"/>
      <c r="Y226" s="340"/>
      <c r="Z226" s="340"/>
      <c r="AA226" s="340"/>
      <c r="AB226" s="340"/>
      <c r="AN226" s="1148"/>
      <c r="AO226" s="1148"/>
      <c r="AP226" s="1148"/>
      <c r="AQ226" s="1148"/>
      <c r="AR226" s="1148"/>
      <c r="AS226" s="1148"/>
      <c r="AT226" s="1148"/>
      <c r="AU226" s="1148"/>
      <c r="AY226" s="1169"/>
      <c r="AZ226" s="1170"/>
      <c r="BA226" s="1170"/>
      <c r="BB226" s="1170"/>
      <c r="BC226" s="1170"/>
      <c r="BD226" s="1170"/>
      <c r="BE226" s="1172"/>
      <c r="BF226" s="1172"/>
      <c r="BG226" s="1172"/>
      <c r="BH226" s="1172"/>
      <c r="BI226" s="1172"/>
      <c r="BJ226" s="185"/>
      <c r="CB226" s="152"/>
      <c r="CC226" s="152"/>
    </row>
    <row r="227" spans="8:81" x14ac:dyDescent="0.25">
      <c r="H227" s="1159"/>
      <c r="L227" s="342"/>
      <c r="N227" s="1071"/>
      <c r="P227" s="342"/>
      <c r="Q227" s="344"/>
      <c r="S227" s="342"/>
      <c r="T227" s="343"/>
      <c r="U227" s="342"/>
      <c r="V227" s="342"/>
      <c r="W227" s="344"/>
      <c r="X227" s="344"/>
      <c r="Y227" s="340"/>
      <c r="Z227" s="340"/>
      <c r="AA227" s="340"/>
      <c r="AB227" s="340"/>
      <c r="AN227" s="1148"/>
      <c r="AO227" s="1148"/>
      <c r="AP227" s="1148"/>
      <c r="AQ227" s="1148"/>
      <c r="AR227" s="1148"/>
      <c r="AS227" s="1148"/>
      <c r="AT227" s="1148"/>
      <c r="AU227" s="1148"/>
      <c r="AY227" s="1169"/>
      <c r="AZ227" s="1170"/>
      <c r="BA227" s="1170"/>
      <c r="BB227" s="1170"/>
      <c r="BC227" s="1170"/>
      <c r="BD227" s="1170"/>
      <c r="BE227" s="1172"/>
      <c r="BF227" s="1172"/>
      <c r="BG227" s="1172"/>
      <c r="BH227" s="1172"/>
      <c r="BI227" s="1172"/>
      <c r="BJ227" s="185"/>
      <c r="CB227" s="152"/>
      <c r="CC227" s="152"/>
    </row>
    <row r="228" spans="8:81" x14ac:dyDescent="0.25">
      <c r="H228" s="1159"/>
      <c r="L228" s="342"/>
      <c r="N228" s="1071"/>
      <c r="P228" s="342"/>
      <c r="Q228" s="344"/>
      <c r="S228" s="342"/>
      <c r="T228" s="343"/>
      <c r="U228" s="342"/>
      <c r="V228" s="342"/>
      <c r="W228" s="344"/>
      <c r="X228" s="344"/>
      <c r="Y228" s="340"/>
      <c r="Z228" s="340"/>
      <c r="AA228" s="340"/>
      <c r="AB228" s="340"/>
      <c r="AN228" s="1148"/>
      <c r="AO228" s="1148"/>
      <c r="AP228" s="1148"/>
      <c r="AQ228" s="1148"/>
      <c r="AR228" s="1148"/>
      <c r="AS228" s="1148"/>
      <c r="AT228" s="1148"/>
      <c r="AU228" s="1148"/>
      <c r="AY228" s="1169"/>
      <c r="AZ228" s="1170"/>
      <c r="BA228" s="1170"/>
      <c r="BB228" s="1170"/>
      <c r="BC228" s="1170"/>
      <c r="BD228" s="1170"/>
      <c r="BE228" s="1172"/>
      <c r="BF228" s="1172"/>
      <c r="BG228" s="1172"/>
      <c r="BH228" s="1172"/>
      <c r="BI228" s="1172"/>
      <c r="BJ228" s="185"/>
      <c r="CB228" s="152"/>
      <c r="CC228" s="152"/>
    </row>
    <row r="229" spans="8:81" x14ac:dyDescent="0.25">
      <c r="H229" s="1159"/>
      <c r="L229" s="342"/>
      <c r="N229" s="1071"/>
      <c r="P229" s="342"/>
      <c r="Q229" s="344"/>
      <c r="S229" s="342"/>
      <c r="T229" s="343"/>
      <c r="U229" s="342"/>
      <c r="V229" s="342"/>
      <c r="W229" s="344"/>
      <c r="X229" s="344"/>
      <c r="Y229" s="340"/>
      <c r="Z229" s="340"/>
      <c r="AA229" s="340"/>
      <c r="AB229" s="340"/>
      <c r="AN229" s="1148"/>
      <c r="AO229" s="1148"/>
      <c r="AP229" s="1148"/>
      <c r="AQ229" s="1148"/>
      <c r="AR229" s="1148"/>
      <c r="AS229" s="1148"/>
      <c r="AT229" s="1148"/>
      <c r="AU229" s="1148"/>
      <c r="AY229" s="1169"/>
      <c r="AZ229" s="1170"/>
      <c r="BA229" s="1170"/>
      <c r="BB229" s="1170"/>
      <c r="BC229" s="1170"/>
      <c r="BD229" s="1170"/>
      <c r="BE229" s="1172"/>
      <c r="BF229" s="1172"/>
      <c r="BG229" s="1172"/>
      <c r="BH229" s="1172"/>
      <c r="BI229" s="1172"/>
      <c r="BJ229" s="185"/>
      <c r="CB229" s="152"/>
      <c r="CC229" s="152"/>
    </row>
    <row r="230" spans="8:81" x14ac:dyDescent="0.25">
      <c r="L230" s="342"/>
      <c r="N230" s="1071"/>
      <c r="P230" s="342"/>
      <c r="Q230" s="344"/>
      <c r="S230" s="342"/>
      <c r="T230" s="343"/>
      <c r="U230" s="342"/>
      <c r="V230" s="342"/>
      <c r="W230" s="344"/>
      <c r="X230" s="344"/>
      <c r="Y230" s="340"/>
      <c r="Z230" s="340"/>
      <c r="AA230" s="340"/>
      <c r="AB230" s="340"/>
      <c r="AN230" s="1148"/>
      <c r="AO230" s="1148"/>
      <c r="AP230" s="1148"/>
      <c r="AQ230" s="1148"/>
      <c r="AR230" s="1148"/>
      <c r="AS230" s="1148"/>
      <c r="AT230" s="1148"/>
      <c r="AU230" s="1148"/>
      <c r="AY230" s="1169"/>
      <c r="AZ230" s="1170"/>
      <c r="BA230" s="1170"/>
      <c r="BB230" s="1170"/>
      <c r="BC230" s="1170"/>
      <c r="BD230" s="1170"/>
      <c r="BE230" s="1172"/>
      <c r="BF230" s="1172"/>
      <c r="BG230" s="1172"/>
      <c r="BH230" s="1172"/>
      <c r="BI230" s="1172"/>
      <c r="BJ230" s="185"/>
      <c r="CB230" s="152"/>
      <c r="CC230" s="152"/>
    </row>
    <row r="231" spans="8:81" x14ac:dyDescent="0.25">
      <c r="L231" s="342"/>
      <c r="N231" s="1071"/>
      <c r="P231" s="342"/>
      <c r="Q231" s="344"/>
      <c r="S231" s="342"/>
      <c r="T231" s="343"/>
      <c r="U231" s="342"/>
      <c r="V231" s="342"/>
      <c r="W231" s="344"/>
      <c r="X231" s="344"/>
      <c r="Y231" s="340"/>
      <c r="Z231" s="340"/>
      <c r="AA231" s="340"/>
      <c r="AB231" s="340"/>
      <c r="AN231" s="1148"/>
      <c r="AO231" s="1148"/>
      <c r="AP231" s="1148"/>
      <c r="AQ231" s="1148"/>
      <c r="AR231" s="1148"/>
      <c r="AS231" s="1148"/>
      <c r="AT231" s="1148"/>
      <c r="AU231" s="1148"/>
      <c r="AY231" s="1169"/>
      <c r="AZ231" s="1170"/>
      <c r="BA231" s="1170"/>
      <c r="BB231" s="1170"/>
      <c r="BC231" s="1170"/>
      <c r="BD231" s="1170"/>
      <c r="BE231" s="1172"/>
      <c r="BF231" s="1172"/>
      <c r="BG231" s="1172"/>
      <c r="BH231" s="1172"/>
      <c r="BI231" s="1172"/>
      <c r="BJ231" s="185"/>
      <c r="CB231" s="152"/>
      <c r="CC231" s="152"/>
    </row>
    <row r="232" spans="8:81" x14ac:dyDescent="0.25">
      <c r="L232" s="342"/>
      <c r="N232" s="1071"/>
      <c r="P232" s="342"/>
      <c r="Q232" s="344"/>
      <c r="S232" s="342"/>
      <c r="T232" s="343"/>
      <c r="U232" s="342"/>
      <c r="V232" s="342"/>
      <c r="W232" s="344"/>
      <c r="X232" s="344"/>
      <c r="Y232" s="340"/>
      <c r="Z232" s="340"/>
      <c r="AA232" s="340"/>
      <c r="AB232" s="340"/>
      <c r="AN232" s="1148"/>
      <c r="AO232" s="1148"/>
      <c r="AP232" s="1148"/>
      <c r="AQ232" s="1148"/>
      <c r="AR232" s="1148"/>
      <c r="AS232" s="1148"/>
      <c r="AT232" s="1148"/>
      <c r="AU232" s="1148"/>
      <c r="AY232" s="1169"/>
      <c r="AZ232" s="1170"/>
      <c r="BA232" s="1170"/>
      <c r="BB232" s="1170"/>
      <c r="BC232" s="1170"/>
      <c r="BD232" s="1170"/>
      <c r="BE232" s="1172"/>
      <c r="BF232" s="1172"/>
      <c r="BG232" s="1172"/>
      <c r="BH232" s="1172"/>
      <c r="BI232" s="1172"/>
      <c r="BJ232" s="185"/>
      <c r="CB232" s="85"/>
    </row>
    <row r="233" spans="8:81" x14ac:dyDescent="0.25">
      <c r="Y233" s="340"/>
      <c r="Z233" s="340"/>
      <c r="AA233" s="340"/>
      <c r="AB233" s="340"/>
      <c r="AN233" s="1148"/>
      <c r="AO233" s="1148"/>
      <c r="AP233" s="1148"/>
      <c r="AQ233" s="1148"/>
      <c r="AR233" s="1148"/>
      <c r="AS233" s="1148"/>
      <c r="AT233" s="1148"/>
      <c r="AU233" s="1148"/>
      <c r="AY233" s="1169"/>
      <c r="AZ233" s="1170"/>
      <c r="BA233" s="1170"/>
      <c r="BB233" s="1170"/>
      <c r="BC233" s="1170"/>
      <c r="BD233" s="1170"/>
      <c r="BE233" s="1172"/>
      <c r="BF233" s="1172"/>
      <c r="BG233" s="1172"/>
      <c r="BH233" s="1172"/>
      <c r="BI233" s="1172"/>
      <c r="BJ233" s="185"/>
      <c r="CB233" s="85"/>
    </row>
    <row r="234" spans="8:81" x14ac:dyDescent="0.25">
      <c r="Y234" s="340"/>
      <c r="Z234" s="340"/>
      <c r="AA234" s="340"/>
      <c r="AB234" s="340"/>
      <c r="AN234" s="1148"/>
      <c r="AO234" s="1148"/>
      <c r="AP234" s="1148"/>
      <c r="AQ234" s="1148"/>
      <c r="AR234" s="1148"/>
      <c r="AS234" s="1148"/>
      <c r="AT234" s="1148"/>
      <c r="AU234" s="1148"/>
      <c r="AY234" s="1169"/>
      <c r="AZ234" s="1170"/>
      <c r="BA234" s="1170"/>
      <c r="BB234" s="1170"/>
      <c r="BC234" s="1170"/>
      <c r="BD234" s="1170"/>
      <c r="BE234" s="1172"/>
      <c r="BF234" s="1172"/>
      <c r="BG234" s="1172"/>
      <c r="BH234" s="1172"/>
      <c r="BI234" s="1172"/>
      <c r="BJ234" s="185"/>
      <c r="CB234" s="85"/>
    </row>
    <row r="235" spans="8:81" x14ac:dyDescent="0.25">
      <c r="Y235" s="340"/>
      <c r="Z235" s="340"/>
      <c r="AA235" s="340"/>
      <c r="AB235" s="340"/>
      <c r="AN235" s="1148"/>
      <c r="AO235" s="1148"/>
      <c r="AP235" s="1148"/>
      <c r="AQ235" s="1148"/>
      <c r="AR235" s="1148"/>
      <c r="AS235" s="1148"/>
      <c r="AT235" s="1148"/>
      <c r="AU235" s="1148"/>
      <c r="AY235" s="1169"/>
      <c r="AZ235" s="1170"/>
      <c r="BA235" s="1170"/>
      <c r="BB235" s="1170"/>
      <c r="BC235" s="1170"/>
      <c r="BD235" s="1170"/>
      <c r="BE235" s="1172"/>
      <c r="BF235" s="1172"/>
      <c r="BG235" s="1172"/>
      <c r="BH235" s="1172"/>
      <c r="BI235" s="1172"/>
      <c r="BJ235" s="185"/>
      <c r="CB235" s="85"/>
    </row>
    <row r="236" spans="8:81" x14ac:dyDescent="0.25">
      <c r="Y236" s="340"/>
      <c r="Z236" s="340"/>
      <c r="AA236" s="340"/>
      <c r="AB236" s="340"/>
      <c r="AN236" s="1148"/>
      <c r="AO236" s="1148"/>
      <c r="AP236" s="1148"/>
      <c r="AQ236" s="1148"/>
      <c r="AR236" s="1148"/>
      <c r="AS236" s="1148"/>
      <c r="AT236" s="1148"/>
      <c r="AU236" s="1148"/>
      <c r="AY236" s="1169"/>
      <c r="AZ236" s="1170"/>
      <c r="BA236" s="1170"/>
      <c r="BB236" s="1170"/>
      <c r="BC236" s="1170"/>
      <c r="BD236" s="1170"/>
      <c r="BE236" s="1172"/>
      <c r="BF236" s="1172"/>
      <c r="BG236" s="1172"/>
      <c r="BH236" s="1172"/>
      <c r="BI236" s="1172"/>
      <c r="BJ236" s="185"/>
      <c r="CB236" s="85"/>
    </row>
    <row r="237" spans="8:81" x14ac:dyDescent="0.25">
      <c r="Y237" s="340"/>
      <c r="Z237" s="340"/>
      <c r="AA237" s="340"/>
      <c r="AB237" s="340"/>
      <c r="AN237" s="1148"/>
      <c r="AO237" s="1148"/>
      <c r="AP237" s="1148"/>
      <c r="AQ237" s="1148"/>
      <c r="AR237" s="1148"/>
      <c r="AS237" s="1148"/>
      <c r="AT237" s="1148"/>
      <c r="AU237" s="1148"/>
      <c r="AY237" s="1169"/>
      <c r="AZ237" s="1170"/>
      <c r="BA237" s="1170"/>
      <c r="BB237" s="1170"/>
      <c r="BC237" s="1170"/>
      <c r="BD237" s="1170"/>
      <c r="BE237" s="1172"/>
      <c r="BF237" s="1172"/>
      <c r="BG237" s="1172"/>
      <c r="BH237" s="1172"/>
      <c r="BI237" s="1172"/>
      <c r="BJ237" s="185"/>
      <c r="CB237" s="85"/>
    </row>
    <row r="238" spans="8:81" x14ac:dyDescent="0.25">
      <c r="Y238" s="340"/>
      <c r="Z238" s="340"/>
      <c r="AA238" s="340"/>
      <c r="AB238" s="340"/>
      <c r="AN238" s="1148"/>
      <c r="AO238" s="1148"/>
      <c r="AP238" s="1148"/>
      <c r="AQ238" s="1148"/>
      <c r="AR238" s="1148"/>
      <c r="AS238" s="1148"/>
      <c r="AT238" s="1148"/>
      <c r="AU238" s="1148"/>
      <c r="AY238" s="1169"/>
      <c r="AZ238" s="1170"/>
      <c r="BA238" s="1170"/>
      <c r="BB238" s="1170"/>
      <c r="BC238" s="1170"/>
      <c r="BD238" s="1170"/>
      <c r="BE238" s="1172"/>
      <c r="BF238" s="1172"/>
      <c r="BG238" s="1172"/>
      <c r="BH238" s="1172"/>
      <c r="BI238" s="1172"/>
      <c r="BJ238" s="185"/>
      <c r="CB238" s="85"/>
    </row>
    <row r="239" spans="8:81" x14ac:dyDescent="0.25">
      <c r="Y239" s="340"/>
      <c r="Z239" s="340"/>
      <c r="AA239" s="340"/>
      <c r="AB239" s="340"/>
      <c r="AN239" s="1148"/>
      <c r="AO239" s="1148"/>
      <c r="AP239" s="1148"/>
      <c r="AQ239" s="1148"/>
      <c r="AR239" s="1148"/>
      <c r="AS239" s="1148"/>
      <c r="AT239" s="1148"/>
      <c r="AU239" s="1148"/>
      <c r="AY239" s="1169"/>
      <c r="AZ239" s="1170"/>
      <c r="BA239" s="1170"/>
      <c r="BB239" s="1170"/>
      <c r="BC239" s="1170"/>
      <c r="BD239" s="1170"/>
      <c r="BE239" s="1172"/>
      <c r="BF239" s="1172"/>
      <c r="BG239" s="1172"/>
      <c r="BH239" s="1172"/>
      <c r="BI239" s="1172"/>
      <c r="BJ239" s="185"/>
      <c r="CB239" s="85"/>
    </row>
    <row r="240" spans="8:81" x14ac:dyDescent="0.25">
      <c r="Y240" s="340"/>
      <c r="Z240" s="340"/>
      <c r="AA240" s="340"/>
      <c r="AB240" s="340"/>
      <c r="AN240" s="1148"/>
      <c r="AO240" s="1148"/>
      <c r="AP240" s="1148"/>
      <c r="AQ240" s="1148"/>
      <c r="AR240" s="1148"/>
      <c r="AS240" s="1148"/>
      <c r="AT240" s="1148"/>
      <c r="AU240" s="1148"/>
      <c r="AY240" s="1169"/>
      <c r="AZ240" s="1170"/>
      <c r="BA240" s="1170"/>
      <c r="BB240" s="1170"/>
      <c r="BC240" s="1170"/>
      <c r="BD240" s="1170"/>
      <c r="BE240" s="1172"/>
      <c r="BF240" s="1172"/>
      <c r="BG240" s="1172"/>
      <c r="BH240" s="1172"/>
      <c r="BI240" s="1172"/>
      <c r="BJ240" s="185"/>
      <c r="CB240" s="85"/>
    </row>
    <row r="241" spans="25:80" x14ac:dyDescent="0.25">
      <c r="Y241" s="340"/>
      <c r="Z241" s="340"/>
      <c r="AA241" s="340"/>
      <c r="AB241" s="340"/>
      <c r="AN241" s="1148"/>
      <c r="AO241" s="1148"/>
      <c r="AP241" s="1148"/>
      <c r="AQ241" s="1148"/>
      <c r="AR241" s="1148"/>
      <c r="AS241" s="1148"/>
      <c r="AT241" s="1148"/>
      <c r="AU241" s="1148"/>
      <c r="AY241" s="1169"/>
      <c r="AZ241" s="1170"/>
      <c r="BA241" s="1170"/>
      <c r="BB241" s="1170"/>
      <c r="BC241" s="1170"/>
      <c r="BD241" s="1170"/>
      <c r="BE241" s="1172"/>
      <c r="BF241" s="1172"/>
      <c r="BG241" s="1172"/>
      <c r="BH241" s="1172"/>
      <c r="BI241" s="1172"/>
      <c r="BJ241" s="185"/>
      <c r="CB241" s="85"/>
    </row>
    <row r="242" spans="25:80" x14ac:dyDescent="0.25">
      <c r="Y242" s="340"/>
      <c r="Z242" s="340"/>
      <c r="AA242" s="340"/>
      <c r="AB242" s="340"/>
      <c r="AN242" s="1148"/>
      <c r="AO242" s="1148"/>
      <c r="AP242" s="1148"/>
      <c r="AQ242" s="1148"/>
      <c r="AR242" s="1148"/>
      <c r="AS242" s="1148"/>
      <c r="AT242" s="1148"/>
      <c r="AU242" s="1148"/>
      <c r="AY242" s="1169"/>
      <c r="AZ242" s="1170"/>
      <c r="BA242" s="1170"/>
      <c r="BB242" s="1170"/>
      <c r="BC242" s="1170"/>
      <c r="BD242" s="1170"/>
      <c r="BE242" s="1172"/>
      <c r="BF242" s="1172"/>
      <c r="BG242" s="1172"/>
      <c r="BH242" s="1172"/>
      <c r="BI242" s="1172"/>
      <c r="BJ242" s="185"/>
      <c r="CB242" s="85"/>
    </row>
    <row r="243" spans="25:80" x14ac:dyDescent="0.25">
      <c r="Y243" s="340"/>
      <c r="Z243" s="340"/>
      <c r="AA243" s="340"/>
      <c r="AB243" s="340"/>
      <c r="AN243" s="1148"/>
      <c r="AO243" s="1148"/>
      <c r="AP243" s="1148"/>
      <c r="AQ243" s="1148"/>
      <c r="AR243" s="1148"/>
      <c r="AS243" s="1148"/>
      <c r="AT243" s="1148"/>
      <c r="AU243" s="1148"/>
      <c r="AY243" s="1169"/>
      <c r="AZ243" s="1170"/>
      <c r="BA243" s="1170"/>
      <c r="BB243" s="1170"/>
      <c r="BC243" s="1170"/>
      <c r="BD243" s="1170"/>
      <c r="BE243" s="1172"/>
      <c r="BF243" s="1172"/>
      <c r="BG243" s="1172"/>
      <c r="BH243" s="1172"/>
      <c r="BI243" s="1172"/>
      <c r="BJ243" s="185"/>
      <c r="CB243" s="85"/>
    </row>
    <row r="244" spans="25:80" x14ac:dyDescent="0.25">
      <c r="Y244" s="340"/>
      <c r="Z244" s="340"/>
      <c r="AA244" s="340"/>
      <c r="AB244" s="340"/>
      <c r="AN244" s="1148"/>
      <c r="AO244" s="1148"/>
      <c r="AP244" s="1148"/>
      <c r="AQ244" s="1148"/>
      <c r="AR244" s="1148"/>
      <c r="AS244" s="1148"/>
      <c r="AT244" s="1148"/>
      <c r="AU244" s="1148"/>
      <c r="AY244" s="1169"/>
      <c r="AZ244" s="1170"/>
      <c r="BA244" s="1170"/>
      <c r="BB244" s="1170"/>
      <c r="BC244" s="1170"/>
      <c r="BD244" s="1170"/>
      <c r="BE244" s="1172"/>
      <c r="BF244" s="1172"/>
      <c r="BG244" s="1172"/>
      <c r="BH244" s="1172"/>
      <c r="BI244" s="1172"/>
      <c r="BJ244" s="185"/>
      <c r="CB244" s="85"/>
    </row>
    <row r="245" spans="25:80" x14ac:dyDescent="0.25">
      <c r="Y245" s="340"/>
      <c r="Z245" s="340"/>
      <c r="AA245" s="340"/>
      <c r="AB245" s="340"/>
      <c r="AN245" s="1148"/>
      <c r="AO245" s="1148"/>
      <c r="AP245" s="1148"/>
      <c r="AQ245" s="1148"/>
      <c r="AR245" s="1148"/>
      <c r="AS245" s="1148"/>
      <c r="AT245" s="1148"/>
      <c r="AU245" s="1148"/>
      <c r="AY245" s="1169"/>
      <c r="AZ245" s="1170"/>
      <c r="BA245" s="1170"/>
      <c r="BB245" s="1170"/>
      <c r="BC245" s="1170"/>
      <c r="BD245" s="1170"/>
      <c r="BE245" s="1172"/>
      <c r="BF245" s="1172"/>
      <c r="BG245" s="1172"/>
      <c r="BH245" s="1172"/>
      <c r="BI245" s="1172"/>
      <c r="BJ245" s="185"/>
      <c r="CB245" s="85"/>
    </row>
    <row r="246" spans="25:80" x14ac:dyDescent="0.25">
      <c r="Y246" s="340"/>
      <c r="Z246" s="340"/>
      <c r="AA246" s="340"/>
      <c r="AB246" s="340"/>
      <c r="AN246" s="1148"/>
      <c r="AO246" s="1148"/>
      <c r="AP246" s="1148"/>
      <c r="AQ246" s="1148"/>
      <c r="AR246" s="1148"/>
      <c r="AS246" s="1148"/>
      <c r="AT246" s="1148"/>
      <c r="AU246" s="1148"/>
      <c r="AY246" s="1169"/>
      <c r="AZ246" s="1170"/>
      <c r="BA246" s="1170"/>
      <c r="BB246" s="1170"/>
      <c r="BC246" s="1170"/>
      <c r="BD246" s="1170"/>
      <c r="BE246" s="1172"/>
      <c r="BF246" s="1172"/>
      <c r="BG246" s="1172"/>
      <c r="BH246" s="1172"/>
      <c r="BI246" s="1172"/>
      <c r="BJ246" s="185"/>
      <c r="CB246" s="85"/>
    </row>
    <row r="247" spans="25:80" x14ac:dyDescent="0.25">
      <c r="Y247" s="340"/>
      <c r="Z247" s="340"/>
      <c r="AA247" s="340"/>
      <c r="AB247" s="340"/>
      <c r="AN247" s="1148"/>
      <c r="AO247" s="1148"/>
      <c r="AP247" s="1148"/>
      <c r="AQ247" s="1148"/>
      <c r="AR247" s="1148"/>
      <c r="AS247" s="1148"/>
      <c r="AT247" s="1148"/>
      <c r="AU247" s="1148"/>
      <c r="AY247" s="1169"/>
      <c r="AZ247" s="1170"/>
      <c r="BA247" s="1170"/>
      <c r="BB247" s="1170"/>
      <c r="BC247" s="1170"/>
      <c r="BD247" s="1170"/>
      <c r="BE247" s="1172"/>
      <c r="BF247" s="1172"/>
      <c r="BG247" s="1172"/>
      <c r="BH247" s="1172"/>
      <c r="BI247" s="1172"/>
      <c r="BJ247" s="185"/>
      <c r="CB247" s="85"/>
    </row>
    <row r="248" spans="25:80" x14ac:dyDescent="0.25">
      <c r="Y248" s="340"/>
      <c r="Z248" s="340"/>
      <c r="AA248" s="340"/>
      <c r="AB248" s="340"/>
      <c r="AN248" s="1148"/>
      <c r="AO248" s="1148"/>
      <c r="AP248" s="1148"/>
      <c r="AQ248" s="1148"/>
      <c r="AR248" s="1148"/>
      <c r="AS248" s="1148"/>
      <c r="AT248" s="1148"/>
      <c r="AU248" s="1148"/>
      <c r="AY248" s="1169"/>
      <c r="AZ248" s="1170"/>
      <c r="BA248" s="1170"/>
      <c r="BB248" s="1170"/>
      <c r="BC248" s="1170"/>
      <c r="BD248" s="1170"/>
      <c r="BE248" s="1172"/>
      <c r="BF248" s="1172"/>
      <c r="BG248" s="1172"/>
      <c r="BH248" s="1172"/>
      <c r="BI248" s="1172"/>
      <c r="BJ248" s="185"/>
      <c r="CB248" s="85"/>
    </row>
    <row r="249" spans="25:80" x14ac:dyDescent="0.25">
      <c r="Y249" s="340"/>
      <c r="Z249" s="340"/>
      <c r="AA249" s="340"/>
      <c r="AB249" s="340"/>
      <c r="AN249" s="1148"/>
      <c r="AO249" s="1148"/>
      <c r="AP249" s="1148"/>
      <c r="AQ249" s="1148"/>
      <c r="AR249" s="1148"/>
      <c r="AS249" s="1148"/>
      <c r="AT249" s="1148"/>
      <c r="AU249" s="1148"/>
      <c r="AY249" s="1169"/>
      <c r="AZ249" s="1170"/>
      <c r="BA249" s="1170"/>
      <c r="BB249" s="1170"/>
      <c r="BC249" s="1170"/>
      <c r="BD249" s="1170"/>
      <c r="BE249" s="1172"/>
      <c r="BF249" s="1172"/>
      <c r="BG249" s="1172"/>
      <c r="BH249" s="1172"/>
      <c r="BI249" s="1172"/>
      <c r="BJ249" s="185"/>
      <c r="CB249" s="85"/>
    </row>
    <row r="250" spans="25:80" x14ac:dyDescent="0.25">
      <c r="Y250" s="340"/>
      <c r="Z250" s="340"/>
      <c r="AA250" s="340"/>
      <c r="AB250" s="340"/>
      <c r="AN250" s="1148"/>
      <c r="AO250" s="1148"/>
      <c r="AP250" s="1148"/>
      <c r="AQ250" s="1148"/>
      <c r="AR250" s="1148"/>
      <c r="AS250" s="1148"/>
      <c r="AT250" s="1148"/>
      <c r="AU250" s="1148"/>
      <c r="AY250" s="1169"/>
      <c r="AZ250" s="1170"/>
      <c r="BA250" s="1170"/>
      <c r="BB250" s="1170"/>
      <c r="BC250" s="1170"/>
      <c r="BD250" s="1170"/>
      <c r="BE250" s="1172"/>
      <c r="BF250" s="1172"/>
      <c r="BG250" s="1172"/>
      <c r="BH250" s="1172"/>
      <c r="BI250" s="1172"/>
      <c r="BJ250" s="185"/>
      <c r="CB250" s="85"/>
    </row>
    <row r="251" spans="25:80" x14ac:dyDescent="0.25">
      <c r="Y251" s="340"/>
      <c r="Z251" s="340"/>
      <c r="AA251" s="340"/>
      <c r="AB251" s="340"/>
      <c r="AN251" s="1148"/>
      <c r="AO251" s="1148"/>
      <c r="AP251" s="1148"/>
      <c r="AQ251" s="1148"/>
      <c r="AR251" s="1148"/>
      <c r="AS251" s="1148"/>
      <c r="AT251" s="1148"/>
      <c r="AU251" s="1148"/>
      <c r="AY251" s="1169"/>
      <c r="AZ251" s="1170"/>
      <c r="BA251" s="1170"/>
      <c r="BB251" s="1170"/>
      <c r="BC251" s="1170"/>
      <c r="BD251" s="1170"/>
      <c r="BE251" s="1172"/>
      <c r="BF251" s="1172"/>
      <c r="BG251" s="1172"/>
      <c r="BH251" s="1172"/>
      <c r="BI251" s="1172"/>
      <c r="BJ251" s="185"/>
      <c r="CB251" s="85"/>
    </row>
    <row r="252" spans="25:80" x14ac:dyDescent="0.25">
      <c r="Y252" s="340"/>
      <c r="Z252" s="340"/>
      <c r="AA252" s="340"/>
      <c r="AB252" s="340"/>
      <c r="AN252" s="1148"/>
      <c r="AO252" s="1148"/>
      <c r="AP252" s="1148"/>
      <c r="AQ252" s="1148"/>
      <c r="AR252" s="1148"/>
      <c r="AS252" s="1148"/>
      <c r="AT252" s="1148"/>
      <c r="AU252" s="1148"/>
      <c r="AY252" s="1169"/>
      <c r="AZ252" s="1170"/>
      <c r="BA252" s="1170"/>
      <c r="BB252" s="1170"/>
      <c r="BC252" s="1170"/>
      <c r="BD252" s="1170"/>
      <c r="BE252" s="1172"/>
      <c r="BF252" s="1172"/>
      <c r="BG252" s="1172"/>
      <c r="BH252" s="1172"/>
      <c r="BI252" s="1172"/>
      <c r="BJ252" s="185"/>
      <c r="CB252" s="85"/>
    </row>
    <row r="253" spans="25:80" x14ac:dyDescent="0.25">
      <c r="Y253" s="340"/>
      <c r="Z253" s="340"/>
      <c r="AA253" s="340"/>
      <c r="AB253" s="340"/>
      <c r="AN253" s="1148"/>
      <c r="AO253" s="1148"/>
      <c r="AP253" s="1148"/>
      <c r="AQ253" s="1148"/>
      <c r="AR253" s="1148"/>
      <c r="AS253" s="1148"/>
      <c r="AT253" s="1148"/>
      <c r="AU253" s="1148"/>
      <c r="AY253" s="1169"/>
      <c r="AZ253" s="1170"/>
      <c r="BA253" s="1170"/>
      <c r="BB253" s="1170"/>
      <c r="BC253" s="1170"/>
      <c r="BD253" s="1170"/>
      <c r="BE253" s="1172"/>
      <c r="BF253" s="1172"/>
      <c r="BG253" s="1172"/>
      <c r="BH253" s="1172"/>
      <c r="BI253" s="1172"/>
      <c r="BJ253" s="185"/>
      <c r="CB253" s="85"/>
    </row>
    <row r="254" spans="25:80" x14ac:dyDescent="0.25">
      <c r="Y254" s="340"/>
      <c r="Z254" s="340"/>
      <c r="AA254" s="340"/>
      <c r="AB254" s="340"/>
      <c r="AN254" s="1148"/>
      <c r="AO254" s="1148"/>
      <c r="AP254" s="1148"/>
      <c r="AQ254" s="1148"/>
      <c r="AR254" s="1148"/>
      <c r="AS254" s="1148"/>
      <c r="AT254" s="1148"/>
      <c r="AU254" s="1148"/>
      <c r="AY254" s="1169"/>
      <c r="AZ254" s="1170"/>
      <c r="BA254" s="1170"/>
      <c r="BB254" s="1170"/>
      <c r="BC254" s="1170"/>
      <c r="BD254" s="1170"/>
      <c r="BE254" s="1172"/>
      <c r="BF254" s="1172"/>
      <c r="BG254" s="1172"/>
      <c r="BH254" s="1172"/>
      <c r="BI254" s="1172"/>
      <c r="BJ254" s="185"/>
      <c r="CB254" s="85"/>
    </row>
    <row r="255" spans="25:80" x14ac:dyDescent="0.25">
      <c r="Y255" s="340"/>
      <c r="Z255" s="340"/>
      <c r="AA255" s="340"/>
      <c r="AB255" s="340"/>
      <c r="AN255" s="1148"/>
      <c r="AO255" s="1148"/>
      <c r="AP255" s="1148"/>
      <c r="AQ255" s="1148"/>
      <c r="AR255" s="1148"/>
      <c r="AS255" s="1148"/>
      <c r="AT255" s="1148"/>
      <c r="AU255" s="1148"/>
      <c r="AY255" s="1169"/>
      <c r="AZ255" s="1170"/>
      <c r="BA255" s="1170"/>
      <c r="BB255" s="1170"/>
      <c r="BC255" s="1170"/>
      <c r="BD255" s="1170"/>
      <c r="BE255" s="1172"/>
      <c r="BF255" s="1172"/>
      <c r="BG255" s="1172"/>
      <c r="BH255" s="1172"/>
      <c r="BI255" s="1172"/>
      <c r="BJ255" s="185"/>
      <c r="CB255" s="85"/>
    </row>
    <row r="256" spans="25:80" x14ac:dyDescent="0.25">
      <c r="Y256" s="340"/>
      <c r="Z256" s="340"/>
      <c r="AA256" s="340"/>
      <c r="AB256" s="340"/>
      <c r="AN256" s="1148"/>
      <c r="AO256" s="1148"/>
      <c r="AP256" s="1148"/>
      <c r="AQ256" s="1148"/>
      <c r="AR256" s="1148"/>
      <c r="AS256" s="1148"/>
      <c r="AT256" s="1148"/>
      <c r="AU256" s="1148"/>
      <c r="AY256" s="1169"/>
      <c r="AZ256" s="1170"/>
      <c r="BA256" s="1170"/>
      <c r="BB256" s="1170"/>
      <c r="BC256" s="1170"/>
      <c r="BD256" s="1170"/>
      <c r="BE256" s="1172"/>
      <c r="BF256" s="1172"/>
      <c r="BG256" s="1172"/>
      <c r="BH256" s="1172"/>
      <c r="BI256" s="1172"/>
      <c r="BJ256" s="185"/>
      <c r="CB256" s="85"/>
    </row>
    <row r="257" spans="25:80" x14ac:dyDescent="0.25">
      <c r="Y257" s="340"/>
      <c r="Z257" s="340"/>
      <c r="AA257" s="340"/>
      <c r="AB257" s="340"/>
      <c r="AN257" s="1148"/>
      <c r="AO257" s="1148"/>
      <c r="AP257" s="1148"/>
      <c r="AQ257" s="1148"/>
      <c r="AR257" s="1148"/>
      <c r="AS257" s="1148"/>
      <c r="AT257" s="1148"/>
      <c r="AU257" s="1148"/>
      <c r="AY257" s="1169"/>
      <c r="AZ257" s="1170"/>
      <c r="BA257" s="1170"/>
      <c r="BB257" s="1170"/>
      <c r="BC257" s="1170"/>
      <c r="BD257" s="1170"/>
      <c r="BE257" s="1172"/>
      <c r="BF257" s="1172"/>
      <c r="BG257" s="1172"/>
      <c r="BH257" s="1172"/>
      <c r="BI257" s="1172"/>
      <c r="BJ257" s="185"/>
      <c r="CB257" s="85"/>
    </row>
    <row r="258" spans="25:80" x14ac:dyDescent="0.25">
      <c r="Y258" s="340"/>
      <c r="Z258" s="340"/>
      <c r="AA258" s="340"/>
      <c r="AB258" s="340"/>
      <c r="AN258" s="1148"/>
      <c r="AO258" s="1148"/>
      <c r="AP258" s="1148"/>
      <c r="AQ258" s="1148"/>
      <c r="AR258" s="1148"/>
      <c r="AS258" s="1148"/>
      <c r="AT258" s="1148"/>
      <c r="AU258" s="1148"/>
      <c r="AY258" s="1169"/>
      <c r="AZ258" s="1170"/>
      <c r="BA258" s="1170"/>
      <c r="BB258" s="1170"/>
      <c r="BC258" s="1170"/>
      <c r="BD258" s="1170"/>
      <c r="BE258" s="1172"/>
      <c r="BF258" s="1172"/>
      <c r="BG258" s="1172"/>
      <c r="BH258" s="1172"/>
      <c r="BI258" s="1172"/>
      <c r="BJ258" s="185"/>
      <c r="CB258" s="85"/>
    </row>
    <row r="259" spans="25:80" x14ac:dyDescent="0.25">
      <c r="Y259" s="340"/>
      <c r="Z259" s="340"/>
      <c r="AA259" s="340"/>
      <c r="AB259" s="340"/>
      <c r="AN259" s="1148"/>
      <c r="AO259" s="1148"/>
      <c r="AP259" s="1148"/>
      <c r="AQ259" s="1148"/>
      <c r="AR259" s="1148"/>
      <c r="AS259" s="1148"/>
      <c r="AT259" s="1148"/>
      <c r="AU259" s="1148"/>
      <c r="AY259" s="1169"/>
      <c r="AZ259" s="1170"/>
      <c r="BA259" s="1170"/>
      <c r="BB259" s="1170"/>
      <c r="BC259" s="1170"/>
      <c r="BD259" s="1170"/>
      <c r="BE259" s="1172"/>
      <c r="BF259" s="1172"/>
      <c r="BG259" s="1172"/>
      <c r="BH259" s="1172"/>
      <c r="BI259" s="1172"/>
      <c r="BJ259" s="185"/>
      <c r="CB259" s="85"/>
    </row>
    <row r="260" spans="25:80" x14ac:dyDescent="0.25">
      <c r="Y260" s="340"/>
      <c r="Z260" s="340"/>
      <c r="AA260" s="340"/>
      <c r="AB260" s="340"/>
      <c r="AN260" s="1148"/>
      <c r="AO260" s="1148"/>
      <c r="AP260" s="1148"/>
      <c r="AQ260" s="1148"/>
      <c r="AR260" s="1148"/>
      <c r="AS260" s="1148"/>
      <c r="AT260" s="1148"/>
      <c r="AU260" s="1148"/>
      <c r="AY260" s="1169"/>
      <c r="AZ260" s="1170"/>
      <c r="BA260" s="1170"/>
      <c r="BB260" s="1170"/>
      <c r="BC260" s="1170"/>
      <c r="BD260" s="1170"/>
      <c r="BE260" s="1172"/>
      <c r="BF260" s="1172"/>
      <c r="BG260" s="1172"/>
      <c r="BH260" s="1172"/>
      <c r="BI260" s="1172"/>
      <c r="BJ260" s="185"/>
      <c r="CB260" s="85"/>
    </row>
    <row r="261" spans="25:80" x14ac:dyDescent="0.25">
      <c r="Y261" s="340"/>
      <c r="Z261" s="340"/>
      <c r="AA261" s="340"/>
      <c r="AB261" s="340"/>
      <c r="AN261" s="1148"/>
      <c r="AO261" s="1148"/>
      <c r="AP261" s="1148"/>
      <c r="AQ261" s="1148"/>
      <c r="AR261" s="1148"/>
      <c r="AS261" s="1148"/>
      <c r="AT261" s="1148"/>
      <c r="AU261" s="1148"/>
      <c r="AY261" s="1169"/>
      <c r="AZ261" s="1170"/>
      <c r="BA261" s="1170"/>
      <c r="BB261" s="1170"/>
      <c r="BC261" s="1170"/>
      <c r="BD261" s="1170"/>
      <c r="BE261" s="1172"/>
      <c r="BF261" s="1172"/>
      <c r="BG261" s="1172"/>
      <c r="BH261" s="1172"/>
      <c r="BI261" s="1172"/>
      <c r="BJ261" s="185"/>
      <c r="CB261" s="85"/>
    </row>
    <row r="262" spans="25:80" x14ac:dyDescent="0.25">
      <c r="Y262" s="340"/>
      <c r="Z262" s="340"/>
      <c r="AA262" s="340"/>
      <c r="AB262" s="340"/>
      <c r="AN262" s="1148"/>
      <c r="AO262" s="1148"/>
      <c r="AP262" s="1148"/>
      <c r="AQ262" s="1148"/>
      <c r="AR262" s="1148"/>
      <c r="AS262" s="1148"/>
      <c r="AT262" s="1148"/>
      <c r="AU262" s="1148"/>
      <c r="AY262" s="1169"/>
      <c r="AZ262" s="1170"/>
      <c r="BA262" s="1170"/>
      <c r="BB262" s="1170"/>
      <c r="BC262" s="1170"/>
      <c r="BD262" s="1170"/>
      <c r="BE262" s="1172"/>
      <c r="BF262" s="1172"/>
      <c r="BG262" s="1172"/>
      <c r="BH262" s="1172"/>
      <c r="BI262" s="1172"/>
      <c r="BJ262" s="185"/>
      <c r="CB262" s="85"/>
    </row>
    <row r="263" spans="25:80" x14ac:dyDescent="0.25">
      <c r="Y263" s="340"/>
      <c r="Z263" s="340"/>
      <c r="AA263" s="340"/>
      <c r="AB263" s="340"/>
      <c r="AN263" s="1148"/>
      <c r="AO263" s="1148"/>
      <c r="AP263" s="1148"/>
      <c r="AQ263" s="1148"/>
      <c r="AR263" s="1148"/>
      <c r="AS263" s="1148"/>
      <c r="AT263" s="1148"/>
      <c r="AU263" s="1148"/>
      <c r="AY263" s="1169"/>
      <c r="AZ263" s="1170"/>
      <c r="BA263" s="1170"/>
      <c r="BB263" s="1170"/>
      <c r="BC263" s="1170"/>
      <c r="BD263" s="1170"/>
      <c r="BE263" s="1172"/>
      <c r="BF263" s="1172"/>
      <c r="BG263" s="1172"/>
      <c r="BH263" s="1172"/>
      <c r="BI263" s="1172"/>
      <c r="BJ263" s="185"/>
      <c r="CB263" s="85"/>
    </row>
    <row r="264" spans="25:80" x14ac:dyDescent="0.25">
      <c r="Y264" s="340"/>
      <c r="Z264" s="340"/>
      <c r="AA264" s="340"/>
      <c r="AB264" s="340"/>
      <c r="AN264" s="1148"/>
      <c r="AO264" s="1148"/>
      <c r="AP264" s="1148"/>
      <c r="AQ264" s="1148"/>
      <c r="AR264" s="1148"/>
      <c r="AS264" s="1148"/>
      <c r="AT264" s="1148"/>
      <c r="AU264" s="1148"/>
      <c r="AY264" s="1169"/>
      <c r="AZ264" s="1170"/>
      <c r="BA264" s="1170"/>
      <c r="BB264" s="1170"/>
      <c r="BC264" s="1170"/>
      <c r="BD264" s="1170"/>
      <c r="BE264" s="1172"/>
      <c r="BF264" s="1172"/>
      <c r="BG264" s="1172"/>
      <c r="BH264" s="1172"/>
      <c r="BI264" s="1172"/>
      <c r="BJ264" s="185"/>
      <c r="CB264" s="85"/>
    </row>
    <row r="265" spans="25:80" x14ac:dyDescent="0.25">
      <c r="Y265" s="340"/>
      <c r="Z265" s="340"/>
      <c r="AA265" s="340"/>
      <c r="AB265" s="340"/>
      <c r="AN265" s="1148"/>
      <c r="AO265" s="1148"/>
      <c r="AP265" s="1148"/>
      <c r="AQ265" s="1148"/>
      <c r="AR265" s="1148"/>
      <c r="AS265" s="1148"/>
      <c r="AT265" s="1148"/>
      <c r="AU265" s="1148"/>
      <c r="AY265" s="1169"/>
      <c r="AZ265" s="1170"/>
      <c r="BA265" s="1170"/>
      <c r="BB265" s="1170"/>
      <c r="BC265" s="1170"/>
      <c r="BD265" s="1170"/>
      <c r="BE265" s="1172"/>
      <c r="BF265" s="1172"/>
      <c r="BG265" s="1172"/>
      <c r="BH265" s="1172"/>
      <c r="BI265" s="1172"/>
      <c r="BJ265" s="185"/>
      <c r="CB265" s="85"/>
    </row>
    <row r="266" spans="25:80" x14ac:dyDescent="0.25">
      <c r="Y266" s="340"/>
      <c r="Z266" s="340"/>
      <c r="AA266" s="340"/>
      <c r="AB266" s="340"/>
      <c r="AN266" s="1148"/>
      <c r="AO266" s="1148"/>
      <c r="AP266" s="1148"/>
      <c r="AQ266" s="1148"/>
      <c r="AR266" s="1148"/>
      <c r="AS266" s="1148"/>
      <c r="AT266" s="1148"/>
      <c r="AU266" s="1148"/>
      <c r="AY266" s="1169"/>
      <c r="AZ266" s="1170"/>
      <c r="BA266" s="1170"/>
      <c r="BB266" s="1170"/>
      <c r="BC266" s="1170"/>
      <c r="BD266" s="1170"/>
      <c r="BE266" s="1172"/>
      <c r="BF266" s="1172"/>
      <c r="BG266" s="1172"/>
      <c r="BH266" s="1172"/>
      <c r="BI266" s="1172"/>
      <c r="BJ266" s="185"/>
      <c r="CB266" s="85"/>
    </row>
    <row r="267" spans="25:80" x14ac:dyDescent="0.25">
      <c r="Y267" s="340"/>
      <c r="Z267" s="340"/>
      <c r="AA267" s="340"/>
      <c r="AB267" s="340"/>
      <c r="AN267" s="1148"/>
      <c r="AO267" s="1148"/>
      <c r="AP267" s="1148"/>
      <c r="AQ267" s="1148"/>
      <c r="AR267" s="1148"/>
      <c r="AS267" s="1148"/>
      <c r="AT267" s="1148"/>
      <c r="AU267" s="1148"/>
      <c r="AZ267" s="1170"/>
      <c r="BA267" s="1170"/>
      <c r="BB267" s="1170"/>
      <c r="BC267" s="1170"/>
      <c r="BD267" s="1170"/>
      <c r="BE267" s="1172"/>
      <c r="BF267" s="1172"/>
      <c r="BG267" s="1172"/>
      <c r="BH267" s="1172"/>
      <c r="BI267" s="1172"/>
      <c r="BJ267" s="185"/>
      <c r="CB267" s="85"/>
    </row>
    <row r="268" spans="25:80" x14ac:dyDescent="0.25">
      <c r="Y268" s="340"/>
      <c r="Z268" s="340"/>
      <c r="AA268" s="340"/>
      <c r="AB268" s="340"/>
      <c r="AN268" s="1148"/>
      <c r="AO268" s="1148"/>
      <c r="AP268" s="1148"/>
      <c r="AQ268" s="1148"/>
      <c r="AR268" s="1148"/>
      <c r="AS268" s="1148"/>
      <c r="AT268" s="1148"/>
      <c r="AU268" s="1148"/>
      <c r="AZ268" s="1170"/>
      <c r="BA268" s="1170"/>
      <c r="BB268" s="1170"/>
      <c r="BC268" s="1170"/>
      <c r="BD268" s="1170"/>
      <c r="BE268" s="1172"/>
      <c r="BF268" s="1172"/>
      <c r="BG268" s="1172"/>
      <c r="BH268" s="1172"/>
      <c r="BI268" s="1172"/>
      <c r="BJ268" s="185"/>
      <c r="CB268" s="85"/>
    </row>
    <row r="269" spans="25:80" x14ac:dyDescent="0.25">
      <c r="Y269" s="340"/>
      <c r="Z269" s="340"/>
      <c r="AA269" s="340"/>
      <c r="AB269" s="340"/>
      <c r="AN269" s="1148"/>
      <c r="AO269" s="1148"/>
      <c r="AP269" s="1148"/>
      <c r="AQ269" s="1148"/>
      <c r="AR269" s="1148"/>
      <c r="AS269" s="1148"/>
      <c r="AT269" s="1148"/>
      <c r="AU269" s="1148"/>
      <c r="AZ269" s="1170"/>
      <c r="BA269" s="1170"/>
      <c r="BB269" s="1170"/>
      <c r="BC269" s="1170"/>
      <c r="BD269" s="1170"/>
      <c r="BE269" s="1172"/>
      <c r="BF269" s="1172"/>
      <c r="BG269" s="1172"/>
      <c r="BH269" s="1172"/>
      <c r="BI269" s="1172"/>
      <c r="BJ269" s="185"/>
      <c r="CB269" s="85"/>
    </row>
    <row r="270" spans="25:80" x14ac:dyDescent="0.25">
      <c r="Y270" s="340"/>
      <c r="Z270" s="340"/>
      <c r="AA270" s="340"/>
      <c r="AB270" s="340"/>
      <c r="AN270" s="1148"/>
      <c r="AO270" s="1148"/>
      <c r="AP270" s="1148"/>
      <c r="AQ270" s="1148"/>
      <c r="AR270" s="1148"/>
      <c r="AS270" s="1148"/>
      <c r="AT270" s="1148"/>
      <c r="AU270" s="1148"/>
      <c r="AZ270" s="1170"/>
      <c r="BA270" s="1170"/>
      <c r="BB270" s="1170"/>
      <c r="BC270" s="1170"/>
      <c r="BD270" s="1170"/>
      <c r="BE270" s="1172"/>
      <c r="BF270" s="1172"/>
      <c r="BG270" s="1172"/>
      <c r="BH270" s="1172"/>
      <c r="BI270" s="1172"/>
      <c r="BJ270" s="185"/>
      <c r="CB270" s="85"/>
    </row>
    <row r="271" spans="25:80" x14ac:dyDescent="0.25">
      <c r="Y271" s="340"/>
      <c r="Z271" s="340"/>
      <c r="AA271" s="340"/>
      <c r="AB271" s="340"/>
      <c r="AN271" s="1148"/>
      <c r="AO271" s="1148"/>
      <c r="AP271" s="1148"/>
      <c r="AQ271" s="1148"/>
      <c r="AR271" s="1148"/>
      <c r="AS271" s="1148"/>
      <c r="AT271" s="1148"/>
      <c r="AU271" s="1148"/>
      <c r="AZ271" s="1170"/>
      <c r="BA271" s="1170"/>
      <c r="BB271" s="1170"/>
      <c r="BC271" s="1170"/>
      <c r="BD271" s="1170"/>
      <c r="BE271" s="1172"/>
      <c r="BF271" s="1172"/>
      <c r="BG271" s="1172"/>
      <c r="BH271" s="1172"/>
      <c r="BI271" s="1172"/>
      <c r="BJ271" s="185"/>
      <c r="CB271" s="85"/>
    </row>
    <row r="272" spans="25:80" x14ac:dyDescent="0.25">
      <c r="Y272" s="340"/>
      <c r="Z272" s="340"/>
      <c r="AA272" s="340"/>
      <c r="AB272" s="340"/>
      <c r="AN272" s="1148"/>
      <c r="AO272" s="1148"/>
      <c r="AP272" s="1148"/>
      <c r="AQ272" s="1148"/>
      <c r="AR272" s="1148"/>
      <c r="AS272" s="1148"/>
      <c r="AT272" s="1148"/>
      <c r="AU272" s="1148"/>
      <c r="AZ272" s="1170"/>
      <c r="BA272" s="1170"/>
      <c r="BB272" s="1170"/>
      <c r="BC272" s="1170"/>
      <c r="BD272" s="1170"/>
      <c r="BE272" s="1172"/>
      <c r="BF272" s="1172"/>
      <c r="BG272" s="1172"/>
      <c r="BH272" s="1172"/>
      <c r="BI272" s="1172"/>
      <c r="BJ272" s="185"/>
      <c r="CB272" s="85"/>
    </row>
    <row r="273" spans="25:80" x14ac:dyDescent="0.25">
      <c r="Y273" s="340"/>
      <c r="Z273" s="340"/>
      <c r="AA273" s="340"/>
      <c r="AB273" s="340"/>
      <c r="AN273" s="1148"/>
      <c r="AO273" s="1148"/>
      <c r="AP273" s="1148"/>
      <c r="AQ273" s="1148"/>
      <c r="AR273" s="1148"/>
      <c r="AS273" s="1148"/>
      <c r="AT273" s="1148"/>
      <c r="AU273" s="1148"/>
      <c r="AZ273" s="1170"/>
      <c r="BA273" s="1170"/>
      <c r="BB273" s="1170"/>
      <c r="BC273" s="1170"/>
      <c r="BD273" s="1170"/>
      <c r="BE273" s="1172"/>
      <c r="BF273" s="1172"/>
      <c r="BG273" s="1172"/>
      <c r="BH273" s="1172"/>
      <c r="BI273" s="1172"/>
      <c r="BJ273" s="185"/>
      <c r="CB273" s="85"/>
    </row>
    <row r="274" spans="25:80" x14ac:dyDescent="0.25">
      <c r="Y274" s="340"/>
      <c r="Z274" s="340"/>
      <c r="AA274" s="340"/>
      <c r="AB274" s="340"/>
      <c r="AN274" s="1148"/>
      <c r="AO274" s="1148"/>
      <c r="AP274" s="1148"/>
      <c r="AQ274" s="1148"/>
      <c r="AR274" s="1148"/>
      <c r="AS274" s="1148"/>
      <c r="AT274" s="1148"/>
      <c r="AU274" s="1148"/>
      <c r="AZ274" s="1170"/>
      <c r="BA274" s="1170"/>
      <c r="BB274" s="1170"/>
      <c r="BC274" s="1170"/>
      <c r="BD274" s="1170"/>
      <c r="BE274" s="1172"/>
      <c r="BF274" s="1172"/>
      <c r="BG274" s="1172"/>
      <c r="BH274" s="1172"/>
      <c r="BI274" s="1172"/>
      <c r="BJ274" s="185"/>
      <c r="CB274" s="85"/>
    </row>
    <row r="275" spans="25:80" x14ac:dyDescent="0.25">
      <c r="Y275" s="340"/>
      <c r="Z275" s="340"/>
      <c r="AA275" s="340"/>
      <c r="AB275" s="340"/>
      <c r="AN275" s="1148"/>
      <c r="AO275" s="1148"/>
      <c r="AP275" s="1148"/>
      <c r="AQ275" s="1148"/>
      <c r="AR275" s="1148"/>
      <c r="AS275" s="1148"/>
      <c r="AT275" s="1148"/>
      <c r="AU275" s="1148"/>
      <c r="AZ275" s="1170"/>
      <c r="BA275" s="1170"/>
      <c r="BB275" s="1170"/>
      <c r="BC275" s="1170"/>
      <c r="BD275" s="1170"/>
      <c r="BE275" s="1172"/>
      <c r="BF275" s="1172"/>
      <c r="BG275" s="1172"/>
      <c r="BH275" s="1172"/>
      <c r="BI275" s="1172"/>
      <c r="BJ275" s="185"/>
      <c r="CB275" s="85"/>
    </row>
    <row r="276" spans="25:80" x14ac:dyDescent="0.25">
      <c r="Y276" s="340"/>
      <c r="Z276" s="340"/>
      <c r="AA276" s="340"/>
      <c r="AB276" s="340"/>
      <c r="AN276" s="1148"/>
      <c r="AO276" s="1148"/>
      <c r="AP276" s="1148"/>
      <c r="AQ276" s="1148"/>
      <c r="AR276" s="1148"/>
      <c r="AS276" s="1148"/>
      <c r="AT276" s="1148"/>
      <c r="AU276" s="1148"/>
      <c r="AZ276" s="1170"/>
      <c r="BA276" s="1170"/>
      <c r="BB276" s="1170"/>
      <c r="BC276" s="1170"/>
      <c r="BD276" s="1170"/>
      <c r="BE276" s="1172"/>
      <c r="BF276" s="1172"/>
      <c r="BG276" s="1172"/>
      <c r="BH276" s="1172"/>
      <c r="BI276" s="1172"/>
      <c r="BJ276" s="185"/>
      <c r="CB276" s="85"/>
    </row>
    <row r="277" spans="25:80" x14ac:dyDescent="0.25">
      <c r="Y277" s="340"/>
      <c r="Z277" s="340"/>
      <c r="AA277" s="340"/>
      <c r="AB277" s="340"/>
      <c r="AN277" s="1148"/>
      <c r="AO277" s="1148"/>
      <c r="AP277" s="1148"/>
      <c r="AQ277" s="1148"/>
      <c r="AR277" s="1148"/>
      <c r="AS277" s="1148"/>
      <c r="AT277" s="1148"/>
      <c r="AU277" s="1148"/>
      <c r="AZ277" s="1170"/>
      <c r="BA277" s="1170"/>
      <c r="BB277" s="1170"/>
      <c r="BC277" s="1170"/>
      <c r="BD277" s="1170"/>
      <c r="BE277" s="1172"/>
      <c r="BF277" s="1172"/>
      <c r="BG277" s="1172"/>
      <c r="BH277" s="1172"/>
      <c r="BI277" s="1172"/>
      <c r="BJ277" s="185"/>
      <c r="CB277" s="85"/>
    </row>
    <row r="278" spans="25:80" x14ac:dyDescent="0.25">
      <c r="Y278" s="340"/>
      <c r="Z278" s="340"/>
      <c r="AA278" s="340"/>
      <c r="AB278" s="340"/>
      <c r="AN278" s="1148"/>
      <c r="AO278" s="1148"/>
      <c r="AP278" s="1148"/>
      <c r="AQ278" s="1148"/>
      <c r="AR278" s="1148"/>
      <c r="AS278" s="1148"/>
      <c r="AT278" s="1148"/>
      <c r="AU278" s="1148"/>
      <c r="AZ278" s="1170"/>
      <c r="BA278" s="1170"/>
      <c r="BB278" s="1170"/>
      <c r="BC278" s="1170"/>
      <c r="BD278" s="1170"/>
      <c r="BE278" s="1172"/>
      <c r="BF278" s="1172"/>
      <c r="BG278" s="1172"/>
      <c r="BH278" s="1172"/>
      <c r="BI278" s="1172"/>
      <c r="BJ278" s="185"/>
      <c r="CB278" s="85"/>
    </row>
    <row r="279" spans="25:80" x14ac:dyDescent="0.25">
      <c r="Y279" s="340"/>
      <c r="Z279" s="340"/>
      <c r="AA279" s="340"/>
      <c r="AB279" s="340"/>
      <c r="AN279" s="1148"/>
      <c r="AO279" s="1148"/>
      <c r="AP279" s="1148"/>
      <c r="AQ279" s="1148"/>
      <c r="AR279" s="1148"/>
      <c r="AS279" s="1148"/>
      <c r="AT279" s="1148"/>
      <c r="AU279" s="1148"/>
      <c r="AZ279" s="1170"/>
      <c r="BA279" s="1170"/>
      <c r="BB279" s="1170"/>
      <c r="BC279" s="1170"/>
      <c r="BD279" s="1170"/>
      <c r="BE279" s="1172"/>
      <c r="BF279" s="1172"/>
      <c r="BG279" s="1172"/>
      <c r="BH279" s="1172"/>
      <c r="BI279" s="1172"/>
      <c r="BJ279" s="185"/>
      <c r="CB279" s="85"/>
    </row>
    <row r="280" spans="25:80" x14ac:dyDescent="0.25">
      <c r="Y280" s="340"/>
      <c r="Z280" s="340"/>
      <c r="AA280" s="340"/>
      <c r="AB280" s="340"/>
      <c r="AN280" s="1148"/>
      <c r="AO280" s="1148"/>
      <c r="AP280" s="1148"/>
      <c r="AQ280" s="1148"/>
      <c r="AR280" s="1148"/>
      <c r="AS280" s="1148"/>
      <c r="AT280" s="1148"/>
      <c r="AU280" s="1148"/>
      <c r="AZ280" s="1170"/>
      <c r="BA280" s="1170"/>
      <c r="BB280" s="1170"/>
      <c r="BC280" s="1170"/>
      <c r="BD280" s="1170"/>
      <c r="BE280" s="1172"/>
      <c r="BF280" s="1172"/>
      <c r="BG280" s="1172"/>
      <c r="BH280" s="1172"/>
      <c r="BI280" s="1172"/>
      <c r="BJ280" s="185"/>
      <c r="CB280" s="85"/>
    </row>
    <row r="281" spans="25:80" x14ac:dyDescent="0.25">
      <c r="Y281" s="340"/>
      <c r="Z281" s="340"/>
      <c r="AA281" s="340"/>
      <c r="AB281" s="340"/>
      <c r="AN281" s="1148"/>
      <c r="AO281" s="1148"/>
      <c r="AP281" s="1148"/>
      <c r="AQ281" s="1148"/>
      <c r="AR281" s="1148"/>
      <c r="AS281" s="1148"/>
      <c r="AT281" s="1148"/>
      <c r="AU281" s="1148"/>
      <c r="AZ281" s="1170"/>
      <c r="BA281" s="1170"/>
      <c r="BB281" s="1170"/>
      <c r="BC281" s="1170"/>
      <c r="BD281" s="1170"/>
      <c r="BE281" s="1172"/>
      <c r="BF281" s="1172"/>
      <c r="BG281" s="1172"/>
      <c r="BH281" s="1172"/>
      <c r="BI281" s="1172"/>
      <c r="BJ281" s="185"/>
      <c r="CB281" s="85"/>
    </row>
    <row r="282" spans="25:80" x14ac:dyDescent="0.25">
      <c r="Y282" s="340"/>
      <c r="Z282" s="340"/>
      <c r="AA282" s="340"/>
      <c r="AB282" s="340"/>
      <c r="AN282" s="1148"/>
      <c r="AO282" s="1148"/>
      <c r="AP282" s="1148"/>
      <c r="AQ282" s="1148"/>
      <c r="AR282" s="1148"/>
      <c r="AS282" s="1148"/>
      <c r="AT282" s="1148"/>
      <c r="AU282" s="1148"/>
      <c r="AZ282" s="1170"/>
      <c r="BA282" s="1170"/>
      <c r="BB282" s="1170"/>
      <c r="BC282" s="1170"/>
      <c r="BD282" s="1170"/>
      <c r="BE282" s="1172"/>
      <c r="BF282" s="1172"/>
      <c r="BG282" s="1172"/>
      <c r="BH282" s="1172"/>
      <c r="BI282" s="1172"/>
      <c r="BJ282" s="185"/>
      <c r="CB282" s="85"/>
    </row>
    <row r="283" spans="25:80" x14ac:dyDescent="0.25">
      <c r="Y283" s="340"/>
      <c r="Z283" s="340"/>
      <c r="AA283" s="340"/>
      <c r="AB283" s="340"/>
      <c r="AN283" s="1148"/>
      <c r="AO283" s="1148"/>
      <c r="AP283" s="1148"/>
      <c r="AQ283" s="1148"/>
      <c r="AR283" s="1148"/>
      <c r="AS283" s="1148"/>
      <c r="AT283" s="1148"/>
      <c r="AU283" s="1148"/>
      <c r="AZ283" s="1170"/>
      <c r="BA283" s="1170"/>
      <c r="BB283" s="1170"/>
      <c r="BC283" s="1170"/>
      <c r="BD283" s="1170"/>
      <c r="BE283" s="1172"/>
      <c r="BF283" s="1172"/>
      <c r="BG283" s="1172"/>
      <c r="BH283" s="1172"/>
      <c r="BI283" s="1172"/>
      <c r="BJ283" s="185"/>
      <c r="CB283" s="85"/>
    </row>
    <row r="284" spans="25:80" x14ac:dyDescent="0.25">
      <c r="Y284" s="340"/>
      <c r="Z284" s="340"/>
      <c r="AA284" s="340"/>
      <c r="AB284" s="340"/>
      <c r="AN284" s="1148"/>
      <c r="AO284" s="1148"/>
      <c r="AP284" s="1148"/>
      <c r="AQ284" s="1148"/>
      <c r="AR284" s="1148"/>
      <c r="AS284" s="1148"/>
      <c r="AT284" s="1148"/>
      <c r="AU284" s="1148"/>
      <c r="AZ284" s="1170"/>
      <c r="BA284" s="1170"/>
      <c r="BB284" s="1170"/>
      <c r="BC284" s="1170"/>
      <c r="BD284" s="1170"/>
      <c r="BE284" s="1172"/>
      <c r="BF284" s="1172"/>
      <c r="BG284" s="1172"/>
      <c r="BH284" s="1172"/>
      <c r="BI284" s="1172"/>
      <c r="BJ284" s="185"/>
      <c r="CB284" s="85"/>
    </row>
    <row r="285" spans="25:80" x14ac:dyDescent="0.25">
      <c r="Y285" s="340"/>
      <c r="Z285" s="340"/>
      <c r="AA285" s="340"/>
      <c r="AB285" s="340"/>
      <c r="AN285" s="1148"/>
      <c r="AO285" s="1148"/>
      <c r="AP285" s="1148"/>
      <c r="AQ285" s="1148"/>
      <c r="AR285" s="1148"/>
      <c r="AS285" s="1148"/>
      <c r="AT285" s="1148"/>
      <c r="AU285" s="1148"/>
      <c r="AZ285" s="1170"/>
      <c r="BA285" s="1170"/>
      <c r="BB285" s="1170"/>
      <c r="BC285" s="1170"/>
      <c r="BD285" s="1170"/>
      <c r="BE285" s="1172"/>
      <c r="BF285" s="1172"/>
      <c r="BG285" s="1172"/>
      <c r="BH285" s="1172"/>
      <c r="BI285" s="1172"/>
      <c r="BJ285" s="185"/>
      <c r="CB285" s="85"/>
    </row>
    <row r="286" spans="25:80" x14ac:dyDescent="0.25">
      <c r="Y286" s="340"/>
      <c r="Z286" s="340"/>
      <c r="AA286" s="340"/>
      <c r="AB286" s="340"/>
      <c r="AN286" s="1148"/>
      <c r="AO286" s="1148"/>
      <c r="AP286" s="1148"/>
      <c r="AQ286" s="1148"/>
      <c r="AR286" s="1148"/>
      <c r="AS286" s="1148"/>
      <c r="AT286" s="1148"/>
      <c r="AU286" s="1148"/>
      <c r="AZ286" s="1170"/>
      <c r="BA286" s="1170"/>
      <c r="BB286" s="1170"/>
      <c r="BC286" s="1170"/>
      <c r="BD286" s="1170"/>
      <c r="BE286" s="1172"/>
      <c r="BF286" s="1172"/>
      <c r="BG286" s="1172"/>
      <c r="BH286" s="1172"/>
      <c r="BI286" s="1172"/>
      <c r="BJ286" s="185"/>
      <c r="CB286" s="85"/>
    </row>
    <row r="287" spans="25:80" x14ac:dyDescent="0.25">
      <c r="Y287" s="340"/>
      <c r="Z287" s="340"/>
      <c r="AA287" s="340"/>
      <c r="AB287" s="340"/>
      <c r="AN287" s="1148"/>
      <c r="AO287" s="1148"/>
      <c r="AP287" s="1148"/>
      <c r="AQ287" s="1148"/>
      <c r="AR287" s="1148"/>
      <c r="AS287" s="1148"/>
      <c r="AT287" s="1148"/>
      <c r="AU287" s="1148"/>
      <c r="AZ287" s="1170"/>
      <c r="BA287" s="1170"/>
      <c r="BB287" s="1170"/>
      <c r="BC287" s="1170"/>
      <c r="BD287" s="1170"/>
      <c r="BE287" s="1172"/>
      <c r="BF287" s="1172"/>
      <c r="BG287" s="1172"/>
      <c r="BH287" s="1172"/>
      <c r="BI287" s="1172"/>
      <c r="BJ287" s="185"/>
      <c r="CB287" s="85"/>
    </row>
    <row r="288" spans="25:80" x14ac:dyDescent="0.25">
      <c r="Y288" s="340"/>
      <c r="Z288" s="340"/>
      <c r="AA288" s="340"/>
      <c r="AB288" s="340"/>
      <c r="AN288" s="1148"/>
      <c r="AO288" s="1148"/>
      <c r="AP288" s="1148"/>
      <c r="AQ288" s="1148"/>
      <c r="AR288" s="1148"/>
      <c r="AS288" s="1148"/>
      <c r="AT288" s="1148"/>
      <c r="AU288" s="1148"/>
      <c r="AZ288" s="1170"/>
      <c r="BA288" s="1170"/>
      <c r="BB288" s="1170"/>
      <c r="BC288" s="1170"/>
      <c r="BD288" s="1170"/>
      <c r="BE288" s="1172"/>
      <c r="BF288" s="1172"/>
      <c r="BG288" s="1172"/>
      <c r="BH288" s="1172"/>
      <c r="BI288" s="1172"/>
      <c r="BJ288" s="185"/>
      <c r="CB288" s="85"/>
    </row>
    <row r="289" spans="25:80" x14ac:dyDescent="0.25">
      <c r="Y289" s="340"/>
      <c r="Z289" s="340"/>
      <c r="AA289" s="340"/>
      <c r="AB289" s="340"/>
      <c r="AN289" s="1148"/>
      <c r="AO289" s="1148"/>
      <c r="AP289" s="1148"/>
      <c r="AQ289" s="1148"/>
      <c r="AR289" s="1148"/>
      <c r="AS289" s="1148"/>
      <c r="AT289" s="1148"/>
      <c r="AU289" s="1148"/>
      <c r="AZ289" s="1170"/>
      <c r="BA289" s="1170"/>
      <c r="BB289" s="1170"/>
      <c r="BC289" s="1170"/>
      <c r="BD289" s="1170"/>
      <c r="BE289" s="1172"/>
      <c r="BF289" s="1172"/>
      <c r="BG289" s="1172"/>
      <c r="BH289" s="1172"/>
      <c r="BI289" s="1172"/>
      <c r="BJ289" s="185"/>
      <c r="CB289" s="85"/>
    </row>
    <row r="290" spans="25:80" x14ac:dyDescent="0.25">
      <c r="Y290" s="340"/>
      <c r="Z290" s="340"/>
      <c r="AA290" s="340"/>
      <c r="AB290" s="340"/>
      <c r="AN290" s="1148"/>
      <c r="AO290" s="1148"/>
      <c r="AP290" s="1148"/>
      <c r="AQ290" s="1148"/>
      <c r="AR290" s="1148"/>
      <c r="AS290" s="1148"/>
      <c r="AT290" s="1148"/>
      <c r="AU290" s="1148"/>
      <c r="AZ290" s="1170"/>
      <c r="BA290" s="1170"/>
      <c r="BB290" s="1170"/>
      <c r="BC290" s="1170"/>
      <c r="BD290" s="1170"/>
      <c r="BE290" s="1172"/>
      <c r="BF290" s="1172"/>
      <c r="BG290" s="1172"/>
      <c r="BH290" s="1172"/>
      <c r="BI290" s="1172"/>
      <c r="BJ290" s="185"/>
      <c r="CB290" s="85"/>
    </row>
    <row r="291" spans="25:80" x14ac:dyDescent="0.25">
      <c r="Y291" s="340"/>
      <c r="Z291" s="340"/>
      <c r="AA291" s="340"/>
      <c r="AB291" s="340"/>
      <c r="AN291" s="1148"/>
      <c r="AO291" s="1148"/>
      <c r="AP291" s="1148"/>
      <c r="AQ291" s="1148"/>
      <c r="AR291" s="1148"/>
      <c r="AS291" s="1148"/>
      <c r="AT291" s="1148"/>
      <c r="AU291" s="1148"/>
      <c r="AZ291" s="1170"/>
      <c r="BA291" s="1170"/>
      <c r="BB291" s="1170"/>
      <c r="BC291" s="1170"/>
      <c r="BD291" s="1170"/>
      <c r="BE291" s="1172"/>
      <c r="BF291" s="1172"/>
      <c r="BG291" s="1172"/>
      <c r="BH291" s="1172"/>
      <c r="BI291" s="1172"/>
      <c r="BJ291" s="185"/>
      <c r="CB291" s="85"/>
    </row>
    <row r="292" spans="25:80" x14ac:dyDescent="0.25">
      <c r="Y292" s="340"/>
      <c r="Z292" s="340"/>
      <c r="AA292" s="340"/>
      <c r="AB292" s="340"/>
      <c r="AN292" s="1148"/>
      <c r="AO292" s="1148"/>
      <c r="AP292" s="1148"/>
      <c r="AQ292" s="1148"/>
      <c r="AR292" s="1148"/>
      <c r="AS292" s="1148"/>
      <c r="AT292" s="1148"/>
      <c r="AU292" s="1148"/>
      <c r="AZ292" s="1170"/>
      <c r="BA292" s="1170"/>
      <c r="BB292" s="1170"/>
      <c r="BC292" s="1170"/>
      <c r="BD292" s="1170"/>
      <c r="BE292" s="1172"/>
      <c r="BF292" s="1172"/>
      <c r="BG292" s="1172"/>
      <c r="BH292" s="1172"/>
      <c r="BI292" s="1172"/>
      <c r="BJ292" s="185"/>
    </row>
    <row r="293" spans="25:80" x14ac:dyDescent="0.25">
      <c r="Y293" s="340"/>
      <c r="Z293" s="340"/>
      <c r="AA293" s="340"/>
      <c r="AB293" s="340"/>
      <c r="AN293" s="1148"/>
      <c r="AO293" s="1148"/>
      <c r="AP293" s="1148"/>
      <c r="AQ293" s="1148"/>
      <c r="AR293" s="1148"/>
      <c r="AS293" s="1148"/>
      <c r="AT293" s="1148"/>
      <c r="AU293" s="1148"/>
      <c r="AZ293" s="1170"/>
      <c r="BA293" s="1170"/>
      <c r="BB293" s="1170"/>
      <c r="BC293" s="1170"/>
      <c r="BD293" s="1170"/>
      <c r="BE293" s="1172"/>
      <c r="BF293" s="1172"/>
      <c r="BG293" s="1172"/>
      <c r="BH293" s="1172"/>
      <c r="BI293" s="1172"/>
      <c r="BJ293" s="185"/>
    </row>
    <row r="294" spans="25:80" x14ac:dyDescent="0.25">
      <c r="Y294" s="340"/>
      <c r="Z294" s="340"/>
      <c r="AA294" s="340"/>
      <c r="AB294" s="340"/>
      <c r="AN294" s="1148"/>
      <c r="AO294" s="1148"/>
      <c r="AP294" s="1148"/>
      <c r="AQ294" s="1148"/>
      <c r="AR294" s="1148"/>
      <c r="AS294" s="1148"/>
      <c r="AT294" s="1148"/>
      <c r="AU294" s="1148"/>
      <c r="AZ294" s="1170"/>
      <c r="BA294" s="1170"/>
      <c r="BB294" s="1170"/>
      <c r="BC294" s="1170"/>
      <c r="BD294" s="1170"/>
      <c r="BE294" s="1172"/>
      <c r="BF294" s="1172"/>
      <c r="BG294" s="1172"/>
      <c r="BH294" s="1172"/>
      <c r="BI294" s="1172"/>
      <c r="BJ294" s="185"/>
    </row>
    <row r="295" spans="25:80" x14ac:dyDescent="0.25">
      <c r="Y295" s="340"/>
      <c r="Z295" s="340"/>
      <c r="AA295" s="340"/>
      <c r="AB295" s="340"/>
      <c r="AN295" s="1148"/>
      <c r="AO295" s="1148"/>
      <c r="AP295" s="1148"/>
      <c r="AQ295" s="1148"/>
      <c r="AR295" s="1148"/>
      <c r="AS295" s="1148"/>
      <c r="AT295" s="1148"/>
      <c r="AU295" s="1148"/>
      <c r="AZ295" s="1170"/>
      <c r="BA295" s="1170"/>
      <c r="BB295" s="1170"/>
      <c r="BC295" s="1170"/>
      <c r="BD295" s="1170"/>
      <c r="BE295" s="1172"/>
      <c r="BF295" s="1172"/>
      <c r="BG295" s="1172"/>
      <c r="BH295" s="1172"/>
      <c r="BI295" s="1172"/>
      <c r="BJ295" s="185"/>
    </row>
    <row r="296" spans="25:80" x14ac:dyDescent="0.25">
      <c r="Y296" s="340"/>
      <c r="Z296" s="340"/>
      <c r="AA296" s="340"/>
      <c r="AB296" s="340"/>
      <c r="AN296" s="1148"/>
      <c r="AO296" s="1148"/>
      <c r="AP296" s="1148"/>
      <c r="AQ296" s="1148"/>
      <c r="AR296" s="1148"/>
      <c r="AS296" s="1148"/>
      <c r="AT296" s="1148"/>
      <c r="AU296" s="1148"/>
      <c r="AZ296" s="1170"/>
      <c r="BA296" s="1170"/>
      <c r="BB296" s="1170"/>
      <c r="BC296" s="1170"/>
      <c r="BD296" s="1170"/>
      <c r="BE296" s="1172"/>
      <c r="BF296" s="1172"/>
      <c r="BG296" s="1172"/>
      <c r="BH296" s="1172"/>
      <c r="BI296" s="1172"/>
      <c r="BJ296" s="185"/>
    </row>
    <row r="297" spans="25:80" x14ac:dyDescent="0.25">
      <c r="Y297" s="340"/>
      <c r="Z297" s="340"/>
      <c r="AA297" s="340"/>
      <c r="AB297" s="340"/>
      <c r="AN297" s="1148"/>
      <c r="AO297" s="1148"/>
      <c r="AP297" s="1148"/>
      <c r="AQ297" s="1148"/>
      <c r="AR297" s="1148"/>
      <c r="AS297" s="1148"/>
      <c r="AT297" s="1148"/>
      <c r="AU297" s="1148"/>
      <c r="AZ297" s="1170"/>
      <c r="BA297" s="1170"/>
      <c r="BB297" s="1170"/>
      <c r="BC297" s="1170"/>
      <c r="BD297" s="1170"/>
      <c r="BE297" s="1172"/>
      <c r="BF297" s="1172"/>
      <c r="BG297" s="1172"/>
      <c r="BH297" s="1172"/>
      <c r="BI297" s="1172"/>
      <c r="BJ297" s="185"/>
    </row>
    <row r="298" spans="25:80" x14ac:dyDescent="0.25">
      <c r="Y298" s="340"/>
      <c r="Z298" s="340"/>
      <c r="AA298" s="340"/>
      <c r="AB298" s="340"/>
      <c r="AN298" s="1148"/>
      <c r="AO298" s="1148"/>
      <c r="AP298" s="1148"/>
      <c r="AQ298" s="1148"/>
      <c r="AR298" s="1148"/>
      <c r="AS298" s="1148"/>
      <c r="AT298" s="1148"/>
      <c r="AU298" s="1148"/>
      <c r="AZ298" s="1170"/>
      <c r="BA298" s="1170"/>
      <c r="BB298" s="1170"/>
      <c r="BC298" s="1170"/>
      <c r="BD298" s="1170"/>
      <c r="BE298" s="1172"/>
      <c r="BF298" s="1172"/>
      <c r="BG298" s="1172"/>
      <c r="BH298" s="1172"/>
      <c r="BI298" s="1172"/>
      <c r="BJ298" s="185"/>
    </row>
    <row r="299" spans="25:80" x14ac:dyDescent="0.25">
      <c r="Y299" s="340"/>
      <c r="Z299" s="340"/>
      <c r="AA299" s="340"/>
      <c r="AB299" s="340"/>
      <c r="AN299" s="1148"/>
      <c r="AO299" s="1148"/>
      <c r="AP299" s="1148"/>
      <c r="AQ299" s="1148"/>
      <c r="AR299" s="1148"/>
      <c r="AS299" s="1148"/>
      <c r="AT299" s="1148"/>
      <c r="AU299" s="1148"/>
      <c r="AZ299" s="1170"/>
      <c r="BA299" s="1170"/>
      <c r="BB299" s="1170"/>
      <c r="BC299" s="1170"/>
      <c r="BD299" s="1170"/>
      <c r="BE299" s="1172"/>
      <c r="BF299" s="1172"/>
      <c r="BG299" s="1172"/>
      <c r="BH299" s="1172"/>
      <c r="BI299" s="1172"/>
      <c r="BJ299" s="185"/>
    </row>
    <row r="300" spans="25:80" x14ac:dyDescent="0.25">
      <c r="Y300" s="340"/>
      <c r="Z300" s="340"/>
      <c r="AA300" s="340"/>
      <c r="AB300" s="340"/>
      <c r="AN300" s="1148"/>
      <c r="AO300" s="1148"/>
      <c r="AP300" s="1148"/>
      <c r="AQ300" s="1148"/>
      <c r="AR300" s="1148"/>
      <c r="AS300" s="1148"/>
      <c r="AT300" s="1148"/>
      <c r="AU300" s="1148"/>
      <c r="AZ300" s="1170"/>
      <c r="BA300" s="1170"/>
      <c r="BB300" s="1170"/>
      <c r="BC300" s="1170"/>
      <c r="BD300" s="1170"/>
      <c r="BE300" s="1172"/>
      <c r="BF300" s="1172"/>
      <c r="BG300" s="1172"/>
      <c r="BH300" s="1172"/>
      <c r="BI300" s="1172"/>
      <c r="BJ300" s="185"/>
    </row>
    <row r="301" spans="25:80" x14ac:dyDescent="0.25">
      <c r="Y301" s="340"/>
      <c r="Z301" s="340"/>
      <c r="AA301" s="340"/>
      <c r="AB301" s="340"/>
      <c r="AN301" s="1148"/>
      <c r="AO301" s="1148"/>
      <c r="AP301" s="1148"/>
      <c r="AQ301" s="1148"/>
      <c r="AR301" s="1148"/>
      <c r="AS301" s="1148"/>
      <c r="AT301" s="1148"/>
      <c r="AU301" s="1148"/>
      <c r="AZ301" s="1170"/>
      <c r="BA301" s="1170"/>
      <c r="BB301" s="1170"/>
      <c r="BC301" s="1170"/>
      <c r="BD301" s="1170"/>
      <c r="BE301" s="1172"/>
      <c r="BF301" s="1172"/>
      <c r="BG301" s="1172"/>
      <c r="BH301" s="1172"/>
      <c r="BI301" s="1172"/>
      <c r="BJ301" s="185"/>
    </row>
    <row r="302" spans="25:80" x14ac:dyDescent="0.25">
      <c r="Y302" s="340"/>
      <c r="Z302" s="340"/>
      <c r="AA302" s="340"/>
      <c r="AB302" s="340"/>
      <c r="AN302" s="1148"/>
      <c r="AO302" s="1148"/>
      <c r="AP302" s="1148"/>
      <c r="AQ302" s="1148"/>
      <c r="AR302" s="1148"/>
      <c r="AS302" s="1148"/>
      <c r="AT302" s="1148"/>
      <c r="AU302" s="1148"/>
      <c r="AZ302" s="1170"/>
      <c r="BA302" s="1170"/>
      <c r="BB302" s="1170"/>
      <c r="BC302" s="1170"/>
      <c r="BD302" s="1170"/>
      <c r="BE302" s="1172"/>
      <c r="BF302" s="1172"/>
      <c r="BG302" s="1172"/>
      <c r="BH302" s="1172"/>
      <c r="BI302" s="1172"/>
      <c r="BJ302" s="185"/>
    </row>
    <row r="303" spans="25:80" x14ac:dyDescent="0.25">
      <c r="Y303" s="340"/>
      <c r="Z303" s="340"/>
      <c r="AA303" s="340"/>
      <c r="AB303" s="340"/>
      <c r="AN303" s="1148"/>
      <c r="AO303" s="1148"/>
      <c r="AP303" s="1148"/>
      <c r="AQ303" s="1148"/>
      <c r="AR303" s="1148"/>
      <c r="AS303" s="1148"/>
      <c r="AT303" s="1148"/>
      <c r="AU303" s="1148"/>
      <c r="AZ303" s="1170"/>
      <c r="BA303" s="1170"/>
      <c r="BB303" s="1170"/>
      <c r="BC303" s="1170"/>
      <c r="BD303" s="1170"/>
      <c r="BE303" s="1172"/>
      <c r="BF303" s="1172"/>
      <c r="BG303" s="1172"/>
      <c r="BH303" s="1172"/>
      <c r="BI303" s="1172"/>
      <c r="BJ303" s="185"/>
    </row>
    <row r="304" spans="25:80" x14ac:dyDescent="0.25">
      <c r="Y304" s="340"/>
      <c r="Z304" s="340"/>
      <c r="AA304" s="340"/>
      <c r="AB304" s="340"/>
      <c r="AN304" s="1148"/>
      <c r="AO304" s="1148"/>
      <c r="AP304" s="1148"/>
      <c r="AQ304" s="1148"/>
      <c r="AR304" s="1148"/>
      <c r="AS304" s="1148"/>
      <c r="AT304" s="1148"/>
      <c r="AU304" s="1148"/>
      <c r="AZ304" s="1170"/>
      <c r="BA304" s="1170"/>
      <c r="BB304" s="1170"/>
      <c r="BC304" s="1170"/>
      <c r="BD304" s="1170"/>
      <c r="BE304" s="1172"/>
      <c r="BF304" s="1172"/>
      <c r="BG304" s="1172"/>
      <c r="BH304" s="1172"/>
      <c r="BI304" s="1172"/>
      <c r="BJ304" s="185"/>
    </row>
    <row r="305" spans="25:62" x14ac:dyDescent="0.25">
      <c r="Y305" s="340"/>
      <c r="Z305" s="340"/>
      <c r="AA305" s="340"/>
      <c r="AB305" s="340"/>
      <c r="AN305" s="1148"/>
      <c r="AO305" s="1148"/>
      <c r="AP305" s="1148"/>
      <c r="AQ305" s="1148"/>
      <c r="AR305" s="1148"/>
      <c r="AS305" s="1148"/>
      <c r="AT305" s="1148"/>
      <c r="AU305" s="1148"/>
      <c r="AZ305" s="1170"/>
      <c r="BA305" s="1170"/>
      <c r="BB305" s="1170"/>
      <c r="BC305" s="1170"/>
      <c r="BD305" s="1170"/>
      <c r="BE305" s="1172"/>
      <c r="BF305" s="1172"/>
      <c r="BG305" s="1172"/>
      <c r="BH305" s="1172"/>
      <c r="BI305" s="1172"/>
      <c r="BJ305" s="185"/>
    </row>
    <row r="306" spans="25:62" x14ac:dyDescent="0.25">
      <c r="Y306" s="340"/>
      <c r="Z306" s="340"/>
      <c r="AA306" s="340"/>
      <c r="AB306" s="340"/>
      <c r="AN306" s="1148"/>
      <c r="AO306" s="1148"/>
      <c r="AP306" s="1148"/>
      <c r="AQ306" s="1148"/>
      <c r="AR306" s="1148"/>
      <c r="AS306" s="1148"/>
      <c r="AT306" s="1148"/>
      <c r="AU306" s="1148"/>
      <c r="AZ306" s="1170"/>
      <c r="BA306" s="1170"/>
      <c r="BB306" s="1170"/>
      <c r="BC306" s="1170"/>
      <c r="BD306" s="1170"/>
      <c r="BE306" s="1172"/>
      <c r="BF306" s="1172"/>
      <c r="BG306" s="1172"/>
      <c r="BH306" s="1172"/>
      <c r="BI306" s="1172"/>
      <c r="BJ306" s="185"/>
    </row>
    <row r="307" spans="25:62" x14ac:dyDescent="0.25">
      <c r="Y307" s="340"/>
      <c r="Z307" s="340"/>
      <c r="AA307" s="340"/>
      <c r="AB307" s="340"/>
      <c r="AN307" s="1148"/>
      <c r="AO307" s="1148"/>
      <c r="AP307" s="1148"/>
      <c r="AQ307" s="1148"/>
      <c r="AR307" s="1148"/>
      <c r="AS307" s="1148"/>
      <c r="AT307" s="1148"/>
      <c r="AU307" s="1148"/>
      <c r="AZ307" s="1170"/>
      <c r="BA307" s="1170"/>
      <c r="BB307" s="1170"/>
      <c r="BC307" s="1170"/>
      <c r="BD307" s="1170"/>
      <c r="BE307" s="1172"/>
      <c r="BF307" s="1172"/>
      <c r="BG307" s="1172"/>
      <c r="BH307" s="1172"/>
      <c r="BI307" s="1172"/>
      <c r="BJ307" s="185"/>
    </row>
    <row r="308" spans="25:62" x14ac:dyDescent="0.25">
      <c r="Y308" s="340"/>
      <c r="Z308" s="340"/>
      <c r="AA308" s="340"/>
      <c r="AB308" s="340"/>
      <c r="AN308" s="1148"/>
      <c r="AO308" s="1148"/>
      <c r="AP308" s="1148"/>
      <c r="AQ308" s="1148"/>
      <c r="AR308" s="1148"/>
      <c r="AS308" s="1148"/>
      <c r="AT308" s="1148"/>
      <c r="AU308" s="1148"/>
      <c r="AZ308" s="1170"/>
      <c r="BA308" s="1170"/>
      <c r="BB308" s="1170"/>
      <c r="BC308" s="1170"/>
      <c r="BD308" s="1170"/>
      <c r="BE308" s="1172"/>
      <c r="BF308" s="1172"/>
      <c r="BG308" s="1172"/>
      <c r="BH308" s="1172"/>
      <c r="BI308" s="1172"/>
      <c r="BJ308" s="185"/>
    </row>
    <row r="309" spans="25:62" x14ac:dyDescent="0.25">
      <c r="Y309" s="340"/>
      <c r="Z309" s="340"/>
      <c r="AA309" s="340"/>
      <c r="AB309" s="340"/>
      <c r="AN309" s="1148"/>
      <c r="AO309" s="1148"/>
      <c r="AP309" s="1148"/>
      <c r="AQ309" s="1148"/>
      <c r="AR309" s="1148"/>
      <c r="AS309" s="1148"/>
      <c r="AT309" s="1148"/>
      <c r="AU309" s="1148"/>
      <c r="AZ309" s="1170"/>
      <c r="BA309" s="1170"/>
      <c r="BB309" s="1170"/>
      <c r="BC309" s="1170"/>
      <c r="BD309" s="1170"/>
      <c r="BE309" s="1172"/>
      <c r="BF309" s="1172"/>
      <c r="BG309" s="1172"/>
      <c r="BH309" s="1172"/>
      <c r="BI309" s="1172"/>
      <c r="BJ309" s="185"/>
    </row>
    <row r="310" spans="25:62" x14ac:dyDescent="0.25">
      <c r="Y310" s="340"/>
      <c r="Z310" s="340"/>
      <c r="AA310" s="340"/>
      <c r="AB310" s="340"/>
      <c r="AN310" s="1148"/>
      <c r="AO310" s="1148"/>
      <c r="AP310" s="1148"/>
      <c r="AQ310" s="1148"/>
      <c r="AR310" s="1148"/>
      <c r="AS310" s="1148"/>
      <c r="AT310" s="1148"/>
      <c r="AU310" s="1148"/>
      <c r="AZ310" s="1170"/>
      <c r="BA310" s="1170"/>
      <c r="BB310" s="1170"/>
      <c r="BC310" s="1170"/>
      <c r="BD310" s="1170"/>
      <c r="BE310" s="1172"/>
      <c r="BF310" s="1172"/>
      <c r="BG310" s="1172"/>
      <c r="BH310" s="1172"/>
      <c r="BI310" s="1172"/>
      <c r="BJ310" s="185"/>
    </row>
    <row r="311" spans="25:62" x14ac:dyDescent="0.25">
      <c r="Y311" s="340"/>
      <c r="Z311" s="340"/>
      <c r="AA311" s="340"/>
      <c r="AB311" s="340"/>
      <c r="AN311" s="1148"/>
      <c r="AO311" s="1148"/>
      <c r="AP311" s="1148"/>
      <c r="AQ311" s="1148"/>
      <c r="AR311" s="1148"/>
      <c r="AS311" s="1148"/>
      <c r="AT311" s="1148"/>
      <c r="AU311" s="1148"/>
      <c r="AZ311" s="1170"/>
      <c r="BA311" s="1170"/>
      <c r="BB311" s="1170"/>
      <c r="BC311" s="1170"/>
      <c r="BD311" s="1170"/>
      <c r="BE311" s="1172"/>
      <c r="BF311" s="1172"/>
      <c r="BG311" s="1172"/>
      <c r="BH311" s="1172"/>
      <c r="BI311" s="1172"/>
      <c r="BJ311" s="185"/>
    </row>
    <row r="312" spans="25:62" x14ac:dyDescent="0.25">
      <c r="Y312" s="340"/>
      <c r="Z312" s="340"/>
      <c r="AA312" s="340"/>
      <c r="AB312" s="340"/>
      <c r="AN312" s="1148"/>
      <c r="AO312" s="1148"/>
      <c r="AP312" s="1148"/>
      <c r="AQ312" s="1148"/>
      <c r="AR312" s="1148"/>
      <c r="AS312" s="1148"/>
      <c r="AT312" s="1148"/>
      <c r="AU312" s="1148"/>
      <c r="AZ312" s="1170"/>
      <c r="BA312" s="1170"/>
      <c r="BB312" s="1170"/>
      <c r="BC312" s="1170"/>
      <c r="BD312" s="1170"/>
      <c r="BE312" s="1172"/>
      <c r="BF312" s="1172"/>
      <c r="BG312" s="1172"/>
      <c r="BH312" s="1172"/>
      <c r="BI312" s="1172"/>
      <c r="BJ312" s="185"/>
    </row>
    <row r="313" spans="25:62" x14ac:dyDescent="0.25">
      <c r="Y313" s="340"/>
      <c r="Z313" s="340"/>
      <c r="AA313" s="340"/>
      <c r="AB313" s="340"/>
      <c r="AN313" s="1148"/>
      <c r="AO313" s="1148"/>
      <c r="AP313" s="1148"/>
      <c r="AQ313" s="1148"/>
      <c r="AR313" s="1148"/>
      <c r="AS313" s="1148"/>
      <c r="AT313" s="1148"/>
      <c r="AU313" s="1148"/>
      <c r="AZ313" s="1170"/>
      <c r="BA313" s="1170"/>
      <c r="BB313" s="1170"/>
      <c r="BC313" s="1170"/>
      <c r="BD313" s="1170"/>
      <c r="BE313" s="1172"/>
      <c r="BF313" s="1172"/>
      <c r="BG313" s="1172"/>
      <c r="BH313" s="1172"/>
      <c r="BI313" s="1172"/>
      <c r="BJ313" s="185"/>
    </row>
    <row r="314" spans="25:62" x14ac:dyDescent="0.25">
      <c r="Y314" s="340"/>
      <c r="Z314" s="340"/>
      <c r="AA314" s="340"/>
      <c r="AB314" s="340"/>
      <c r="AN314" s="1148"/>
      <c r="AO314" s="1148"/>
      <c r="AP314" s="1148"/>
      <c r="AQ314" s="1148"/>
      <c r="AR314" s="1148"/>
      <c r="AS314" s="1148"/>
      <c r="AT314" s="1148"/>
      <c r="AU314" s="1148"/>
      <c r="AZ314" s="1170"/>
      <c r="BA314" s="1170"/>
      <c r="BB314" s="1170"/>
      <c r="BC314" s="1170"/>
      <c r="BD314" s="1170"/>
      <c r="BE314" s="1172"/>
      <c r="BF314" s="1172"/>
      <c r="BG314" s="1172"/>
      <c r="BH314" s="1172"/>
      <c r="BI314" s="1172"/>
      <c r="BJ314" s="185"/>
    </row>
    <row r="315" spans="25:62" x14ac:dyDescent="0.25">
      <c r="Y315" s="340"/>
      <c r="Z315" s="340"/>
      <c r="AA315" s="340"/>
      <c r="AB315" s="340"/>
    </row>
    <row r="316" spans="25:62" x14ac:dyDescent="0.25">
      <c r="Y316" s="340"/>
      <c r="Z316" s="340"/>
      <c r="AA316" s="340"/>
      <c r="AB316" s="340"/>
    </row>
    <row r="317" spans="25:62" x14ac:dyDescent="0.25">
      <c r="Y317" s="340"/>
      <c r="Z317" s="340"/>
      <c r="AA317" s="340"/>
      <c r="AB317" s="340"/>
    </row>
    <row r="318" spans="25:62" x14ac:dyDescent="0.25">
      <c r="Y318" s="340"/>
      <c r="Z318" s="340"/>
      <c r="AA318" s="340"/>
      <c r="AB318" s="340"/>
    </row>
    <row r="319" spans="25:62" x14ac:dyDescent="0.25">
      <c r="Y319" s="340"/>
      <c r="Z319" s="340"/>
      <c r="AA319" s="340"/>
      <c r="AB319" s="340"/>
    </row>
    <row r="320" spans="25:62" x14ac:dyDescent="0.25">
      <c r="Y320" s="340"/>
      <c r="Z320" s="340"/>
      <c r="AA320" s="340"/>
      <c r="AB320" s="340"/>
    </row>
    <row r="321" spans="25:28" x14ac:dyDescent="0.25">
      <c r="Y321" s="340"/>
      <c r="Z321" s="340"/>
      <c r="AA321" s="340"/>
      <c r="AB321" s="340"/>
    </row>
    <row r="322" spans="25:28" x14ac:dyDescent="0.25">
      <c r="Y322" s="340"/>
      <c r="Z322" s="340"/>
      <c r="AA322" s="340"/>
      <c r="AB322" s="340"/>
    </row>
    <row r="323" spans="25:28" x14ac:dyDescent="0.25">
      <c r="Y323" s="340"/>
      <c r="Z323" s="340"/>
      <c r="AA323" s="340"/>
      <c r="AB323" s="340"/>
    </row>
    <row r="324" spans="25:28" x14ac:dyDescent="0.25">
      <c r="Y324" s="340"/>
      <c r="Z324" s="340"/>
      <c r="AA324" s="340"/>
      <c r="AB324" s="340"/>
    </row>
    <row r="325" spans="25:28" x14ac:dyDescent="0.25">
      <c r="Y325" s="340"/>
      <c r="Z325" s="340"/>
      <c r="AA325" s="340"/>
      <c r="AB325" s="340"/>
    </row>
    <row r="326" spans="25:28" x14ac:dyDescent="0.25">
      <c r="Y326" s="340"/>
      <c r="Z326" s="340"/>
      <c r="AA326" s="340"/>
      <c r="AB326" s="340"/>
    </row>
    <row r="327" spans="25:28" x14ac:dyDescent="0.25">
      <c r="Y327" s="340"/>
      <c r="Z327" s="340"/>
      <c r="AA327" s="340"/>
      <c r="AB327" s="340"/>
    </row>
    <row r="328" spans="25:28" x14ac:dyDescent="0.25">
      <c r="Y328" s="340"/>
      <c r="Z328" s="340"/>
      <c r="AA328" s="340"/>
      <c r="AB328" s="340"/>
    </row>
    <row r="329" spans="25:28" x14ac:dyDescent="0.25">
      <c r="Y329" s="340"/>
      <c r="Z329" s="340"/>
      <c r="AA329" s="340"/>
      <c r="AB329" s="340"/>
    </row>
    <row r="330" spans="25:28" x14ac:dyDescent="0.25">
      <c r="Y330" s="340"/>
      <c r="Z330" s="340"/>
      <c r="AA330" s="340"/>
      <c r="AB330" s="340"/>
    </row>
    <row r="331" spans="25:28" x14ac:dyDescent="0.25">
      <c r="Y331" s="340"/>
      <c r="Z331" s="340"/>
      <c r="AA331" s="340"/>
      <c r="AB331" s="340"/>
    </row>
    <row r="332" spans="25:28" x14ac:dyDescent="0.25">
      <c r="Y332" s="340"/>
      <c r="Z332" s="340"/>
      <c r="AA332" s="340"/>
      <c r="AB332" s="340"/>
    </row>
    <row r="333" spans="25:28" x14ac:dyDescent="0.25">
      <c r="Y333" s="340"/>
      <c r="Z333" s="340"/>
      <c r="AA333" s="340"/>
      <c r="AB333" s="340"/>
    </row>
    <row r="334" spans="25:28" x14ac:dyDescent="0.25">
      <c r="Y334" s="340"/>
      <c r="Z334" s="340"/>
      <c r="AA334" s="340"/>
      <c r="AB334" s="340"/>
    </row>
    <row r="335" spans="25:28" x14ac:dyDescent="0.25">
      <c r="Y335" s="340"/>
      <c r="Z335" s="340"/>
      <c r="AA335" s="340"/>
      <c r="AB335" s="340"/>
    </row>
    <row r="336" spans="25:28" x14ac:dyDescent="0.25">
      <c r="Y336" s="340"/>
      <c r="Z336" s="340"/>
      <c r="AA336" s="340"/>
      <c r="AB336" s="340"/>
    </row>
    <row r="337" spans="25:28" x14ac:dyDescent="0.25">
      <c r="Y337" s="340"/>
      <c r="Z337" s="340"/>
      <c r="AA337" s="340"/>
      <c r="AB337" s="340"/>
    </row>
    <row r="338" spans="25:28" x14ac:dyDescent="0.25">
      <c r="Y338" s="340"/>
      <c r="Z338" s="340"/>
      <c r="AA338" s="340"/>
      <c r="AB338" s="340"/>
    </row>
    <row r="339" spans="25:28" x14ac:dyDescent="0.25">
      <c r="Y339" s="340"/>
      <c r="Z339" s="340"/>
      <c r="AA339" s="340"/>
      <c r="AB339" s="340"/>
    </row>
    <row r="340" spans="25:28" x14ac:dyDescent="0.25">
      <c r="Y340" s="340"/>
      <c r="Z340" s="340"/>
      <c r="AA340" s="340"/>
      <c r="AB340" s="340"/>
    </row>
    <row r="341" spans="25:28" x14ac:dyDescent="0.25">
      <c r="Y341" s="340"/>
      <c r="Z341" s="340"/>
      <c r="AA341" s="340"/>
      <c r="AB341" s="340"/>
    </row>
    <row r="342" spans="25:28" x14ac:dyDescent="0.25">
      <c r="Y342" s="340"/>
      <c r="Z342" s="340"/>
      <c r="AA342" s="340"/>
      <c r="AB342" s="340"/>
    </row>
    <row r="343" spans="25:28" x14ac:dyDescent="0.25">
      <c r="Y343" s="340"/>
      <c r="Z343" s="340"/>
      <c r="AA343" s="340"/>
      <c r="AB343" s="340"/>
    </row>
    <row r="344" spans="25:28" x14ac:dyDescent="0.25">
      <c r="Y344" s="340"/>
      <c r="Z344" s="340"/>
      <c r="AA344" s="340"/>
      <c r="AB344" s="340"/>
    </row>
    <row r="345" spans="25:28" x14ac:dyDescent="0.25">
      <c r="Y345" s="340"/>
      <c r="Z345" s="340"/>
      <c r="AA345" s="340"/>
      <c r="AB345" s="340"/>
    </row>
    <row r="346" spans="25:28" x14ac:dyDescent="0.25">
      <c r="Y346" s="340"/>
      <c r="Z346" s="340"/>
      <c r="AA346" s="340"/>
      <c r="AB346" s="340"/>
    </row>
    <row r="347" spans="25:28" x14ac:dyDescent="0.25">
      <c r="Y347" s="340"/>
      <c r="Z347" s="340"/>
      <c r="AA347" s="340"/>
      <c r="AB347" s="340"/>
    </row>
    <row r="348" spans="25:28" x14ac:dyDescent="0.25">
      <c r="Y348" s="340"/>
      <c r="Z348" s="340"/>
      <c r="AA348" s="340"/>
      <c r="AB348" s="340"/>
    </row>
    <row r="349" spans="25:28" x14ac:dyDescent="0.25">
      <c r="Y349" s="340"/>
      <c r="Z349" s="340"/>
      <c r="AA349" s="340"/>
      <c r="AB349" s="340"/>
    </row>
    <row r="350" spans="25:28" x14ac:dyDescent="0.25">
      <c r="Y350" s="340"/>
      <c r="Z350" s="340"/>
      <c r="AA350" s="340"/>
      <c r="AB350" s="340"/>
    </row>
    <row r="351" spans="25:28" x14ac:dyDescent="0.25">
      <c r="Y351" s="340"/>
      <c r="Z351" s="340"/>
      <c r="AA351" s="340"/>
      <c r="AB351" s="340"/>
    </row>
    <row r="352" spans="25:28" x14ac:dyDescent="0.25">
      <c r="Y352" s="340"/>
      <c r="Z352" s="340"/>
      <c r="AA352" s="340"/>
      <c r="AB352" s="340"/>
    </row>
    <row r="353" spans="25:28" x14ac:dyDescent="0.25">
      <c r="Y353" s="340"/>
      <c r="Z353" s="340"/>
      <c r="AA353" s="340"/>
      <c r="AB353" s="340"/>
    </row>
    <row r="354" spans="25:28" x14ac:dyDescent="0.25">
      <c r="Y354" s="340"/>
      <c r="Z354" s="340"/>
      <c r="AA354" s="340"/>
      <c r="AB354" s="340"/>
    </row>
    <row r="355" spans="25:28" x14ac:dyDescent="0.25">
      <c r="Y355" s="340"/>
      <c r="Z355" s="340"/>
      <c r="AA355" s="340"/>
      <c r="AB355" s="340"/>
    </row>
    <row r="356" spans="25:28" x14ac:dyDescent="0.25">
      <c r="Y356" s="340"/>
      <c r="Z356" s="340"/>
      <c r="AA356" s="340"/>
      <c r="AB356" s="340"/>
    </row>
    <row r="357" spans="25:28" x14ac:dyDescent="0.25">
      <c r="Y357" s="340"/>
      <c r="Z357" s="340"/>
      <c r="AA357" s="340"/>
      <c r="AB357" s="340"/>
    </row>
    <row r="358" spans="25:28" x14ac:dyDescent="0.25">
      <c r="Y358" s="340"/>
      <c r="Z358" s="340"/>
      <c r="AA358" s="340"/>
      <c r="AB358" s="340"/>
    </row>
    <row r="359" spans="25:28" x14ac:dyDescent="0.25">
      <c r="Y359" s="340"/>
      <c r="Z359" s="340"/>
      <c r="AA359" s="340"/>
      <c r="AB359" s="340"/>
    </row>
    <row r="360" spans="25:28" x14ac:dyDescent="0.25">
      <c r="Y360" s="340"/>
      <c r="Z360" s="340"/>
      <c r="AA360" s="340"/>
      <c r="AB360" s="340"/>
    </row>
    <row r="361" spans="25:28" x14ac:dyDescent="0.25">
      <c r="Y361" s="340"/>
      <c r="Z361" s="340"/>
      <c r="AA361" s="340"/>
      <c r="AB361" s="340"/>
    </row>
    <row r="362" spans="25:28" x14ac:dyDescent="0.25">
      <c r="Y362" s="340"/>
      <c r="Z362" s="340"/>
      <c r="AA362" s="340"/>
      <c r="AB362" s="340"/>
    </row>
    <row r="363" spans="25:28" x14ac:dyDescent="0.25">
      <c r="Y363" s="340"/>
      <c r="Z363" s="340"/>
      <c r="AA363" s="340"/>
      <c r="AB363" s="340"/>
    </row>
    <row r="364" spans="25:28" x14ac:dyDescent="0.25">
      <c r="Y364" s="340"/>
      <c r="Z364" s="340"/>
      <c r="AA364" s="340"/>
      <c r="AB364" s="340"/>
    </row>
    <row r="365" spans="25:28" x14ac:dyDescent="0.25">
      <c r="Y365" s="340"/>
      <c r="Z365" s="340"/>
      <c r="AA365" s="340"/>
      <c r="AB365" s="340"/>
    </row>
    <row r="366" spans="25:28" x14ac:dyDescent="0.25">
      <c r="Y366" s="340"/>
      <c r="Z366" s="340"/>
      <c r="AA366" s="340"/>
      <c r="AB366" s="340"/>
    </row>
    <row r="367" spans="25:28" x14ac:dyDescent="0.25">
      <c r="Y367" s="340"/>
      <c r="Z367" s="340"/>
      <c r="AA367" s="340"/>
      <c r="AB367" s="340"/>
    </row>
    <row r="368" spans="25:28" x14ac:dyDescent="0.25">
      <c r="Y368" s="340"/>
      <c r="Z368" s="340"/>
      <c r="AA368" s="340"/>
      <c r="AB368" s="340"/>
    </row>
    <row r="369" spans="25:28" x14ac:dyDescent="0.25">
      <c r="Y369" s="340"/>
      <c r="Z369" s="340"/>
      <c r="AA369" s="340"/>
      <c r="AB369" s="340"/>
    </row>
    <row r="370" spans="25:28" x14ac:dyDescent="0.25">
      <c r="Y370" s="340"/>
      <c r="Z370" s="340"/>
      <c r="AA370" s="340"/>
      <c r="AB370" s="340"/>
    </row>
    <row r="371" spans="25:28" x14ac:dyDescent="0.25">
      <c r="Y371" s="340"/>
      <c r="Z371" s="340"/>
      <c r="AA371" s="340"/>
      <c r="AB371" s="340"/>
    </row>
    <row r="372" spans="25:28" x14ac:dyDescent="0.25">
      <c r="Y372" s="340"/>
      <c r="Z372" s="340"/>
      <c r="AA372" s="340"/>
      <c r="AB372" s="340"/>
    </row>
    <row r="373" spans="25:28" x14ac:dyDescent="0.25">
      <c r="Y373" s="340"/>
      <c r="Z373" s="340"/>
      <c r="AA373" s="340"/>
      <c r="AB373" s="340"/>
    </row>
    <row r="374" spans="25:28" x14ac:dyDescent="0.25">
      <c r="Y374" s="340"/>
      <c r="Z374" s="340"/>
      <c r="AA374" s="340"/>
      <c r="AB374" s="340"/>
    </row>
    <row r="375" spans="25:28" x14ac:dyDescent="0.25">
      <c r="Y375" s="340"/>
      <c r="Z375" s="340"/>
      <c r="AA375" s="340"/>
      <c r="AB375" s="340"/>
    </row>
    <row r="376" spans="25:28" x14ac:dyDescent="0.25">
      <c r="Y376" s="340"/>
      <c r="Z376" s="340"/>
      <c r="AA376" s="340"/>
      <c r="AB376" s="340"/>
    </row>
    <row r="377" spans="25:28" x14ac:dyDescent="0.25">
      <c r="Y377" s="340"/>
      <c r="Z377" s="340"/>
      <c r="AA377" s="340"/>
      <c r="AB377" s="340"/>
    </row>
    <row r="378" spans="25:28" x14ac:dyDescent="0.25">
      <c r="Y378" s="340"/>
      <c r="Z378" s="340"/>
      <c r="AA378" s="340"/>
      <c r="AB378" s="340"/>
    </row>
    <row r="379" spans="25:28" x14ac:dyDescent="0.25">
      <c r="Y379" s="340"/>
      <c r="Z379" s="340"/>
      <c r="AA379" s="340"/>
      <c r="AB379" s="340"/>
    </row>
    <row r="380" spans="25:28" x14ac:dyDescent="0.25">
      <c r="Y380" s="340"/>
      <c r="Z380" s="340"/>
      <c r="AA380" s="340"/>
      <c r="AB380" s="340"/>
    </row>
    <row r="381" spans="25:28" x14ac:dyDescent="0.25">
      <c r="Y381" s="340"/>
      <c r="Z381" s="340"/>
      <c r="AA381" s="340"/>
      <c r="AB381" s="340"/>
    </row>
    <row r="382" spans="25:28" x14ac:dyDescent="0.25">
      <c r="Y382" s="340"/>
      <c r="Z382" s="340"/>
      <c r="AA382" s="340"/>
      <c r="AB382" s="340"/>
    </row>
    <row r="383" spans="25:28" x14ac:dyDescent="0.25">
      <c r="Y383" s="340"/>
      <c r="Z383" s="340"/>
      <c r="AA383" s="340"/>
      <c r="AB383" s="340"/>
    </row>
    <row r="384" spans="25:28" x14ac:dyDescent="0.25">
      <c r="Y384" s="340"/>
      <c r="Z384" s="340"/>
      <c r="AA384" s="340"/>
      <c r="AB384" s="340"/>
    </row>
    <row r="385" spans="25:28" x14ac:dyDescent="0.25">
      <c r="Y385" s="340"/>
      <c r="Z385" s="340"/>
      <c r="AA385" s="340"/>
      <c r="AB385" s="340"/>
    </row>
    <row r="386" spans="25:28" x14ac:dyDescent="0.25">
      <c r="Y386" s="340"/>
      <c r="Z386" s="340"/>
      <c r="AA386" s="340"/>
      <c r="AB386" s="340"/>
    </row>
    <row r="387" spans="25:28" x14ac:dyDescent="0.25">
      <c r="Y387" s="340"/>
      <c r="Z387" s="340"/>
      <c r="AA387" s="340"/>
      <c r="AB387" s="340"/>
    </row>
    <row r="388" spans="25:28" x14ac:dyDescent="0.25">
      <c r="Y388" s="340"/>
      <c r="Z388" s="340"/>
      <c r="AA388" s="340"/>
      <c r="AB388" s="340"/>
    </row>
    <row r="389" spans="25:28" x14ac:dyDescent="0.25">
      <c r="Y389" s="340"/>
      <c r="Z389" s="340"/>
      <c r="AA389" s="340"/>
      <c r="AB389" s="340"/>
    </row>
    <row r="390" spans="25:28" x14ac:dyDescent="0.25">
      <c r="Y390" s="340"/>
      <c r="Z390" s="340"/>
      <c r="AA390" s="340"/>
      <c r="AB390" s="340"/>
    </row>
    <row r="391" spans="25:28" x14ac:dyDescent="0.25">
      <c r="Y391" s="340"/>
      <c r="Z391" s="340"/>
      <c r="AA391" s="340"/>
      <c r="AB391" s="340"/>
    </row>
    <row r="392" spans="25:28" x14ac:dyDescent="0.25">
      <c r="Y392" s="340"/>
      <c r="Z392" s="340"/>
      <c r="AA392" s="340"/>
      <c r="AB392" s="340"/>
    </row>
    <row r="393" spans="25:28" x14ac:dyDescent="0.25">
      <c r="Y393" s="340"/>
      <c r="Z393" s="340"/>
      <c r="AA393" s="340"/>
      <c r="AB393" s="340"/>
    </row>
    <row r="394" spans="25:28" x14ac:dyDescent="0.25">
      <c r="Y394" s="340"/>
      <c r="Z394" s="340"/>
      <c r="AA394" s="340"/>
      <c r="AB394" s="340"/>
    </row>
    <row r="395" spans="25:28" x14ac:dyDescent="0.25">
      <c r="Y395" s="340"/>
      <c r="Z395" s="340"/>
      <c r="AA395" s="340"/>
      <c r="AB395" s="340"/>
    </row>
    <row r="396" spans="25:28" x14ac:dyDescent="0.25">
      <c r="Y396" s="340"/>
      <c r="Z396" s="340"/>
      <c r="AA396" s="340"/>
      <c r="AB396" s="340"/>
    </row>
    <row r="397" spans="25:28" x14ac:dyDescent="0.25">
      <c r="Y397" s="340"/>
      <c r="Z397" s="340"/>
      <c r="AA397" s="340"/>
      <c r="AB397" s="340"/>
    </row>
    <row r="398" spans="25:28" x14ac:dyDescent="0.25">
      <c r="Y398" s="340"/>
      <c r="Z398" s="340"/>
      <c r="AA398" s="340"/>
      <c r="AB398" s="340"/>
    </row>
    <row r="399" spans="25:28" x14ac:dyDescent="0.25">
      <c r="Y399" s="340"/>
      <c r="Z399" s="340"/>
      <c r="AA399" s="340"/>
      <c r="AB399" s="340"/>
    </row>
    <row r="400" spans="25:28" x14ac:dyDescent="0.25">
      <c r="Y400" s="340"/>
      <c r="Z400" s="340"/>
      <c r="AA400" s="340"/>
      <c r="AB400" s="340"/>
    </row>
    <row r="401" spans="25:28" x14ac:dyDescent="0.25">
      <c r="Y401" s="340"/>
      <c r="Z401" s="340"/>
      <c r="AA401" s="340"/>
      <c r="AB401" s="340"/>
    </row>
    <row r="402" spans="25:28" x14ac:dyDescent="0.25">
      <c r="Y402" s="340"/>
      <c r="Z402" s="340"/>
      <c r="AA402" s="340"/>
      <c r="AB402" s="340"/>
    </row>
    <row r="403" spans="25:28" x14ac:dyDescent="0.25">
      <c r="Y403" s="340"/>
      <c r="Z403" s="340"/>
      <c r="AA403" s="340"/>
      <c r="AB403" s="340"/>
    </row>
    <row r="404" spans="25:28" x14ac:dyDescent="0.25">
      <c r="Y404" s="340"/>
      <c r="Z404" s="340"/>
      <c r="AA404" s="340"/>
      <c r="AB404" s="340"/>
    </row>
    <row r="405" spans="25:28" x14ac:dyDescent="0.25">
      <c r="Y405" s="340"/>
      <c r="Z405" s="340"/>
      <c r="AA405" s="340"/>
      <c r="AB405" s="340"/>
    </row>
    <row r="406" spans="25:28" x14ac:dyDescent="0.25">
      <c r="Y406" s="340"/>
      <c r="Z406" s="340"/>
      <c r="AA406" s="340"/>
      <c r="AB406" s="340"/>
    </row>
    <row r="407" spans="25:28" x14ac:dyDescent="0.25">
      <c r="Y407" s="340"/>
      <c r="Z407" s="340"/>
      <c r="AA407" s="340"/>
      <c r="AB407" s="340"/>
    </row>
    <row r="408" spans="25:28" x14ac:dyDescent="0.25">
      <c r="Y408" s="340"/>
      <c r="Z408" s="340"/>
      <c r="AA408" s="340"/>
      <c r="AB408" s="340"/>
    </row>
    <row r="409" spans="25:28" x14ac:dyDescent="0.25">
      <c r="Y409" s="340"/>
      <c r="Z409" s="340"/>
      <c r="AA409" s="340"/>
      <c r="AB409" s="340"/>
    </row>
    <row r="410" spans="25:28" x14ac:dyDescent="0.25">
      <c r="Y410" s="340"/>
      <c r="Z410" s="340"/>
      <c r="AA410" s="340"/>
      <c r="AB410" s="340"/>
    </row>
    <row r="411" spans="25:28" x14ac:dyDescent="0.25">
      <c r="Y411" s="340"/>
      <c r="Z411" s="340"/>
      <c r="AA411" s="340"/>
      <c r="AB411" s="340"/>
    </row>
    <row r="412" spans="25:28" x14ac:dyDescent="0.25">
      <c r="Y412" s="340"/>
      <c r="Z412" s="340"/>
      <c r="AA412" s="340"/>
      <c r="AB412" s="340"/>
    </row>
    <row r="413" spans="25:28" x14ac:dyDescent="0.25">
      <c r="Y413" s="340"/>
      <c r="Z413" s="340"/>
      <c r="AA413" s="340"/>
      <c r="AB413" s="340"/>
    </row>
    <row r="414" spans="25:28" x14ac:dyDescent="0.25">
      <c r="Y414" s="340"/>
      <c r="Z414" s="340"/>
      <c r="AA414" s="340"/>
      <c r="AB414" s="340"/>
    </row>
    <row r="415" spans="25:28" x14ac:dyDescent="0.25">
      <c r="Y415" s="340"/>
      <c r="Z415" s="340"/>
      <c r="AA415" s="340"/>
      <c r="AB415" s="340"/>
    </row>
    <row r="416" spans="25:28" x14ac:dyDescent="0.25">
      <c r="Y416" s="340"/>
      <c r="Z416" s="340"/>
      <c r="AA416" s="340"/>
      <c r="AB416" s="340"/>
    </row>
    <row r="417" spans="25:28" x14ac:dyDescent="0.25">
      <c r="Y417" s="340"/>
      <c r="Z417" s="340"/>
      <c r="AA417" s="340"/>
      <c r="AB417" s="340"/>
    </row>
    <row r="418" spans="25:28" x14ac:dyDescent="0.25">
      <c r="Y418" s="340"/>
      <c r="Z418" s="340"/>
      <c r="AA418" s="340"/>
      <c r="AB418" s="340"/>
    </row>
    <row r="419" spans="25:28" x14ac:dyDescent="0.25">
      <c r="Y419" s="340"/>
      <c r="Z419" s="340"/>
      <c r="AA419" s="340"/>
      <c r="AB419" s="340"/>
    </row>
    <row r="420" spans="25:28" x14ac:dyDescent="0.25">
      <c r="Y420" s="340"/>
      <c r="Z420" s="340"/>
      <c r="AA420" s="340"/>
      <c r="AB420" s="340"/>
    </row>
    <row r="421" spans="25:28" x14ac:dyDescent="0.25">
      <c r="Y421" s="340"/>
      <c r="Z421" s="340"/>
      <c r="AA421" s="340"/>
      <c r="AB421" s="340"/>
    </row>
    <row r="422" spans="25:28" x14ac:dyDescent="0.25">
      <c r="Y422" s="340"/>
      <c r="Z422" s="340"/>
      <c r="AA422" s="340"/>
      <c r="AB422" s="340"/>
    </row>
    <row r="423" spans="25:28" x14ac:dyDescent="0.25">
      <c r="Y423" s="340"/>
      <c r="Z423" s="340"/>
      <c r="AA423" s="340"/>
      <c r="AB423" s="340"/>
    </row>
    <row r="424" spans="25:28" x14ac:dyDescent="0.25">
      <c r="Y424" s="340"/>
      <c r="Z424" s="340"/>
      <c r="AA424" s="340"/>
      <c r="AB424" s="340"/>
    </row>
    <row r="425" spans="25:28" x14ac:dyDescent="0.25">
      <c r="Y425" s="340"/>
      <c r="Z425" s="340"/>
      <c r="AA425" s="340"/>
      <c r="AB425" s="340"/>
    </row>
    <row r="426" spans="25:28" x14ac:dyDescent="0.25">
      <c r="Y426" s="340"/>
      <c r="Z426" s="340"/>
      <c r="AA426" s="340"/>
      <c r="AB426" s="340"/>
    </row>
    <row r="427" spans="25:28" x14ac:dyDescent="0.25">
      <c r="Y427" s="340"/>
      <c r="Z427" s="340"/>
      <c r="AA427" s="340"/>
      <c r="AB427" s="340"/>
    </row>
    <row r="428" spans="25:28" x14ac:dyDescent="0.25">
      <c r="Y428" s="340"/>
      <c r="Z428" s="340"/>
      <c r="AA428" s="340"/>
      <c r="AB428" s="340"/>
    </row>
    <row r="429" spans="25:28" x14ac:dyDescent="0.25">
      <c r="Y429" s="340"/>
      <c r="Z429" s="340"/>
      <c r="AA429" s="340"/>
      <c r="AB429" s="340"/>
    </row>
    <row r="430" spans="25:28" x14ac:dyDescent="0.25">
      <c r="Y430" s="340"/>
      <c r="Z430" s="340"/>
      <c r="AA430" s="340"/>
      <c r="AB430" s="340"/>
    </row>
    <row r="431" spans="25:28" x14ac:dyDescent="0.25">
      <c r="Y431" s="340"/>
      <c r="Z431" s="340"/>
      <c r="AA431" s="340"/>
      <c r="AB431" s="340"/>
    </row>
    <row r="432" spans="25:28" x14ac:dyDescent="0.25">
      <c r="Y432" s="340"/>
      <c r="Z432" s="340"/>
      <c r="AA432" s="340"/>
      <c r="AB432" s="340"/>
    </row>
    <row r="433" spans="25:28" x14ac:dyDescent="0.25">
      <c r="Y433" s="340"/>
      <c r="Z433" s="340"/>
      <c r="AA433" s="340"/>
      <c r="AB433" s="340"/>
    </row>
    <row r="434" spans="25:28" x14ac:dyDescent="0.25">
      <c r="Y434" s="340"/>
      <c r="Z434" s="340"/>
      <c r="AA434" s="340"/>
      <c r="AB434" s="340"/>
    </row>
    <row r="435" spans="25:28" x14ac:dyDescent="0.25">
      <c r="Y435" s="340"/>
      <c r="Z435" s="340"/>
      <c r="AA435" s="340"/>
      <c r="AB435" s="340"/>
    </row>
    <row r="436" spans="25:28" x14ac:dyDescent="0.25">
      <c r="Y436" s="340"/>
      <c r="Z436" s="340"/>
      <c r="AA436" s="340"/>
      <c r="AB436" s="340"/>
    </row>
    <row r="437" spans="25:28" x14ac:dyDescent="0.25">
      <c r="Y437" s="340"/>
      <c r="Z437" s="340"/>
      <c r="AA437" s="340"/>
      <c r="AB437" s="340"/>
    </row>
    <row r="438" spans="25:28" x14ac:dyDescent="0.25">
      <c r="Y438" s="340"/>
      <c r="Z438" s="340"/>
      <c r="AA438" s="340"/>
      <c r="AB438" s="340"/>
    </row>
    <row r="439" spans="25:28" x14ac:dyDescent="0.25">
      <c r="Y439" s="340"/>
      <c r="Z439" s="340"/>
      <c r="AA439" s="340"/>
      <c r="AB439" s="340"/>
    </row>
    <row r="440" spans="25:28" x14ac:dyDescent="0.25">
      <c r="Y440" s="340"/>
      <c r="Z440" s="340"/>
      <c r="AA440" s="340"/>
      <c r="AB440" s="340"/>
    </row>
    <row r="441" spans="25:28" x14ac:dyDescent="0.25">
      <c r="Y441" s="340"/>
      <c r="Z441" s="340"/>
      <c r="AA441" s="340"/>
      <c r="AB441" s="340"/>
    </row>
    <row r="442" spans="25:28" x14ac:dyDescent="0.25">
      <c r="Y442" s="340"/>
      <c r="Z442" s="340"/>
      <c r="AA442" s="340"/>
      <c r="AB442" s="340"/>
    </row>
    <row r="443" spans="25:28" x14ac:dyDescent="0.25">
      <c r="Y443" s="340"/>
      <c r="Z443" s="340"/>
      <c r="AA443" s="340"/>
      <c r="AB443" s="340"/>
    </row>
    <row r="444" spans="25:28" x14ac:dyDescent="0.25">
      <c r="Y444" s="340"/>
      <c r="Z444" s="340"/>
      <c r="AA444" s="340"/>
      <c r="AB444" s="340"/>
    </row>
    <row r="445" spans="25:28" x14ac:dyDescent="0.25">
      <c r="Y445" s="340"/>
      <c r="Z445" s="340"/>
      <c r="AA445" s="340"/>
      <c r="AB445" s="340"/>
    </row>
    <row r="446" spans="25:28" x14ac:dyDescent="0.25">
      <c r="Y446" s="340"/>
      <c r="Z446" s="340"/>
      <c r="AA446" s="340"/>
      <c r="AB446" s="340"/>
    </row>
    <row r="447" spans="25:28" x14ac:dyDescent="0.25">
      <c r="Y447" s="340"/>
      <c r="Z447" s="340"/>
      <c r="AA447" s="340"/>
      <c r="AB447" s="340"/>
    </row>
    <row r="448" spans="25:28" x14ac:dyDescent="0.25">
      <c r="Y448" s="340"/>
      <c r="Z448" s="340"/>
      <c r="AA448" s="340"/>
      <c r="AB448" s="340"/>
    </row>
    <row r="449" spans="25:28" x14ac:dyDescent="0.25">
      <c r="Y449" s="340"/>
      <c r="Z449" s="340"/>
      <c r="AA449" s="340"/>
      <c r="AB449" s="340"/>
    </row>
    <row r="450" spans="25:28" x14ac:dyDescent="0.25">
      <c r="Y450" s="340"/>
      <c r="Z450" s="340"/>
      <c r="AA450" s="340"/>
      <c r="AB450" s="340"/>
    </row>
    <row r="451" spans="25:28" x14ac:dyDescent="0.25">
      <c r="Y451" s="340"/>
      <c r="Z451" s="340"/>
      <c r="AA451" s="340"/>
      <c r="AB451" s="340"/>
    </row>
    <row r="452" spans="25:28" x14ac:dyDescent="0.25">
      <c r="Y452" s="340"/>
      <c r="Z452" s="340"/>
      <c r="AA452" s="340"/>
      <c r="AB452" s="340"/>
    </row>
    <row r="453" spans="25:28" x14ac:dyDescent="0.25">
      <c r="Y453" s="340"/>
      <c r="Z453" s="340"/>
      <c r="AA453" s="340"/>
      <c r="AB453" s="340"/>
    </row>
    <row r="454" spans="25:28" x14ac:dyDescent="0.25">
      <c r="Y454" s="340"/>
      <c r="Z454" s="340"/>
      <c r="AA454" s="340"/>
      <c r="AB454" s="340"/>
    </row>
    <row r="455" spans="25:28" x14ac:dyDescent="0.25">
      <c r="Y455" s="340"/>
      <c r="Z455" s="340"/>
      <c r="AA455" s="340"/>
      <c r="AB455" s="340"/>
    </row>
    <row r="456" spans="25:28" x14ac:dyDescent="0.25">
      <c r="Y456" s="340"/>
      <c r="Z456" s="340"/>
      <c r="AA456" s="340"/>
      <c r="AB456" s="340"/>
    </row>
    <row r="457" spans="25:28" x14ac:dyDescent="0.25">
      <c r="Y457" s="340"/>
      <c r="Z457" s="340"/>
      <c r="AA457" s="340"/>
      <c r="AB457" s="340"/>
    </row>
    <row r="458" spans="25:28" x14ac:dyDescent="0.25">
      <c r="Y458" s="340"/>
      <c r="Z458" s="340"/>
      <c r="AA458" s="340"/>
      <c r="AB458" s="340"/>
    </row>
    <row r="459" spans="25:28" x14ac:dyDescent="0.25">
      <c r="Y459" s="340"/>
      <c r="Z459" s="340"/>
      <c r="AA459" s="340"/>
      <c r="AB459" s="340"/>
    </row>
    <row r="460" spans="25:28" x14ac:dyDescent="0.25">
      <c r="Y460" s="340"/>
      <c r="Z460" s="340"/>
      <c r="AA460" s="340"/>
      <c r="AB460" s="340"/>
    </row>
    <row r="461" spans="25:28" x14ac:dyDescent="0.25">
      <c r="Y461" s="340"/>
      <c r="Z461" s="340"/>
      <c r="AA461" s="340"/>
      <c r="AB461" s="340"/>
    </row>
    <row r="462" spans="25:28" x14ac:dyDescent="0.25">
      <c r="Y462" s="340"/>
      <c r="Z462" s="340"/>
      <c r="AA462" s="340"/>
      <c r="AB462" s="340"/>
    </row>
    <row r="463" spans="25:28" x14ac:dyDescent="0.25">
      <c r="Y463" s="340"/>
      <c r="Z463" s="340"/>
      <c r="AA463" s="340"/>
      <c r="AB463" s="340"/>
    </row>
    <row r="464" spans="25:28" x14ac:dyDescent="0.25">
      <c r="Y464" s="340"/>
      <c r="Z464" s="340"/>
      <c r="AA464" s="340"/>
      <c r="AB464" s="340"/>
    </row>
    <row r="465" spans="25:28" x14ac:dyDescent="0.25">
      <c r="Y465" s="340"/>
      <c r="Z465" s="340"/>
      <c r="AA465" s="340"/>
      <c r="AB465" s="340"/>
    </row>
    <row r="466" spans="25:28" x14ac:dyDescent="0.25">
      <c r="Y466" s="340"/>
      <c r="Z466" s="340"/>
      <c r="AA466" s="340"/>
      <c r="AB466" s="340"/>
    </row>
    <row r="467" spans="25:28" x14ac:dyDescent="0.25">
      <c r="Y467" s="340"/>
      <c r="Z467" s="340"/>
      <c r="AA467" s="340"/>
      <c r="AB467" s="340"/>
    </row>
    <row r="468" spans="25:28" x14ac:dyDescent="0.25">
      <c r="Y468" s="340"/>
      <c r="Z468" s="340"/>
      <c r="AA468" s="340"/>
      <c r="AB468" s="340"/>
    </row>
    <row r="469" spans="25:28" x14ac:dyDescent="0.25">
      <c r="Y469" s="340"/>
      <c r="Z469" s="340"/>
      <c r="AA469" s="340"/>
      <c r="AB469" s="340"/>
    </row>
    <row r="470" spans="25:28" x14ac:dyDescent="0.25">
      <c r="Y470" s="340"/>
      <c r="Z470" s="340"/>
      <c r="AA470" s="340"/>
      <c r="AB470" s="340"/>
    </row>
    <row r="471" spans="25:28" x14ac:dyDescent="0.25">
      <c r="Y471" s="340"/>
      <c r="Z471" s="340"/>
      <c r="AA471" s="340"/>
      <c r="AB471" s="340"/>
    </row>
    <row r="472" spans="25:28" x14ac:dyDescent="0.25">
      <c r="Y472" s="340"/>
      <c r="Z472" s="340"/>
      <c r="AA472" s="340"/>
      <c r="AB472" s="340"/>
    </row>
    <row r="473" spans="25:28" x14ac:dyDescent="0.25">
      <c r="Y473" s="340"/>
      <c r="Z473" s="340"/>
      <c r="AA473" s="340"/>
      <c r="AB473" s="340"/>
    </row>
    <row r="474" spans="25:28" x14ac:dyDescent="0.25">
      <c r="Y474" s="340"/>
      <c r="Z474" s="340"/>
      <c r="AA474" s="340"/>
      <c r="AB474" s="340"/>
    </row>
    <row r="475" spans="25:28" x14ac:dyDescent="0.25">
      <c r="Y475" s="340"/>
      <c r="Z475" s="340"/>
      <c r="AA475" s="340"/>
      <c r="AB475" s="340"/>
    </row>
    <row r="476" spans="25:28" x14ac:dyDescent="0.25">
      <c r="Y476" s="340"/>
      <c r="Z476" s="340"/>
      <c r="AA476" s="340"/>
      <c r="AB476" s="340"/>
    </row>
    <row r="477" spans="25:28" x14ac:dyDescent="0.25">
      <c r="Y477" s="340"/>
      <c r="Z477" s="340"/>
      <c r="AA477" s="340"/>
      <c r="AB477" s="340"/>
    </row>
    <row r="478" spans="25:28" x14ac:dyDescent="0.25">
      <c r="Y478" s="340"/>
      <c r="Z478" s="340"/>
      <c r="AA478" s="340"/>
      <c r="AB478" s="340"/>
    </row>
    <row r="479" spans="25:28" x14ac:dyDescent="0.25">
      <c r="Y479" s="340"/>
      <c r="Z479" s="340"/>
      <c r="AA479" s="340"/>
      <c r="AB479" s="340"/>
    </row>
    <row r="480" spans="25:28" x14ac:dyDescent="0.25">
      <c r="Y480" s="340"/>
      <c r="Z480" s="340"/>
      <c r="AA480" s="340"/>
      <c r="AB480" s="340"/>
    </row>
    <row r="481" spans="25:28" x14ac:dyDescent="0.25">
      <c r="Y481" s="340"/>
      <c r="Z481" s="340"/>
      <c r="AA481" s="340"/>
      <c r="AB481" s="340"/>
    </row>
    <row r="482" spans="25:28" x14ac:dyDescent="0.25">
      <c r="Y482" s="340"/>
      <c r="Z482" s="340"/>
      <c r="AA482" s="340"/>
      <c r="AB482" s="340"/>
    </row>
    <row r="483" spans="25:28" x14ac:dyDescent="0.25">
      <c r="Y483" s="340"/>
      <c r="Z483" s="340"/>
      <c r="AA483" s="340"/>
      <c r="AB483" s="340"/>
    </row>
    <row r="484" spans="25:28" x14ac:dyDescent="0.25">
      <c r="Y484" s="340"/>
      <c r="Z484" s="340"/>
      <c r="AA484" s="340"/>
      <c r="AB484" s="340"/>
    </row>
    <row r="485" spans="25:28" x14ac:dyDescent="0.25">
      <c r="Y485" s="340"/>
      <c r="Z485" s="340"/>
      <c r="AA485" s="340"/>
      <c r="AB485" s="340"/>
    </row>
    <row r="486" spans="25:28" x14ac:dyDescent="0.25">
      <c r="Y486" s="340"/>
      <c r="Z486" s="340"/>
      <c r="AA486" s="340"/>
      <c r="AB486" s="340"/>
    </row>
    <row r="487" spans="25:28" x14ac:dyDescent="0.25">
      <c r="Y487" s="340"/>
      <c r="Z487" s="340"/>
      <c r="AA487" s="340"/>
      <c r="AB487" s="340"/>
    </row>
    <row r="488" spans="25:28" x14ac:dyDescent="0.25">
      <c r="Y488" s="340"/>
      <c r="Z488" s="340"/>
      <c r="AA488" s="340"/>
      <c r="AB488" s="340"/>
    </row>
    <row r="489" spans="25:28" x14ac:dyDescent="0.25">
      <c r="Y489" s="340"/>
      <c r="Z489" s="340"/>
      <c r="AA489" s="340"/>
      <c r="AB489" s="340"/>
    </row>
    <row r="490" spans="25:28" x14ac:dyDescent="0.25">
      <c r="Y490" s="340"/>
      <c r="Z490" s="340"/>
      <c r="AA490" s="340"/>
      <c r="AB490" s="340"/>
    </row>
    <row r="491" spans="25:28" x14ac:dyDescent="0.25">
      <c r="Y491" s="340"/>
      <c r="Z491" s="340"/>
      <c r="AA491" s="340"/>
      <c r="AB491" s="340"/>
    </row>
    <row r="492" spans="25:28" x14ac:dyDescent="0.25">
      <c r="Y492" s="340"/>
      <c r="Z492" s="340"/>
      <c r="AA492" s="340"/>
      <c r="AB492" s="340"/>
    </row>
    <row r="493" spans="25:28" x14ac:dyDescent="0.25">
      <c r="Y493" s="340"/>
      <c r="Z493" s="340"/>
      <c r="AA493" s="340"/>
      <c r="AB493" s="340"/>
    </row>
    <row r="494" spans="25:28" x14ac:dyDescent="0.25">
      <c r="Y494" s="340"/>
      <c r="Z494" s="340"/>
      <c r="AA494" s="340"/>
      <c r="AB494" s="340"/>
    </row>
    <row r="495" spans="25:28" x14ac:dyDescent="0.25">
      <c r="Y495" s="340"/>
      <c r="Z495" s="340"/>
      <c r="AA495" s="340"/>
      <c r="AB495" s="340"/>
    </row>
    <row r="496" spans="25:28" x14ac:dyDescent="0.25">
      <c r="Y496" s="340"/>
      <c r="Z496" s="340"/>
      <c r="AA496" s="340"/>
      <c r="AB496" s="340"/>
    </row>
    <row r="497" spans="25:28" x14ac:dyDescent="0.25">
      <c r="Y497" s="340"/>
      <c r="Z497" s="340"/>
      <c r="AA497" s="340"/>
      <c r="AB497" s="340"/>
    </row>
    <row r="498" spans="25:28" x14ac:dyDescent="0.25">
      <c r="Y498" s="340"/>
      <c r="Z498" s="340"/>
      <c r="AA498" s="340"/>
      <c r="AB498" s="340"/>
    </row>
    <row r="499" spans="25:28" x14ac:dyDescent="0.25">
      <c r="Y499" s="340"/>
      <c r="Z499" s="340"/>
      <c r="AA499" s="340"/>
      <c r="AB499" s="340"/>
    </row>
    <row r="500" spans="25:28" x14ac:dyDescent="0.25">
      <c r="Y500" s="340"/>
      <c r="Z500" s="340"/>
      <c r="AA500" s="340"/>
      <c r="AB500" s="340"/>
    </row>
    <row r="501" spans="25:28" x14ac:dyDescent="0.25">
      <c r="Y501" s="340"/>
      <c r="Z501" s="340"/>
      <c r="AA501" s="340"/>
      <c r="AB501" s="340"/>
    </row>
    <row r="502" spans="25:28" x14ac:dyDescent="0.25">
      <c r="Y502" s="340"/>
      <c r="Z502" s="340"/>
      <c r="AA502" s="340"/>
      <c r="AB502" s="340"/>
    </row>
    <row r="503" spans="25:28" x14ac:dyDescent="0.25">
      <c r="Y503" s="340"/>
      <c r="Z503" s="340"/>
      <c r="AA503" s="340"/>
      <c r="AB503" s="340"/>
    </row>
    <row r="504" spans="25:28" x14ac:dyDescent="0.25">
      <c r="Y504" s="340"/>
      <c r="Z504" s="340"/>
      <c r="AA504" s="340"/>
      <c r="AB504" s="340"/>
    </row>
    <row r="505" spans="25:28" x14ac:dyDescent="0.25">
      <c r="Y505" s="340"/>
      <c r="Z505" s="340"/>
      <c r="AA505" s="340"/>
      <c r="AB505" s="340"/>
    </row>
    <row r="506" spans="25:28" x14ac:dyDescent="0.25">
      <c r="Y506" s="340"/>
      <c r="Z506" s="340"/>
      <c r="AA506" s="340"/>
      <c r="AB506" s="340"/>
    </row>
    <row r="507" spans="25:28" x14ac:dyDescent="0.25">
      <c r="Y507" s="340"/>
      <c r="Z507" s="340"/>
      <c r="AA507" s="340"/>
      <c r="AB507" s="340"/>
    </row>
    <row r="508" spans="25:28" x14ac:dyDescent="0.25">
      <c r="Y508" s="340"/>
      <c r="Z508" s="340"/>
      <c r="AA508" s="340"/>
      <c r="AB508" s="340"/>
    </row>
    <row r="509" spans="25:28" x14ac:dyDescent="0.25">
      <c r="Y509" s="340"/>
      <c r="Z509" s="340"/>
      <c r="AA509" s="340"/>
      <c r="AB509" s="340"/>
    </row>
    <row r="510" spans="25:28" x14ac:dyDescent="0.25">
      <c r="Y510" s="340"/>
      <c r="Z510" s="340"/>
      <c r="AA510" s="340"/>
      <c r="AB510" s="340"/>
    </row>
    <row r="511" spans="25:28" x14ac:dyDescent="0.25">
      <c r="Y511" s="340"/>
      <c r="Z511" s="340"/>
      <c r="AA511" s="340"/>
      <c r="AB511" s="340"/>
    </row>
    <row r="512" spans="25:28" x14ac:dyDescent="0.25">
      <c r="Y512" s="340"/>
      <c r="Z512" s="340"/>
      <c r="AA512" s="340"/>
      <c r="AB512" s="340"/>
    </row>
    <row r="513" spans="25:28" x14ac:dyDescent="0.25">
      <c r="Y513" s="340"/>
      <c r="Z513" s="340"/>
      <c r="AA513" s="340"/>
      <c r="AB513" s="340"/>
    </row>
    <row r="514" spans="25:28" x14ac:dyDescent="0.25">
      <c r="Y514" s="340"/>
      <c r="Z514" s="340"/>
      <c r="AA514" s="340"/>
      <c r="AB514" s="340"/>
    </row>
    <row r="515" spans="25:28" x14ac:dyDescent="0.25">
      <c r="Y515" s="340"/>
      <c r="Z515" s="340"/>
      <c r="AA515" s="340"/>
      <c r="AB515" s="340"/>
    </row>
    <row r="516" spans="25:28" x14ac:dyDescent="0.25">
      <c r="Y516" s="340"/>
      <c r="Z516" s="340"/>
      <c r="AA516" s="340"/>
      <c r="AB516" s="340"/>
    </row>
    <row r="517" spans="25:28" x14ac:dyDescent="0.25">
      <c r="Y517" s="340"/>
      <c r="Z517" s="340"/>
      <c r="AA517" s="340"/>
      <c r="AB517" s="340"/>
    </row>
    <row r="518" spans="25:28" x14ac:dyDescent="0.25">
      <c r="Y518" s="340"/>
      <c r="Z518" s="340"/>
      <c r="AA518" s="340"/>
      <c r="AB518" s="340"/>
    </row>
    <row r="519" spans="25:28" x14ac:dyDescent="0.25">
      <c r="Y519" s="340"/>
      <c r="Z519" s="340"/>
      <c r="AA519" s="340"/>
      <c r="AB519" s="340"/>
    </row>
    <row r="520" spans="25:28" x14ac:dyDescent="0.25">
      <c r="Y520" s="340"/>
      <c r="Z520" s="340"/>
      <c r="AA520" s="340"/>
      <c r="AB520" s="340"/>
    </row>
    <row r="521" spans="25:28" x14ac:dyDescent="0.25">
      <c r="Y521" s="340"/>
      <c r="Z521" s="340"/>
      <c r="AA521" s="340"/>
      <c r="AB521" s="340"/>
    </row>
    <row r="522" spans="25:28" x14ac:dyDescent="0.25">
      <c r="Y522" s="340"/>
      <c r="Z522" s="340"/>
      <c r="AA522" s="340"/>
      <c r="AB522" s="340"/>
    </row>
    <row r="523" spans="25:28" x14ac:dyDescent="0.25">
      <c r="Y523" s="340"/>
      <c r="Z523" s="340"/>
      <c r="AA523" s="340"/>
      <c r="AB523" s="340"/>
    </row>
    <row r="524" spans="25:28" x14ac:dyDescent="0.25">
      <c r="Y524" s="340"/>
      <c r="Z524" s="340"/>
      <c r="AA524" s="340"/>
      <c r="AB524" s="340"/>
    </row>
    <row r="525" spans="25:28" x14ac:dyDescent="0.25">
      <c r="Y525" s="340"/>
      <c r="Z525" s="340"/>
      <c r="AA525" s="340"/>
      <c r="AB525" s="340"/>
    </row>
    <row r="526" spans="25:28" x14ac:dyDescent="0.25">
      <c r="Y526" s="340"/>
      <c r="Z526" s="340"/>
      <c r="AA526" s="340"/>
      <c r="AB526" s="340"/>
    </row>
    <row r="527" spans="25:28" x14ac:dyDescent="0.25">
      <c r="Y527" s="340"/>
      <c r="Z527" s="340"/>
      <c r="AA527" s="340"/>
      <c r="AB527" s="340"/>
    </row>
    <row r="528" spans="25:28" x14ac:dyDescent="0.25">
      <c r="Y528" s="340"/>
      <c r="Z528" s="340"/>
      <c r="AA528" s="340"/>
      <c r="AB528" s="340"/>
    </row>
    <row r="529" spans="25:28" x14ac:dyDescent="0.25">
      <c r="Y529" s="340"/>
      <c r="Z529" s="340"/>
      <c r="AA529" s="340"/>
      <c r="AB529" s="340"/>
    </row>
    <row r="530" spans="25:28" x14ac:dyDescent="0.25">
      <c r="Y530" s="340"/>
      <c r="Z530" s="340"/>
      <c r="AA530" s="340"/>
      <c r="AB530" s="340"/>
    </row>
    <row r="531" spans="25:28" x14ac:dyDescent="0.25">
      <c r="Y531" s="340"/>
      <c r="Z531" s="340"/>
      <c r="AA531" s="340"/>
      <c r="AB531" s="340"/>
    </row>
    <row r="532" spans="25:28" x14ac:dyDescent="0.25">
      <c r="Y532" s="340"/>
      <c r="Z532" s="340"/>
      <c r="AA532" s="340"/>
      <c r="AB532" s="340"/>
    </row>
    <row r="533" spans="25:28" x14ac:dyDescent="0.25">
      <c r="Y533" s="340"/>
      <c r="Z533" s="340"/>
      <c r="AA533" s="340"/>
      <c r="AB533" s="340"/>
    </row>
    <row r="534" spans="25:28" x14ac:dyDescent="0.25">
      <c r="Y534" s="340"/>
      <c r="Z534" s="340"/>
      <c r="AA534" s="340"/>
      <c r="AB534" s="340"/>
    </row>
    <row r="535" spans="25:28" x14ac:dyDescent="0.25">
      <c r="Y535" s="340"/>
      <c r="Z535" s="340"/>
      <c r="AA535" s="340"/>
      <c r="AB535" s="340"/>
    </row>
    <row r="536" spans="25:28" x14ac:dyDescent="0.25">
      <c r="Y536" s="340"/>
      <c r="Z536" s="340"/>
      <c r="AA536" s="340"/>
      <c r="AB536" s="340"/>
    </row>
    <row r="537" spans="25:28" x14ac:dyDescent="0.25">
      <c r="Y537" s="340"/>
      <c r="Z537" s="340"/>
      <c r="AA537" s="340"/>
      <c r="AB537" s="340"/>
    </row>
    <row r="538" spans="25:28" x14ac:dyDescent="0.25">
      <c r="Y538" s="340"/>
      <c r="Z538" s="340"/>
      <c r="AA538" s="340"/>
      <c r="AB538" s="340"/>
    </row>
    <row r="539" spans="25:28" x14ac:dyDescent="0.25">
      <c r="Y539" s="340"/>
      <c r="Z539" s="340"/>
      <c r="AA539" s="340"/>
      <c r="AB539" s="340"/>
    </row>
    <row r="540" spans="25:28" x14ac:dyDescent="0.25">
      <c r="Y540" s="340"/>
      <c r="Z540" s="340"/>
      <c r="AA540" s="340"/>
      <c r="AB540" s="340"/>
    </row>
    <row r="541" spans="25:28" x14ac:dyDescent="0.25">
      <c r="Y541" s="340"/>
      <c r="Z541" s="340"/>
      <c r="AA541" s="340"/>
      <c r="AB541" s="340"/>
    </row>
    <row r="542" spans="25:28" x14ac:dyDescent="0.25">
      <c r="Y542" s="340"/>
      <c r="Z542" s="340"/>
      <c r="AA542" s="340"/>
      <c r="AB542" s="340"/>
    </row>
    <row r="543" spans="25:28" x14ac:dyDescent="0.25">
      <c r="Y543" s="340"/>
      <c r="Z543" s="340"/>
      <c r="AA543" s="340"/>
      <c r="AB543" s="340"/>
    </row>
    <row r="544" spans="25:28" x14ac:dyDescent="0.25">
      <c r="Y544" s="340"/>
      <c r="Z544" s="340"/>
      <c r="AA544" s="340"/>
      <c r="AB544" s="340"/>
    </row>
    <row r="545" spans="25:28" x14ac:dyDescent="0.25">
      <c r="Y545" s="340"/>
      <c r="Z545" s="340"/>
      <c r="AA545" s="340"/>
      <c r="AB545" s="340"/>
    </row>
    <row r="546" spans="25:28" x14ac:dyDescent="0.25">
      <c r="Y546" s="340"/>
      <c r="Z546" s="340"/>
      <c r="AA546" s="340"/>
      <c r="AB546" s="340"/>
    </row>
    <row r="547" spans="25:28" x14ac:dyDescent="0.25">
      <c r="Y547" s="340"/>
      <c r="Z547" s="340"/>
      <c r="AA547" s="340"/>
      <c r="AB547" s="340"/>
    </row>
    <row r="548" spans="25:28" x14ac:dyDescent="0.25">
      <c r="Y548" s="340"/>
      <c r="Z548" s="340"/>
      <c r="AA548" s="340"/>
      <c r="AB548" s="340"/>
    </row>
    <row r="549" spans="25:28" x14ac:dyDescent="0.25">
      <c r="Y549" s="340"/>
      <c r="Z549" s="340"/>
      <c r="AA549" s="340"/>
      <c r="AB549" s="340"/>
    </row>
    <row r="550" spans="25:28" x14ac:dyDescent="0.25">
      <c r="Y550" s="340"/>
      <c r="Z550" s="340"/>
      <c r="AA550" s="340"/>
      <c r="AB550" s="340"/>
    </row>
    <row r="551" spans="25:28" x14ac:dyDescent="0.25">
      <c r="Y551" s="340"/>
      <c r="Z551" s="340"/>
      <c r="AA551" s="340"/>
      <c r="AB551" s="340"/>
    </row>
    <row r="552" spans="25:28" x14ac:dyDescent="0.25">
      <c r="Y552" s="340"/>
      <c r="Z552" s="340"/>
      <c r="AA552" s="340"/>
      <c r="AB552" s="340"/>
    </row>
    <row r="553" spans="25:28" x14ac:dyDescent="0.25">
      <c r="Y553" s="340"/>
      <c r="Z553" s="340"/>
      <c r="AA553" s="340"/>
      <c r="AB553" s="340"/>
    </row>
    <row r="554" spans="25:28" x14ac:dyDescent="0.25">
      <c r="Y554" s="340"/>
      <c r="Z554" s="340"/>
      <c r="AA554" s="340"/>
      <c r="AB554" s="340"/>
    </row>
    <row r="555" spans="25:28" x14ac:dyDescent="0.25">
      <c r="Y555" s="340"/>
      <c r="Z555" s="340"/>
      <c r="AA555" s="340"/>
      <c r="AB555" s="340"/>
    </row>
    <row r="556" spans="25:28" x14ac:dyDescent="0.25">
      <c r="Y556" s="340"/>
      <c r="Z556" s="340"/>
      <c r="AA556" s="340"/>
      <c r="AB556" s="340"/>
    </row>
    <row r="557" spans="25:28" x14ac:dyDescent="0.25">
      <c r="Y557" s="340"/>
      <c r="Z557" s="340"/>
      <c r="AA557" s="340"/>
      <c r="AB557" s="340"/>
    </row>
    <row r="558" spans="25:28" x14ac:dyDescent="0.25">
      <c r="Y558" s="340"/>
      <c r="Z558" s="340"/>
      <c r="AA558" s="340"/>
      <c r="AB558" s="340"/>
    </row>
    <row r="559" spans="25:28" x14ac:dyDescent="0.25">
      <c r="Y559" s="340"/>
      <c r="Z559" s="340"/>
      <c r="AA559" s="340"/>
      <c r="AB559" s="340"/>
    </row>
    <row r="560" spans="25:28" x14ac:dyDescent="0.25">
      <c r="Y560" s="340"/>
      <c r="Z560" s="340"/>
      <c r="AA560" s="340"/>
      <c r="AB560" s="340"/>
    </row>
    <row r="561" spans="25:28" x14ac:dyDescent="0.25">
      <c r="Y561" s="340"/>
      <c r="Z561" s="340"/>
      <c r="AA561" s="340"/>
      <c r="AB561" s="340"/>
    </row>
    <row r="562" spans="25:28" x14ac:dyDescent="0.25">
      <c r="Y562" s="340"/>
      <c r="Z562" s="340"/>
      <c r="AA562" s="340"/>
      <c r="AB562" s="340"/>
    </row>
    <row r="563" spans="25:28" x14ac:dyDescent="0.25">
      <c r="Y563" s="340"/>
      <c r="Z563" s="340"/>
      <c r="AA563" s="340"/>
      <c r="AB563" s="340"/>
    </row>
    <row r="564" spans="25:28" x14ac:dyDescent="0.25">
      <c r="Y564" s="340"/>
      <c r="Z564" s="340"/>
      <c r="AA564" s="340"/>
      <c r="AB564" s="340"/>
    </row>
    <row r="565" spans="25:28" x14ac:dyDescent="0.25">
      <c r="Y565" s="340"/>
      <c r="Z565" s="340"/>
      <c r="AA565" s="340"/>
      <c r="AB565" s="340"/>
    </row>
    <row r="566" spans="25:28" x14ac:dyDescent="0.25">
      <c r="Y566" s="340"/>
      <c r="Z566" s="340"/>
      <c r="AA566" s="340"/>
      <c r="AB566" s="340"/>
    </row>
    <row r="567" spans="25:28" x14ac:dyDescent="0.25">
      <c r="Y567" s="340"/>
      <c r="Z567" s="340"/>
      <c r="AA567" s="340"/>
      <c r="AB567" s="340"/>
    </row>
    <row r="568" spans="25:28" x14ac:dyDescent="0.25">
      <c r="Y568" s="340"/>
      <c r="Z568" s="340"/>
      <c r="AA568" s="340"/>
      <c r="AB568" s="340"/>
    </row>
    <row r="569" spans="25:28" x14ac:dyDescent="0.25">
      <c r="Y569" s="340"/>
      <c r="Z569" s="340"/>
      <c r="AA569" s="340"/>
      <c r="AB569" s="340"/>
    </row>
    <row r="570" spans="25:28" x14ac:dyDescent="0.25">
      <c r="Y570" s="340"/>
      <c r="Z570" s="340"/>
      <c r="AA570" s="340"/>
      <c r="AB570" s="340"/>
    </row>
    <row r="571" spans="25:28" x14ac:dyDescent="0.25">
      <c r="Y571" s="340"/>
      <c r="Z571" s="340"/>
      <c r="AA571" s="340"/>
      <c r="AB571" s="340"/>
    </row>
    <row r="572" spans="25:28" x14ac:dyDescent="0.25">
      <c r="Y572" s="340"/>
      <c r="Z572" s="340"/>
      <c r="AA572" s="340"/>
      <c r="AB572" s="340"/>
    </row>
    <row r="573" spans="25:28" x14ac:dyDescent="0.25">
      <c r="Y573" s="340"/>
      <c r="Z573" s="340"/>
      <c r="AA573" s="340"/>
      <c r="AB573" s="340"/>
    </row>
    <row r="574" spans="25:28" x14ac:dyDescent="0.25">
      <c r="Y574" s="340"/>
      <c r="Z574" s="340"/>
      <c r="AA574" s="340"/>
      <c r="AB574" s="340"/>
    </row>
    <row r="575" spans="25:28" x14ac:dyDescent="0.25">
      <c r="Y575" s="340"/>
      <c r="Z575" s="340"/>
      <c r="AA575" s="340"/>
      <c r="AB575" s="340"/>
    </row>
    <row r="576" spans="25:28" x14ac:dyDescent="0.25">
      <c r="Y576" s="340"/>
      <c r="Z576" s="340"/>
      <c r="AA576" s="340"/>
      <c r="AB576" s="340"/>
    </row>
    <row r="577" spans="25:28" x14ac:dyDescent="0.25">
      <c r="Y577" s="340"/>
      <c r="Z577" s="340"/>
      <c r="AA577" s="340"/>
      <c r="AB577" s="340"/>
    </row>
    <row r="578" spans="25:28" x14ac:dyDescent="0.25">
      <c r="Y578" s="340"/>
      <c r="Z578" s="340"/>
      <c r="AA578" s="340"/>
      <c r="AB578" s="340"/>
    </row>
    <row r="579" spans="25:28" x14ac:dyDescent="0.25">
      <c r="Y579" s="340"/>
      <c r="Z579" s="340"/>
      <c r="AA579" s="340"/>
      <c r="AB579" s="340"/>
    </row>
    <row r="580" spans="25:28" x14ac:dyDescent="0.25">
      <c r="Y580" s="340"/>
      <c r="Z580" s="340"/>
      <c r="AA580" s="340"/>
      <c r="AB580" s="340"/>
    </row>
    <row r="581" spans="25:28" x14ac:dyDescent="0.25">
      <c r="Y581" s="340"/>
      <c r="Z581" s="340"/>
      <c r="AA581" s="340"/>
      <c r="AB581" s="340"/>
    </row>
    <row r="582" spans="25:28" x14ac:dyDescent="0.25">
      <c r="Y582" s="340"/>
      <c r="Z582" s="340"/>
      <c r="AA582" s="340"/>
      <c r="AB582" s="340"/>
    </row>
    <row r="583" spans="25:28" x14ac:dyDescent="0.25">
      <c r="Y583" s="340"/>
      <c r="Z583" s="340"/>
      <c r="AA583" s="340"/>
      <c r="AB583" s="340"/>
    </row>
    <row r="584" spans="25:28" x14ac:dyDescent="0.25">
      <c r="Y584" s="340"/>
      <c r="Z584" s="340"/>
      <c r="AA584" s="340"/>
      <c r="AB584" s="340"/>
    </row>
    <row r="585" spans="25:28" x14ac:dyDescent="0.25">
      <c r="Y585" s="340"/>
      <c r="Z585" s="340"/>
      <c r="AA585" s="340"/>
      <c r="AB585" s="340"/>
    </row>
    <row r="586" spans="25:28" x14ac:dyDescent="0.25">
      <c r="Y586" s="340"/>
      <c r="Z586" s="340"/>
      <c r="AA586" s="340"/>
      <c r="AB586" s="340"/>
    </row>
    <row r="587" spans="25:28" x14ac:dyDescent="0.25">
      <c r="Y587" s="340"/>
      <c r="Z587" s="340"/>
      <c r="AA587" s="340"/>
      <c r="AB587" s="340"/>
    </row>
    <row r="588" spans="25:28" x14ac:dyDescent="0.25">
      <c r="Y588" s="340"/>
      <c r="Z588" s="340"/>
      <c r="AA588" s="340"/>
      <c r="AB588" s="340"/>
    </row>
    <row r="589" spans="25:28" x14ac:dyDescent="0.25">
      <c r="Y589" s="340"/>
      <c r="Z589" s="340"/>
      <c r="AA589" s="340"/>
      <c r="AB589" s="340"/>
    </row>
    <row r="590" spans="25:28" x14ac:dyDescent="0.25">
      <c r="Y590" s="340"/>
      <c r="Z590" s="340"/>
      <c r="AA590" s="340"/>
      <c r="AB590" s="340"/>
    </row>
    <row r="591" spans="25:28" x14ac:dyDescent="0.25">
      <c r="Y591" s="340"/>
      <c r="Z591" s="340"/>
      <c r="AA591" s="340"/>
      <c r="AB591" s="340"/>
    </row>
    <row r="592" spans="25:28" x14ac:dyDescent="0.25">
      <c r="Y592" s="340"/>
      <c r="Z592" s="340"/>
      <c r="AA592" s="340"/>
      <c r="AB592" s="340"/>
    </row>
    <row r="593" spans="25:28" x14ac:dyDescent="0.25">
      <c r="Y593" s="340"/>
      <c r="Z593" s="340"/>
      <c r="AA593" s="340"/>
      <c r="AB593" s="340"/>
    </row>
    <row r="594" spans="25:28" x14ac:dyDescent="0.25">
      <c r="Y594" s="340"/>
      <c r="Z594" s="340"/>
      <c r="AA594" s="340"/>
      <c r="AB594" s="340"/>
    </row>
    <row r="595" spans="25:28" x14ac:dyDescent="0.25">
      <c r="Y595" s="340"/>
      <c r="Z595" s="340"/>
      <c r="AA595" s="340"/>
      <c r="AB595" s="340"/>
    </row>
    <row r="596" spans="25:28" x14ac:dyDescent="0.25">
      <c r="Y596" s="340"/>
      <c r="Z596" s="340"/>
      <c r="AA596" s="340"/>
      <c r="AB596" s="340"/>
    </row>
    <row r="597" spans="25:28" x14ac:dyDescent="0.25">
      <c r="Y597" s="340"/>
      <c r="Z597" s="340"/>
      <c r="AA597" s="340"/>
      <c r="AB597" s="340"/>
    </row>
    <row r="598" spans="25:28" x14ac:dyDescent="0.25">
      <c r="Y598" s="340"/>
      <c r="Z598" s="340"/>
      <c r="AA598" s="340"/>
      <c r="AB598" s="340"/>
    </row>
    <row r="599" spans="25:28" x14ac:dyDescent="0.25">
      <c r="Y599" s="340"/>
      <c r="Z599" s="340"/>
      <c r="AA599" s="340"/>
      <c r="AB599" s="340"/>
    </row>
    <row r="600" spans="25:28" x14ac:dyDescent="0.25">
      <c r="Y600" s="340"/>
      <c r="Z600" s="340"/>
      <c r="AA600" s="340"/>
      <c r="AB600" s="340"/>
    </row>
    <row r="601" spans="25:28" x14ac:dyDescent="0.25">
      <c r="Y601" s="340"/>
      <c r="Z601" s="340"/>
      <c r="AA601" s="340"/>
      <c r="AB601" s="340"/>
    </row>
    <row r="602" spans="25:28" x14ac:dyDescent="0.25">
      <c r="Y602" s="340"/>
      <c r="Z602" s="340"/>
      <c r="AA602" s="340"/>
      <c r="AB602" s="340"/>
    </row>
    <row r="603" spans="25:28" x14ac:dyDescent="0.25">
      <c r="Y603" s="340"/>
      <c r="Z603" s="340"/>
      <c r="AA603" s="340"/>
      <c r="AB603" s="340"/>
    </row>
    <row r="604" spans="25:28" x14ac:dyDescent="0.25">
      <c r="Y604" s="340"/>
      <c r="Z604" s="340"/>
      <c r="AA604" s="340"/>
      <c r="AB604" s="340"/>
    </row>
    <row r="605" spans="25:28" x14ac:dyDescent="0.25">
      <c r="Y605" s="340"/>
      <c r="Z605" s="340"/>
      <c r="AA605" s="340"/>
      <c r="AB605" s="340"/>
    </row>
    <row r="606" spans="25:28" x14ac:dyDescent="0.25">
      <c r="Y606" s="340"/>
      <c r="Z606" s="340"/>
      <c r="AA606" s="340"/>
      <c r="AB606" s="340"/>
    </row>
    <row r="607" spans="25:28" x14ac:dyDescent="0.25">
      <c r="Y607" s="340"/>
      <c r="Z607" s="340"/>
      <c r="AA607" s="340"/>
      <c r="AB607" s="340"/>
    </row>
    <row r="608" spans="25:28" x14ac:dyDescent="0.25">
      <c r="Y608" s="340"/>
      <c r="Z608" s="340"/>
      <c r="AA608" s="340"/>
      <c r="AB608" s="340"/>
    </row>
    <row r="609" spans="25:28" x14ac:dyDescent="0.25">
      <c r="Y609" s="340"/>
      <c r="Z609" s="340"/>
      <c r="AA609" s="340"/>
      <c r="AB609" s="340"/>
    </row>
    <row r="610" spans="25:28" x14ac:dyDescent="0.25">
      <c r="Y610" s="340"/>
      <c r="Z610" s="340"/>
      <c r="AA610" s="340"/>
      <c r="AB610" s="340"/>
    </row>
    <row r="611" spans="25:28" x14ac:dyDescent="0.25">
      <c r="Y611" s="340"/>
      <c r="Z611" s="340"/>
      <c r="AA611" s="340"/>
      <c r="AB611" s="340"/>
    </row>
    <row r="612" spans="25:28" x14ac:dyDescent="0.25">
      <c r="Y612" s="340"/>
      <c r="Z612" s="340"/>
      <c r="AA612" s="340"/>
      <c r="AB612" s="340"/>
    </row>
    <row r="613" spans="25:28" x14ac:dyDescent="0.25">
      <c r="Y613" s="340"/>
      <c r="Z613" s="340"/>
      <c r="AA613" s="340"/>
      <c r="AB613" s="340"/>
    </row>
    <row r="614" spans="25:28" x14ac:dyDescent="0.25">
      <c r="Y614" s="340"/>
      <c r="Z614" s="340"/>
      <c r="AA614" s="340"/>
      <c r="AB614" s="340"/>
    </row>
    <row r="615" spans="25:28" x14ac:dyDescent="0.25">
      <c r="Y615" s="340"/>
      <c r="Z615" s="340"/>
      <c r="AA615" s="340"/>
      <c r="AB615" s="340"/>
    </row>
    <row r="616" spans="25:28" x14ac:dyDescent="0.25">
      <c r="Y616" s="340"/>
      <c r="Z616" s="340"/>
      <c r="AA616" s="340"/>
      <c r="AB616" s="340"/>
    </row>
    <row r="617" spans="25:28" x14ac:dyDescent="0.25">
      <c r="Y617" s="340"/>
      <c r="Z617" s="340"/>
      <c r="AA617" s="340"/>
      <c r="AB617" s="340"/>
    </row>
    <row r="618" spans="25:28" x14ac:dyDescent="0.25">
      <c r="Y618" s="340"/>
      <c r="Z618" s="340"/>
      <c r="AA618" s="340"/>
      <c r="AB618" s="340"/>
    </row>
    <row r="619" spans="25:28" x14ac:dyDescent="0.25">
      <c r="Y619" s="340"/>
      <c r="Z619" s="340"/>
      <c r="AA619" s="340"/>
      <c r="AB619" s="340"/>
    </row>
    <row r="620" spans="25:28" x14ac:dyDescent="0.25">
      <c r="Y620" s="340"/>
      <c r="Z620" s="340"/>
      <c r="AA620" s="340"/>
      <c r="AB620" s="340"/>
    </row>
    <row r="621" spans="25:28" x14ac:dyDescent="0.25">
      <c r="Y621" s="340"/>
      <c r="Z621" s="340"/>
      <c r="AA621" s="340"/>
      <c r="AB621" s="340"/>
    </row>
    <row r="622" spans="25:28" x14ac:dyDescent="0.25">
      <c r="Y622" s="340"/>
      <c r="Z622" s="340"/>
      <c r="AA622" s="340"/>
      <c r="AB622" s="340"/>
    </row>
    <row r="623" spans="25:28" x14ac:dyDescent="0.25">
      <c r="Y623" s="340"/>
      <c r="Z623" s="340"/>
      <c r="AA623" s="340"/>
      <c r="AB623" s="340"/>
    </row>
    <row r="624" spans="25:28" x14ac:dyDescent="0.25">
      <c r="Y624" s="340"/>
      <c r="Z624" s="340"/>
      <c r="AA624" s="340"/>
      <c r="AB624" s="340"/>
    </row>
    <row r="625" spans="25:28" x14ac:dyDescent="0.25">
      <c r="Y625" s="340"/>
      <c r="Z625" s="340"/>
      <c r="AA625" s="340"/>
      <c r="AB625" s="340"/>
    </row>
    <row r="626" spans="25:28" x14ac:dyDescent="0.25">
      <c r="Y626" s="340"/>
      <c r="Z626" s="340"/>
      <c r="AA626" s="340"/>
      <c r="AB626" s="340"/>
    </row>
    <row r="627" spans="25:28" x14ac:dyDescent="0.25">
      <c r="Y627" s="340"/>
      <c r="Z627" s="340"/>
      <c r="AA627" s="340"/>
      <c r="AB627" s="340"/>
    </row>
    <row r="628" spans="25:28" x14ac:dyDescent="0.25">
      <c r="Y628" s="340"/>
      <c r="Z628" s="340"/>
      <c r="AA628" s="340"/>
      <c r="AB628" s="340"/>
    </row>
    <row r="629" spans="25:28" x14ac:dyDescent="0.25">
      <c r="Y629" s="340"/>
      <c r="Z629" s="340"/>
      <c r="AA629" s="340"/>
      <c r="AB629" s="340"/>
    </row>
    <row r="630" spans="25:28" x14ac:dyDescent="0.25">
      <c r="Y630" s="340"/>
      <c r="Z630" s="340"/>
      <c r="AA630" s="340"/>
      <c r="AB630" s="340"/>
    </row>
    <row r="631" spans="25:28" x14ac:dyDescent="0.25">
      <c r="Y631" s="340"/>
      <c r="Z631" s="340"/>
      <c r="AA631" s="340"/>
      <c r="AB631" s="340"/>
    </row>
    <row r="632" spans="25:28" x14ac:dyDescent="0.25">
      <c r="Y632" s="340"/>
      <c r="Z632" s="340"/>
      <c r="AA632" s="340"/>
      <c r="AB632" s="340"/>
    </row>
    <row r="633" spans="25:28" x14ac:dyDescent="0.25">
      <c r="Y633" s="340"/>
      <c r="Z633" s="340"/>
      <c r="AA633" s="340"/>
      <c r="AB633" s="340"/>
    </row>
    <row r="634" spans="25:28" x14ac:dyDescent="0.25">
      <c r="Y634" s="340"/>
      <c r="Z634" s="340"/>
      <c r="AA634" s="340"/>
      <c r="AB634" s="340"/>
    </row>
    <row r="635" spans="25:28" x14ac:dyDescent="0.25">
      <c r="Y635" s="340"/>
      <c r="Z635" s="340"/>
      <c r="AA635" s="340"/>
      <c r="AB635" s="340"/>
    </row>
    <row r="636" spans="25:28" x14ac:dyDescent="0.25">
      <c r="Y636" s="340"/>
      <c r="Z636" s="340"/>
      <c r="AA636" s="340"/>
      <c r="AB636" s="340"/>
    </row>
    <row r="637" spans="25:28" x14ac:dyDescent="0.25">
      <c r="Y637" s="340"/>
      <c r="Z637" s="340"/>
      <c r="AA637" s="340"/>
      <c r="AB637" s="340"/>
    </row>
    <row r="638" spans="25:28" x14ac:dyDescent="0.25">
      <c r="Y638" s="340"/>
      <c r="Z638" s="340"/>
      <c r="AA638" s="340"/>
      <c r="AB638" s="340"/>
    </row>
    <row r="639" spans="25:28" x14ac:dyDescent="0.25">
      <c r="Y639" s="340"/>
      <c r="Z639" s="340"/>
      <c r="AA639" s="340"/>
      <c r="AB639" s="340"/>
    </row>
    <row r="640" spans="25:28" x14ac:dyDescent="0.25">
      <c r="Y640" s="340"/>
      <c r="Z640" s="340"/>
      <c r="AA640" s="340"/>
      <c r="AB640" s="340"/>
    </row>
    <row r="641" spans="25:28" x14ac:dyDescent="0.25">
      <c r="Y641" s="340"/>
      <c r="Z641" s="340"/>
      <c r="AA641" s="340"/>
      <c r="AB641" s="340"/>
    </row>
    <row r="642" spans="25:28" x14ac:dyDescent="0.25">
      <c r="Y642" s="340"/>
      <c r="Z642" s="340"/>
      <c r="AA642" s="340"/>
      <c r="AB642" s="340"/>
    </row>
    <row r="643" spans="25:28" x14ac:dyDescent="0.25">
      <c r="Y643" s="340"/>
      <c r="Z643" s="340"/>
      <c r="AA643" s="340"/>
      <c r="AB643" s="340"/>
    </row>
    <row r="644" spans="25:28" x14ac:dyDescent="0.25">
      <c r="Y644" s="340"/>
      <c r="Z644" s="340"/>
      <c r="AA644" s="340"/>
      <c r="AB644" s="340"/>
    </row>
    <row r="645" spans="25:28" x14ac:dyDescent="0.25">
      <c r="Y645" s="340"/>
      <c r="Z645" s="340"/>
      <c r="AA645" s="340"/>
      <c r="AB645" s="340"/>
    </row>
    <row r="646" spans="25:28" x14ac:dyDescent="0.25">
      <c r="Y646" s="340"/>
      <c r="Z646" s="340"/>
      <c r="AA646" s="340"/>
      <c r="AB646" s="340"/>
    </row>
    <row r="647" spans="25:28" x14ac:dyDescent="0.25">
      <c r="Y647" s="340"/>
      <c r="Z647" s="340"/>
      <c r="AA647" s="340"/>
      <c r="AB647" s="340"/>
    </row>
    <row r="648" spans="25:28" x14ac:dyDescent="0.25">
      <c r="Y648" s="340"/>
      <c r="Z648" s="340"/>
      <c r="AA648" s="340"/>
      <c r="AB648" s="340"/>
    </row>
    <row r="649" spans="25:28" x14ac:dyDescent="0.25">
      <c r="Y649" s="340"/>
      <c r="Z649" s="340"/>
      <c r="AA649" s="340"/>
      <c r="AB649" s="340"/>
    </row>
    <row r="650" spans="25:28" x14ac:dyDescent="0.25">
      <c r="Y650" s="340"/>
      <c r="Z650" s="340"/>
      <c r="AA650" s="340"/>
      <c r="AB650" s="340"/>
    </row>
    <row r="651" spans="25:28" x14ac:dyDescent="0.25">
      <c r="Y651" s="340"/>
      <c r="Z651" s="340"/>
      <c r="AA651" s="340"/>
      <c r="AB651" s="340"/>
    </row>
    <row r="652" spans="25:28" x14ac:dyDescent="0.25">
      <c r="Y652" s="340"/>
      <c r="Z652" s="340"/>
      <c r="AA652" s="340"/>
      <c r="AB652" s="340"/>
    </row>
    <row r="653" spans="25:28" x14ac:dyDescent="0.25">
      <c r="Y653" s="340"/>
      <c r="Z653" s="340"/>
      <c r="AA653" s="340"/>
      <c r="AB653" s="340"/>
    </row>
    <row r="654" spans="25:28" x14ac:dyDescent="0.25">
      <c r="Y654" s="340"/>
      <c r="Z654" s="340"/>
      <c r="AA654" s="340"/>
      <c r="AB654" s="340"/>
    </row>
    <row r="655" spans="25:28" x14ac:dyDescent="0.25">
      <c r="Y655" s="340"/>
      <c r="Z655" s="340"/>
      <c r="AA655" s="340"/>
      <c r="AB655" s="340"/>
    </row>
    <row r="656" spans="25:28" x14ac:dyDescent="0.25">
      <c r="Y656" s="340"/>
      <c r="Z656" s="340"/>
      <c r="AA656" s="340"/>
      <c r="AB656" s="340"/>
    </row>
    <row r="657" spans="25:28" x14ac:dyDescent="0.25">
      <c r="Y657" s="340"/>
      <c r="Z657" s="340"/>
      <c r="AA657" s="340"/>
      <c r="AB657" s="340"/>
    </row>
    <row r="658" spans="25:28" x14ac:dyDescent="0.25">
      <c r="Y658" s="340"/>
      <c r="Z658" s="340"/>
      <c r="AA658" s="340"/>
      <c r="AB658" s="340"/>
    </row>
    <row r="659" spans="25:28" x14ac:dyDescent="0.25">
      <c r="Y659" s="340"/>
      <c r="Z659" s="340"/>
      <c r="AA659" s="340"/>
      <c r="AB659" s="340"/>
    </row>
    <row r="660" spans="25:28" x14ac:dyDescent="0.25">
      <c r="Y660" s="340"/>
      <c r="Z660" s="340"/>
      <c r="AA660" s="340"/>
      <c r="AB660" s="340"/>
    </row>
    <row r="661" spans="25:28" x14ac:dyDescent="0.25">
      <c r="Y661" s="340"/>
      <c r="Z661" s="340"/>
      <c r="AA661" s="340"/>
      <c r="AB661" s="340"/>
    </row>
    <row r="662" spans="25:28" x14ac:dyDescent="0.25">
      <c r="Y662" s="340"/>
      <c r="Z662" s="340"/>
      <c r="AA662" s="340"/>
      <c r="AB662" s="340"/>
    </row>
    <row r="663" spans="25:28" x14ac:dyDescent="0.25">
      <c r="Y663" s="340"/>
      <c r="Z663" s="340"/>
      <c r="AA663" s="340"/>
      <c r="AB663" s="340"/>
    </row>
    <row r="664" spans="25:28" x14ac:dyDescent="0.25">
      <c r="Y664" s="340"/>
      <c r="Z664" s="340"/>
      <c r="AA664" s="340"/>
      <c r="AB664" s="340"/>
    </row>
    <row r="665" spans="25:28" x14ac:dyDescent="0.25">
      <c r="Y665" s="340"/>
      <c r="Z665" s="340"/>
      <c r="AA665" s="340"/>
      <c r="AB665" s="340"/>
    </row>
    <row r="666" spans="25:28" x14ac:dyDescent="0.25">
      <c r="Y666" s="340"/>
      <c r="Z666" s="340"/>
      <c r="AA666" s="340"/>
      <c r="AB666" s="340"/>
    </row>
    <row r="667" spans="25:28" x14ac:dyDescent="0.25">
      <c r="Y667" s="340"/>
      <c r="Z667" s="340"/>
      <c r="AA667" s="340"/>
      <c r="AB667" s="340"/>
    </row>
    <row r="668" spans="25:28" x14ac:dyDescent="0.25">
      <c r="Y668" s="340"/>
      <c r="Z668" s="340"/>
      <c r="AA668" s="340"/>
      <c r="AB668" s="340"/>
    </row>
    <row r="669" spans="25:28" x14ac:dyDescent="0.25">
      <c r="Y669" s="340"/>
      <c r="Z669" s="340"/>
      <c r="AA669" s="340"/>
      <c r="AB669" s="340"/>
    </row>
    <row r="670" spans="25:28" x14ac:dyDescent="0.25">
      <c r="Y670" s="340"/>
      <c r="Z670" s="340"/>
      <c r="AA670" s="340"/>
      <c r="AB670" s="340"/>
    </row>
    <row r="671" spans="25:28" x14ac:dyDescent="0.25">
      <c r="Y671" s="340"/>
      <c r="Z671" s="340"/>
      <c r="AA671" s="340"/>
      <c r="AB671" s="340"/>
    </row>
    <row r="672" spans="25:28" x14ac:dyDescent="0.25">
      <c r="Y672" s="340"/>
      <c r="Z672" s="340"/>
      <c r="AA672" s="340"/>
      <c r="AB672" s="340"/>
    </row>
    <row r="673" spans="25:28" x14ac:dyDescent="0.25">
      <c r="Y673" s="340"/>
      <c r="Z673" s="340"/>
      <c r="AA673" s="340"/>
      <c r="AB673" s="340"/>
    </row>
    <row r="674" spans="25:28" x14ac:dyDescent="0.25">
      <c r="Y674" s="340"/>
      <c r="Z674" s="340"/>
      <c r="AA674" s="340"/>
      <c r="AB674" s="340"/>
    </row>
    <row r="675" spans="25:28" x14ac:dyDescent="0.25">
      <c r="Y675" s="340"/>
      <c r="Z675" s="340"/>
      <c r="AA675" s="340"/>
      <c r="AB675" s="340"/>
    </row>
    <row r="676" spans="25:28" x14ac:dyDescent="0.25">
      <c r="Y676" s="340"/>
      <c r="Z676" s="340"/>
      <c r="AA676" s="340"/>
      <c r="AB676" s="340"/>
    </row>
    <row r="677" spans="25:28" x14ac:dyDescent="0.25">
      <c r="Y677" s="340"/>
      <c r="Z677" s="340"/>
      <c r="AA677" s="340"/>
      <c r="AB677" s="340"/>
    </row>
    <row r="678" spans="25:28" x14ac:dyDescent="0.25">
      <c r="Y678" s="340"/>
      <c r="Z678" s="340"/>
      <c r="AA678" s="340"/>
      <c r="AB678" s="340"/>
    </row>
    <row r="679" spans="25:28" x14ac:dyDescent="0.25">
      <c r="Y679" s="340"/>
      <c r="Z679" s="340"/>
      <c r="AA679" s="340"/>
      <c r="AB679" s="340"/>
    </row>
    <row r="680" spans="25:28" x14ac:dyDescent="0.25">
      <c r="Y680" s="340"/>
      <c r="Z680" s="340"/>
      <c r="AA680" s="340"/>
      <c r="AB680" s="340"/>
    </row>
    <row r="681" spans="25:28" x14ac:dyDescent="0.25">
      <c r="Y681" s="340"/>
      <c r="Z681" s="340"/>
      <c r="AA681" s="340"/>
      <c r="AB681" s="340"/>
    </row>
    <row r="682" spans="25:28" x14ac:dyDescent="0.25">
      <c r="Y682" s="340"/>
      <c r="Z682" s="340"/>
      <c r="AA682" s="340"/>
      <c r="AB682" s="340"/>
    </row>
    <row r="683" spans="25:28" x14ac:dyDescent="0.25">
      <c r="Y683" s="340"/>
      <c r="Z683" s="340"/>
      <c r="AA683" s="340"/>
      <c r="AB683" s="340"/>
    </row>
    <row r="684" spans="25:28" x14ac:dyDescent="0.25">
      <c r="Y684" s="340"/>
      <c r="Z684" s="340"/>
      <c r="AA684" s="340"/>
      <c r="AB684" s="340"/>
    </row>
    <row r="685" spans="25:28" x14ac:dyDescent="0.25">
      <c r="Y685" s="340"/>
      <c r="Z685" s="340"/>
      <c r="AA685" s="340"/>
      <c r="AB685" s="340"/>
    </row>
    <row r="686" spans="25:28" x14ac:dyDescent="0.25">
      <c r="Y686" s="340"/>
      <c r="Z686" s="340"/>
      <c r="AA686" s="340"/>
      <c r="AB686" s="340"/>
    </row>
    <row r="687" spans="25:28" x14ac:dyDescent="0.25">
      <c r="Y687" s="340"/>
      <c r="Z687" s="340"/>
      <c r="AA687" s="340"/>
      <c r="AB687" s="340"/>
    </row>
    <row r="688" spans="25:28" x14ac:dyDescent="0.25">
      <c r="Y688" s="340"/>
      <c r="Z688" s="340"/>
      <c r="AA688" s="340"/>
      <c r="AB688" s="340"/>
    </row>
    <row r="689" spans="25:28" x14ac:dyDescent="0.25">
      <c r="Y689" s="340"/>
      <c r="Z689" s="340"/>
      <c r="AA689" s="340"/>
      <c r="AB689" s="340"/>
    </row>
    <row r="690" spans="25:28" x14ac:dyDescent="0.25">
      <c r="Y690" s="340"/>
      <c r="Z690" s="340"/>
      <c r="AA690" s="340"/>
      <c r="AB690" s="340"/>
    </row>
    <row r="691" spans="25:28" x14ac:dyDescent="0.25">
      <c r="Y691" s="340"/>
      <c r="Z691" s="340"/>
      <c r="AA691" s="340"/>
      <c r="AB691" s="340"/>
    </row>
    <row r="692" spans="25:28" x14ac:dyDescent="0.25">
      <c r="Y692" s="340"/>
      <c r="Z692" s="340"/>
      <c r="AA692" s="340"/>
      <c r="AB692" s="340"/>
    </row>
    <row r="693" spans="25:28" x14ac:dyDescent="0.25">
      <c r="Y693" s="340"/>
      <c r="Z693" s="340"/>
      <c r="AA693" s="340"/>
      <c r="AB693" s="340"/>
    </row>
    <row r="694" spans="25:28" x14ac:dyDescent="0.25">
      <c r="Y694" s="340"/>
      <c r="Z694" s="340"/>
      <c r="AA694" s="340"/>
      <c r="AB694" s="340"/>
    </row>
    <row r="695" spans="25:28" x14ac:dyDescent="0.25">
      <c r="Y695" s="340"/>
      <c r="Z695" s="340"/>
      <c r="AA695" s="340"/>
      <c r="AB695" s="340"/>
    </row>
    <row r="696" spans="25:28" x14ac:dyDescent="0.25">
      <c r="Y696" s="340"/>
      <c r="Z696" s="340"/>
      <c r="AA696" s="340"/>
      <c r="AB696" s="340"/>
    </row>
    <row r="697" spans="25:28" x14ac:dyDescent="0.25">
      <c r="Y697" s="340"/>
      <c r="Z697" s="340"/>
      <c r="AA697" s="340"/>
      <c r="AB697" s="340"/>
    </row>
    <row r="698" spans="25:28" x14ac:dyDescent="0.25">
      <c r="Y698" s="340"/>
      <c r="Z698" s="340"/>
      <c r="AA698" s="340"/>
      <c r="AB698" s="340"/>
    </row>
    <row r="699" spans="25:28" x14ac:dyDescent="0.25">
      <c r="Y699" s="340"/>
      <c r="Z699" s="340"/>
      <c r="AA699" s="340"/>
      <c r="AB699" s="340"/>
    </row>
    <row r="700" spans="25:28" x14ac:dyDescent="0.25">
      <c r="Y700" s="340"/>
      <c r="Z700" s="340"/>
      <c r="AA700" s="340"/>
      <c r="AB700" s="340"/>
    </row>
    <row r="701" spans="25:28" x14ac:dyDescent="0.25">
      <c r="Y701" s="340"/>
      <c r="Z701" s="340"/>
      <c r="AA701" s="340"/>
      <c r="AB701" s="340"/>
    </row>
    <row r="702" spans="25:28" x14ac:dyDescent="0.25">
      <c r="Y702" s="340"/>
      <c r="Z702" s="340"/>
      <c r="AA702" s="340"/>
      <c r="AB702" s="340"/>
    </row>
    <row r="703" spans="25:28" x14ac:dyDescent="0.25">
      <c r="Y703" s="340"/>
      <c r="Z703" s="340"/>
      <c r="AA703" s="340"/>
      <c r="AB703" s="340"/>
    </row>
    <row r="704" spans="25:28" x14ac:dyDescent="0.25">
      <c r="Y704" s="340"/>
      <c r="Z704" s="340"/>
      <c r="AA704" s="340"/>
      <c r="AB704" s="340"/>
    </row>
    <row r="705" spans="25:28" x14ac:dyDescent="0.25">
      <c r="Y705" s="340"/>
      <c r="Z705" s="340"/>
      <c r="AA705" s="340"/>
      <c r="AB705" s="340"/>
    </row>
    <row r="706" spans="25:28" x14ac:dyDescent="0.25">
      <c r="Y706" s="340"/>
      <c r="Z706" s="340"/>
      <c r="AA706" s="340"/>
      <c r="AB706" s="340"/>
    </row>
    <row r="707" spans="25:28" x14ac:dyDescent="0.25">
      <c r="Y707" s="340"/>
      <c r="Z707" s="340"/>
      <c r="AA707" s="340"/>
      <c r="AB707" s="340"/>
    </row>
    <row r="708" spans="25:28" x14ac:dyDescent="0.25">
      <c r="Y708" s="340"/>
      <c r="Z708" s="340"/>
      <c r="AA708" s="340"/>
      <c r="AB708" s="340"/>
    </row>
    <row r="709" spans="25:28" x14ac:dyDescent="0.25">
      <c r="Y709" s="340"/>
      <c r="Z709" s="340"/>
      <c r="AA709" s="340"/>
      <c r="AB709" s="340"/>
    </row>
    <row r="710" spans="25:28" x14ac:dyDescent="0.25">
      <c r="Y710" s="340"/>
      <c r="Z710" s="340"/>
      <c r="AA710" s="340"/>
      <c r="AB710" s="340"/>
    </row>
    <row r="711" spans="25:28" x14ac:dyDescent="0.25">
      <c r="Y711" s="340"/>
      <c r="Z711" s="340"/>
      <c r="AA711" s="340"/>
      <c r="AB711" s="340"/>
    </row>
    <row r="712" spans="25:28" x14ac:dyDescent="0.25">
      <c r="Y712" s="340"/>
      <c r="Z712" s="340"/>
      <c r="AA712" s="340"/>
      <c r="AB712" s="340"/>
    </row>
    <row r="713" spans="25:28" x14ac:dyDescent="0.25">
      <c r="Y713" s="340"/>
      <c r="Z713" s="340"/>
      <c r="AA713" s="340"/>
      <c r="AB713" s="340"/>
    </row>
    <row r="714" spans="25:28" x14ac:dyDescent="0.25">
      <c r="Y714" s="340"/>
      <c r="Z714" s="340"/>
      <c r="AA714" s="340"/>
      <c r="AB714" s="340"/>
    </row>
    <row r="715" spans="25:28" x14ac:dyDescent="0.25">
      <c r="Y715" s="340"/>
      <c r="Z715" s="340"/>
      <c r="AA715" s="340"/>
      <c r="AB715" s="340"/>
    </row>
    <row r="716" spans="25:28" x14ac:dyDescent="0.25">
      <c r="Y716" s="340"/>
      <c r="Z716" s="340"/>
      <c r="AA716" s="340"/>
      <c r="AB716" s="340"/>
    </row>
    <row r="717" spans="25:28" x14ac:dyDescent="0.25">
      <c r="Y717" s="340"/>
      <c r="Z717" s="340"/>
      <c r="AA717" s="340"/>
      <c r="AB717" s="340"/>
    </row>
    <row r="718" spans="25:28" x14ac:dyDescent="0.25">
      <c r="Y718" s="340"/>
      <c r="Z718" s="340"/>
      <c r="AA718" s="340"/>
      <c r="AB718" s="340"/>
    </row>
    <row r="719" spans="25:28" x14ac:dyDescent="0.25">
      <c r="Y719" s="340"/>
      <c r="Z719" s="340"/>
      <c r="AA719" s="340"/>
      <c r="AB719" s="340"/>
    </row>
    <row r="720" spans="25:28" x14ac:dyDescent="0.25">
      <c r="Y720" s="340"/>
      <c r="Z720" s="340"/>
      <c r="AA720" s="340"/>
      <c r="AB720" s="340"/>
    </row>
    <row r="721" spans="25:28" x14ac:dyDescent="0.25">
      <c r="Y721" s="340"/>
      <c r="Z721" s="340"/>
      <c r="AA721" s="340"/>
      <c r="AB721" s="340"/>
    </row>
    <row r="722" spans="25:28" x14ac:dyDescent="0.25">
      <c r="Y722" s="340"/>
      <c r="Z722" s="340"/>
      <c r="AA722" s="340"/>
      <c r="AB722" s="340"/>
    </row>
    <row r="723" spans="25:28" x14ac:dyDescent="0.25">
      <c r="Y723" s="340"/>
      <c r="Z723" s="340"/>
      <c r="AA723" s="340"/>
      <c r="AB723" s="340"/>
    </row>
    <row r="724" spans="25:28" x14ac:dyDescent="0.25">
      <c r="Y724" s="340"/>
      <c r="Z724" s="340"/>
      <c r="AA724" s="340"/>
      <c r="AB724" s="340"/>
    </row>
    <row r="725" spans="25:28" x14ac:dyDescent="0.25">
      <c r="Y725" s="340"/>
      <c r="Z725" s="340"/>
      <c r="AA725" s="340"/>
      <c r="AB725" s="340"/>
    </row>
    <row r="726" spans="25:28" x14ac:dyDescent="0.25">
      <c r="Y726" s="340"/>
      <c r="Z726" s="340"/>
      <c r="AA726" s="340"/>
      <c r="AB726" s="340"/>
    </row>
    <row r="727" spans="25:28" x14ac:dyDescent="0.25">
      <c r="Y727" s="340"/>
      <c r="Z727" s="340"/>
      <c r="AA727" s="340"/>
      <c r="AB727" s="340"/>
    </row>
    <row r="728" spans="25:28" x14ac:dyDescent="0.25">
      <c r="Y728" s="340"/>
      <c r="Z728" s="340"/>
      <c r="AA728" s="340"/>
      <c r="AB728" s="340"/>
    </row>
    <row r="729" spans="25:28" x14ac:dyDescent="0.25">
      <c r="Y729" s="340"/>
      <c r="Z729" s="340"/>
      <c r="AA729" s="340"/>
      <c r="AB729" s="340"/>
    </row>
    <row r="730" spans="25:28" x14ac:dyDescent="0.25">
      <c r="Y730" s="340"/>
      <c r="Z730" s="340"/>
      <c r="AA730" s="340"/>
      <c r="AB730" s="340"/>
    </row>
    <row r="731" spans="25:28" x14ac:dyDescent="0.25">
      <c r="Y731" s="340"/>
      <c r="Z731" s="340"/>
      <c r="AA731" s="340"/>
      <c r="AB731" s="340"/>
    </row>
    <row r="732" spans="25:28" x14ac:dyDescent="0.25">
      <c r="Y732" s="340"/>
      <c r="Z732" s="340"/>
      <c r="AA732" s="340"/>
      <c r="AB732" s="340"/>
    </row>
    <row r="733" spans="25:28" x14ac:dyDescent="0.25">
      <c r="Y733" s="340"/>
      <c r="Z733" s="340"/>
      <c r="AA733" s="340"/>
      <c r="AB733" s="340"/>
    </row>
    <row r="734" spans="25:28" x14ac:dyDescent="0.25">
      <c r="Y734" s="340"/>
      <c r="Z734" s="340"/>
      <c r="AA734" s="340"/>
      <c r="AB734" s="340"/>
    </row>
    <row r="735" spans="25:28" x14ac:dyDescent="0.25">
      <c r="Y735" s="340"/>
      <c r="Z735" s="340"/>
      <c r="AA735" s="340"/>
      <c r="AB735" s="340"/>
    </row>
    <row r="736" spans="25:28" x14ac:dyDescent="0.25">
      <c r="Y736" s="340"/>
      <c r="Z736" s="340"/>
      <c r="AA736" s="340"/>
      <c r="AB736" s="340"/>
    </row>
    <row r="737" spans="25:28" x14ac:dyDescent="0.25">
      <c r="Y737" s="340"/>
      <c r="Z737" s="340"/>
      <c r="AA737" s="340"/>
      <c r="AB737" s="340"/>
    </row>
    <row r="738" spans="25:28" x14ac:dyDescent="0.25">
      <c r="Y738" s="340"/>
      <c r="Z738" s="340"/>
      <c r="AA738" s="340"/>
      <c r="AB738" s="340"/>
    </row>
    <row r="739" spans="25:28" x14ac:dyDescent="0.25">
      <c r="Y739" s="340"/>
      <c r="Z739" s="340"/>
      <c r="AA739" s="340"/>
      <c r="AB739" s="340"/>
    </row>
    <row r="740" spans="25:28" x14ac:dyDescent="0.25">
      <c r="Y740" s="340"/>
      <c r="Z740" s="340"/>
      <c r="AA740" s="340"/>
      <c r="AB740" s="340"/>
    </row>
    <row r="741" spans="25:28" x14ac:dyDescent="0.25">
      <c r="Y741" s="340"/>
      <c r="Z741" s="340"/>
      <c r="AA741" s="340"/>
      <c r="AB741" s="340"/>
    </row>
    <row r="742" spans="25:28" x14ac:dyDescent="0.25">
      <c r="Y742" s="340"/>
      <c r="Z742" s="340"/>
      <c r="AA742" s="340"/>
      <c r="AB742" s="340"/>
    </row>
    <row r="743" spans="25:28" x14ac:dyDescent="0.25">
      <c r="Y743" s="340"/>
      <c r="Z743" s="340"/>
      <c r="AA743" s="340"/>
      <c r="AB743" s="340"/>
    </row>
    <row r="744" spans="25:28" x14ac:dyDescent="0.25">
      <c r="Y744" s="340"/>
      <c r="Z744" s="340"/>
      <c r="AA744" s="340"/>
      <c r="AB744" s="340"/>
    </row>
    <row r="745" spans="25:28" x14ac:dyDescent="0.25">
      <c r="Y745" s="340"/>
      <c r="Z745" s="340"/>
      <c r="AA745" s="340"/>
      <c r="AB745" s="340"/>
    </row>
    <row r="746" spans="25:28" x14ac:dyDescent="0.25">
      <c r="Y746" s="340"/>
      <c r="Z746" s="340"/>
      <c r="AA746" s="340"/>
      <c r="AB746" s="340"/>
    </row>
    <row r="747" spans="25:28" x14ac:dyDescent="0.25">
      <c r="Y747" s="340"/>
      <c r="Z747" s="340"/>
      <c r="AA747" s="340"/>
      <c r="AB747" s="340"/>
    </row>
    <row r="748" spans="25:28" x14ac:dyDescent="0.25">
      <c r="Y748" s="340"/>
      <c r="Z748" s="340"/>
      <c r="AA748" s="340"/>
      <c r="AB748" s="340"/>
    </row>
    <row r="749" spans="25:28" x14ac:dyDescent="0.25">
      <c r="Y749" s="340"/>
      <c r="Z749" s="340"/>
      <c r="AA749" s="340"/>
      <c r="AB749" s="340"/>
    </row>
    <row r="750" spans="25:28" x14ac:dyDescent="0.25">
      <c r="Y750" s="340"/>
      <c r="Z750" s="340"/>
      <c r="AA750" s="340"/>
      <c r="AB750" s="340"/>
    </row>
    <row r="751" spans="25:28" x14ac:dyDescent="0.25">
      <c r="Y751" s="340"/>
      <c r="Z751" s="340"/>
      <c r="AA751" s="340"/>
      <c r="AB751" s="340"/>
    </row>
    <row r="752" spans="25:28" x14ac:dyDescent="0.25">
      <c r="Y752" s="340"/>
      <c r="Z752" s="340"/>
      <c r="AA752" s="340"/>
      <c r="AB752" s="340"/>
    </row>
    <row r="753" spans="25:28" x14ac:dyDescent="0.25">
      <c r="Y753" s="340"/>
      <c r="Z753" s="340"/>
      <c r="AA753" s="340"/>
      <c r="AB753" s="340"/>
    </row>
    <row r="754" spans="25:28" x14ac:dyDescent="0.25">
      <c r="Y754" s="340"/>
      <c r="Z754" s="340"/>
      <c r="AA754" s="340"/>
      <c r="AB754" s="340"/>
    </row>
    <row r="755" spans="25:28" x14ac:dyDescent="0.25">
      <c r="Y755" s="340"/>
      <c r="Z755" s="340"/>
      <c r="AA755" s="340"/>
      <c r="AB755" s="340"/>
    </row>
    <row r="756" spans="25:28" x14ac:dyDescent="0.25">
      <c r="Y756" s="340"/>
      <c r="Z756" s="340"/>
      <c r="AA756" s="340"/>
      <c r="AB756" s="340"/>
    </row>
    <row r="757" spans="25:28" x14ac:dyDescent="0.25">
      <c r="Y757" s="340"/>
      <c r="Z757" s="340"/>
      <c r="AA757" s="340"/>
      <c r="AB757" s="340"/>
    </row>
    <row r="758" spans="25:28" x14ac:dyDescent="0.25">
      <c r="Y758" s="340"/>
      <c r="Z758" s="340"/>
      <c r="AA758" s="340"/>
      <c r="AB758" s="340"/>
    </row>
    <row r="759" spans="25:28" x14ac:dyDescent="0.25">
      <c r="Y759" s="340"/>
      <c r="Z759" s="340"/>
      <c r="AA759" s="340"/>
      <c r="AB759" s="340"/>
    </row>
    <row r="760" spans="25:28" x14ac:dyDescent="0.25">
      <c r="Y760" s="340"/>
      <c r="Z760" s="340"/>
      <c r="AA760" s="340"/>
      <c r="AB760" s="340"/>
    </row>
    <row r="761" spans="25:28" x14ac:dyDescent="0.25">
      <c r="Y761" s="340"/>
      <c r="Z761" s="340"/>
      <c r="AA761" s="340"/>
      <c r="AB761" s="340"/>
    </row>
    <row r="762" spans="25:28" x14ac:dyDescent="0.25">
      <c r="Y762" s="340"/>
      <c r="Z762" s="340"/>
      <c r="AA762" s="340"/>
      <c r="AB762" s="340"/>
    </row>
    <row r="763" spans="25:28" x14ac:dyDescent="0.25">
      <c r="Y763" s="340"/>
      <c r="Z763" s="340"/>
      <c r="AA763" s="340"/>
      <c r="AB763" s="340"/>
    </row>
    <row r="764" spans="25:28" x14ac:dyDescent="0.25">
      <c r="Y764" s="340"/>
      <c r="Z764" s="340"/>
      <c r="AA764" s="340"/>
      <c r="AB764" s="340"/>
    </row>
    <row r="765" spans="25:28" x14ac:dyDescent="0.25">
      <c r="Y765" s="340"/>
      <c r="Z765" s="340"/>
      <c r="AA765" s="340"/>
      <c r="AB765" s="340"/>
    </row>
    <row r="766" spans="25:28" x14ac:dyDescent="0.25">
      <c r="Y766" s="340"/>
      <c r="Z766" s="340"/>
      <c r="AA766" s="340"/>
      <c r="AB766" s="340"/>
    </row>
    <row r="767" spans="25:28" x14ac:dyDescent="0.25">
      <c r="Y767" s="340"/>
      <c r="Z767" s="340"/>
      <c r="AA767" s="340"/>
      <c r="AB767" s="340"/>
    </row>
    <row r="768" spans="25:28" x14ac:dyDescent="0.25">
      <c r="Y768" s="340"/>
      <c r="Z768" s="340"/>
      <c r="AA768" s="340"/>
      <c r="AB768" s="340"/>
    </row>
    <row r="769" spans="25:28" x14ac:dyDescent="0.25">
      <c r="Y769" s="340"/>
      <c r="Z769" s="340"/>
      <c r="AA769" s="340"/>
      <c r="AB769" s="340"/>
    </row>
    <row r="770" spans="25:28" x14ac:dyDescent="0.25">
      <c r="Y770" s="340"/>
      <c r="Z770" s="340"/>
      <c r="AA770" s="340"/>
      <c r="AB770" s="340"/>
    </row>
    <row r="771" spans="25:28" x14ac:dyDescent="0.25">
      <c r="Y771" s="340"/>
      <c r="Z771" s="340"/>
      <c r="AA771" s="340"/>
      <c r="AB771" s="340"/>
    </row>
    <row r="772" spans="25:28" x14ac:dyDescent="0.25">
      <c r="Y772" s="340"/>
      <c r="Z772" s="340"/>
      <c r="AA772" s="340"/>
      <c r="AB772" s="340"/>
    </row>
    <row r="773" spans="25:28" x14ac:dyDescent="0.25">
      <c r="Y773" s="340"/>
      <c r="Z773" s="340"/>
      <c r="AA773" s="340"/>
      <c r="AB773" s="340"/>
    </row>
    <row r="774" spans="25:28" x14ac:dyDescent="0.25">
      <c r="Y774" s="340"/>
      <c r="Z774" s="340"/>
      <c r="AA774" s="340"/>
      <c r="AB774" s="340"/>
    </row>
    <row r="775" spans="25:28" x14ac:dyDescent="0.25">
      <c r="Y775" s="340"/>
      <c r="Z775" s="340"/>
      <c r="AA775" s="340"/>
      <c r="AB775" s="340"/>
    </row>
    <row r="776" spans="25:28" x14ac:dyDescent="0.25">
      <c r="Y776" s="340"/>
      <c r="Z776" s="340"/>
      <c r="AA776" s="340"/>
      <c r="AB776" s="340"/>
    </row>
    <row r="777" spans="25:28" x14ac:dyDescent="0.25">
      <c r="Y777" s="340"/>
      <c r="Z777" s="340"/>
      <c r="AA777" s="340"/>
      <c r="AB777" s="340"/>
    </row>
    <row r="778" spans="25:28" x14ac:dyDescent="0.25">
      <c r="Y778" s="340"/>
      <c r="Z778" s="340"/>
      <c r="AA778" s="340"/>
      <c r="AB778" s="340"/>
    </row>
    <row r="779" spans="25:28" x14ac:dyDescent="0.25">
      <c r="Y779" s="340"/>
      <c r="Z779" s="340"/>
      <c r="AA779" s="340"/>
      <c r="AB779" s="340"/>
    </row>
    <row r="780" spans="25:28" x14ac:dyDescent="0.25">
      <c r="Y780" s="340"/>
      <c r="Z780" s="340"/>
      <c r="AA780" s="340"/>
      <c r="AB780" s="340"/>
    </row>
    <row r="781" spans="25:28" x14ac:dyDescent="0.25">
      <c r="Y781" s="340"/>
      <c r="Z781" s="340"/>
      <c r="AA781" s="340"/>
      <c r="AB781" s="340"/>
    </row>
    <row r="782" spans="25:28" x14ac:dyDescent="0.25">
      <c r="Y782" s="340"/>
      <c r="Z782" s="340"/>
      <c r="AA782" s="340"/>
      <c r="AB782" s="340"/>
    </row>
    <row r="783" spans="25:28" x14ac:dyDescent="0.25">
      <c r="Y783" s="340"/>
      <c r="Z783" s="340"/>
      <c r="AA783" s="340"/>
      <c r="AB783" s="340"/>
    </row>
    <row r="784" spans="25:28" x14ac:dyDescent="0.25">
      <c r="Y784" s="340"/>
      <c r="Z784" s="340"/>
      <c r="AA784" s="340"/>
      <c r="AB784" s="340"/>
    </row>
    <row r="785" spans="25:28" x14ac:dyDescent="0.25">
      <c r="Y785" s="340"/>
      <c r="Z785" s="340"/>
      <c r="AA785" s="340"/>
      <c r="AB785" s="340"/>
    </row>
    <row r="786" spans="25:28" x14ac:dyDescent="0.25">
      <c r="Y786" s="340"/>
      <c r="Z786" s="340"/>
      <c r="AA786" s="340"/>
      <c r="AB786" s="340"/>
    </row>
    <row r="787" spans="25:28" x14ac:dyDescent="0.25">
      <c r="Y787" s="340"/>
      <c r="Z787" s="340"/>
      <c r="AA787" s="340"/>
      <c r="AB787" s="340"/>
    </row>
    <row r="788" spans="25:28" x14ac:dyDescent="0.25">
      <c r="Y788" s="340"/>
      <c r="Z788" s="340"/>
      <c r="AA788" s="340"/>
      <c r="AB788" s="340"/>
    </row>
    <row r="789" spans="25:28" x14ac:dyDescent="0.25">
      <c r="Y789" s="340"/>
      <c r="Z789" s="340"/>
      <c r="AA789" s="340"/>
      <c r="AB789" s="340"/>
    </row>
    <row r="790" spans="25:28" x14ac:dyDescent="0.25">
      <c r="Y790" s="340"/>
      <c r="Z790" s="340"/>
      <c r="AA790" s="340"/>
      <c r="AB790" s="340"/>
    </row>
    <row r="791" spans="25:28" x14ac:dyDescent="0.25">
      <c r="Y791" s="340"/>
      <c r="Z791" s="340"/>
      <c r="AA791" s="340"/>
      <c r="AB791" s="340"/>
    </row>
    <row r="792" spans="25:28" x14ac:dyDescent="0.25">
      <c r="Y792" s="340"/>
      <c r="Z792" s="340"/>
      <c r="AA792" s="340"/>
      <c r="AB792" s="340"/>
    </row>
    <row r="793" spans="25:28" x14ac:dyDescent="0.25">
      <c r="Y793" s="340"/>
      <c r="Z793" s="340"/>
      <c r="AA793" s="340"/>
      <c r="AB793" s="340"/>
    </row>
    <row r="794" spans="25:28" x14ac:dyDescent="0.25">
      <c r="Y794" s="340"/>
      <c r="Z794" s="340"/>
      <c r="AA794" s="340"/>
      <c r="AB794" s="340"/>
    </row>
    <row r="795" spans="25:28" x14ac:dyDescent="0.25">
      <c r="Y795" s="340"/>
      <c r="Z795" s="340"/>
      <c r="AA795" s="340"/>
      <c r="AB795" s="340"/>
    </row>
    <row r="796" spans="25:28" x14ac:dyDescent="0.25">
      <c r="Y796" s="340"/>
      <c r="Z796" s="340"/>
      <c r="AA796" s="340"/>
      <c r="AB796" s="340"/>
    </row>
    <row r="797" spans="25:28" x14ac:dyDescent="0.25">
      <c r="Y797" s="340"/>
      <c r="Z797" s="340"/>
      <c r="AA797" s="340"/>
      <c r="AB797" s="340"/>
    </row>
    <row r="798" spans="25:28" x14ac:dyDescent="0.25">
      <c r="Y798" s="340"/>
      <c r="Z798" s="340"/>
      <c r="AA798" s="340"/>
      <c r="AB798" s="340"/>
    </row>
    <row r="799" spans="25:28" x14ac:dyDescent="0.25">
      <c r="Y799" s="340"/>
      <c r="Z799" s="340"/>
      <c r="AA799" s="340"/>
      <c r="AB799" s="340"/>
    </row>
    <row r="800" spans="25:28" x14ac:dyDescent="0.25">
      <c r="Y800" s="340"/>
      <c r="Z800" s="340"/>
      <c r="AA800" s="340"/>
      <c r="AB800" s="340"/>
    </row>
    <row r="801" spans="25:28" x14ac:dyDescent="0.25">
      <c r="Y801" s="340"/>
      <c r="Z801" s="340"/>
      <c r="AA801" s="340"/>
      <c r="AB801" s="340"/>
    </row>
    <row r="802" spans="25:28" x14ac:dyDescent="0.25">
      <c r="Y802" s="340"/>
      <c r="Z802" s="340"/>
      <c r="AA802" s="340"/>
      <c r="AB802" s="340"/>
    </row>
    <row r="803" spans="25:28" x14ac:dyDescent="0.25">
      <c r="Y803" s="340"/>
      <c r="Z803" s="340"/>
      <c r="AA803" s="340"/>
      <c r="AB803" s="340"/>
    </row>
    <row r="804" spans="25:28" x14ac:dyDescent="0.25">
      <c r="Y804" s="340"/>
      <c r="Z804" s="340"/>
      <c r="AA804" s="340"/>
      <c r="AB804" s="340"/>
    </row>
    <row r="805" spans="25:28" x14ac:dyDescent="0.25">
      <c r="Y805" s="340"/>
      <c r="Z805" s="340"/>
      <c r="AA805" s="340"/>
      <c r="AB805" s="340"/>
    </row>
    <row r="806" spans="25:28" x14ac:dyDescent="0.25">
      <c r="Y806" s="340"/>
      <c r="Z806" s="340"/>
      <c r="AA806" s="340"/>
      <c r="AB806" s="340"/>
    </row>
    <row r="807" spans="25:28" x14ac:dyDescent="0.25">
      <c r="Y807" s="340"/>
      <c r="Z807" s="340"/>
      <c r="AA807" s="340"/>
      <c r="AB807" s="340"/>
    </row>
    <row r="808" spans="25:28" x14ac:dyDescent="0.25">
      <c r="Y808" s="340"/>
      <c r="Z808" s="340"/>
      <c r="AA808" s="340"/>
      <c r="AB808" s="340"/>
    </row>
    <row r="809" spans="25:28" x14ac:dyDescent="0.25">
      <c r="Y809" s="340"/>
      <c r="Z809" s="340"/>
      <c r="AA809" s="340"/>
      <c r="AB809" s="340"/>
    </row>
    <row r="810" spans="25:28" x14ac:dyDescent="0.25">
      <c r="Y810" s="340"/>
      <c r="Z810" s="340"/>
      <c r="AA810" s="340"/>
      <c r="AB810" s="340"/>
    </row>
    <row r="811" spans="25:28" x14ac:dyDescent="0.25">
      <c r="Y811" s="340"/>
      <c r="Z811" s="340"/>
      <c r="AA811" s="340"/>
      <c r="AB811" s="340"/>
    </row>
    <row r="812" spans="25:28" x14ac:dyDescent="0.25">
      <c r="Y812" s="340"/>
      <c r="Z812" s="340"/>
      <c r="AA812" s="340"/>
      <c r="AB812" s="340"/>
    </row>
    <row r="813" spans="25:28" x14ac:dyDescent="0.25">
      <c r="Y813" s="340"/>
      <c r="Z813" s="340"/>
      <c r="AA813" s="340"/>
      <c r="AB813" s="340"/>
    </row>
    <row r="814" spans="25:28" x14ac:dyDescent="0.25">
      <c r="Y814" s="340"/>
      <c r="Z814" s="340"/>
      <c r="AA814" s="340"/>
      <c r="AB814" s="340"/>
    </row>
    <row r="815" spans="25:28" x14ac:dyDescent="0.25">
      <c r="Y815" s="340"/>
      <c r="Z815" s="340"/>
      <c r="AA815" s="340"/>
      <c r="AB815" s="340"/>
    </row>
    <row r="816" spans="25:28" x14ac:dyDescent="0.25">
      <c r="Y816" s="340"/>
      <c r="Z816" s="340"/>
      <c r="AA816" s="340"/>
      <c r="AB816" s="340"/>
    </row>
    <row r="817" spans="25:28" x14ac:dyDescent="0.25">
      <c r="Y817" s="340"/>
      <c r="Z817" s="340"/>
      <c r="AA817" s="340"/>
      <c r="AB817" s="340"/>
    </row>
    <row r="818" spans="25:28" x14ac:dyDescent="0.25">
      <c r="Y818" s="340"/>
      <c r="Z818" s="340"/>
      <c r="AA818" s="340"/>
      <c r="AB818" s="340"/>
    </row>
    <row r="819" spans="25:28" x14ac:dyDescent="0.25">
      <c r="Y819" s="340"/>
      <c r="Z819" s="340"/>
      <c r="AA819" s="340"/>
      <c r="AB819" s="340"/>
    </row>
    <row r="820" spans="25:28" x14ac:dyDescent="0.25">
      <c r="Y820" s="340"/>
      <c r="Z820" s="340"/>
      <c r="AA820" s="340"/>
      <c r="AB820" s="340"/>
    </row>
    <row r="821" spans="25:28" x14ac:dyDescent="0.25">
      <c r="Y821" s="340"/>
      <c r="Z821" s="340"/>
      <c r="AA821" s="340"/>
      <c r="AB821" s="340"/>
    </row>
    <row r="822" spans="25:28" x14ac:dyDescent="0.25">
      <c r="Y822" s="340"/>
      <c r="Z822" s="340"/>
      <c r="AA822" s="340"/>
      <c r="AB822" s="340"/>
    </row>
    <row r="823" spans="25:28" x14ac:dyDescent="0.25">
      <c r="Y823" s="340"/>
      <c r="Z823" s="340"/>
      <c r="AA823" s="340"/>
      <c r="AB823" s="340"/>
    </row>
    <row r="824" spans="25:28" x14ac:dyDescent="0.25">
      <c r="Y824" s="340"/>
      <c r="Z824" s="340"/>
      <c r="AA824" s="340"/>
      <c r="AB824" s="340"/>
    </row>
    <row r="825" spans="25:28" x14ac:dyDescent="0.25">
      <c r="Y825" s="340"/>
      <c r="Z825" s="340"/>
      <c r="AA825" s="340"/>
      <c r="AB825" s="340"/>
    </row>
    <row r="826" spans="25:28" x14ac:dyDescent="0.25">
      <c r="Y826" s="340"/>
      <c r="Z826" s="340"/>
      <c r="AA826" s="340"/>
      <c r="AB826" s="340"/>
    </row>
    <row r="827" spans="25:28" x14ac:dyDescent="0.25">
      <c r="Y827" s="340"/>
      <c r="Z827" s="340"/>
      <c r="AA827" s="340"/>
      <c r="AB827" s="340"/>
    </row>
    <row r="828" spans="25:28" x14ac:dyDescent="0.25">
      <c r="Y828" s="340"/>
      <c r="Z828" s="340"/>
      <c r="AA828" s="340"/>
      <c r="AB828" s="340"/>
    </row>
    <row r="829" spans="25:28" x14ac:dyDescent="0.25">
      <c r="Y829" s="340"/>
      <c r="Z829" s="340"/>
      <c r="AA829" s="340"/>
      <c r="AB829" s="340"/>
    </row>
    <row r="830" spans="25:28" x14ac:dyDescent="0.25">
      <c r="Y830" s="340"/>
      <c r="Z830" s="340"/>
      <c r="AA830" s="340"/>
      <c r="AB830" s="340"/>
    </row>
    <row r="831" spans="25:28" x14ac:dyDescent="0.25">
      <c r="Y831" s="340"/>
      <c r="Z831" s="340"/>
      <c r="AA831" s="340"/>
      <c r="AB831" s="340"/>
    </row>
    <row r="832" spans="25:28" x14ac:dyDescent="0.25">
      <c r="Y832" s="340"/>
      <c r="Z832" s="340"/>
      <c r="AA832" s="340"/>
      <c r="AB832" s="340"/>
    </row>
    <row r="833" spans="25:28" x14ac:dyDescent="0.25">
      <c r="Y833" s="340"/>
      <c r="Z833" s="340"/>
      <c r="AA833" s="340"/>
      <c r="AB833" s="340"/>
    </row>
    <row r="834" spans="25:28" x14ac:dyDescent="0.25">
      <c r="Y834" s="340"/>
      <c r="Z834" s="340"/>
      <c r="AA834" s="340"/>
      <c r="AB834" s="340"/>
    </row>
    <row r="835" spans="25:28" x14ac:dyDescent="0.25">
      <c r="Y835" s="340"/>
      <c r="Z835" s="340"/>
      <c r="AA835" s="340"/>
      <c r="AB835" s="340"/>
    </row>
    <row r="836" spans="25:28" x14ac:dyDescent="0.25">
      <c r="Y836" s="340"/>
      <c r="Z836" s="340"/>
      <c r="AA836" s="340"/>
      <c r="AB836" s="340"/>
    </row>
    <row r="837" spans="25:28" x14ac:dyDescent="0.25">
      <c r="Y837" s="340"/>
      <c r="Z837" s="340"/>
      <c r="AA837" s="340"/>
      <c r="AB837" s="340"/>
    </row>
    <row r="838" spans="25:28" x14ac:dyDescent="0.25">
      <c r="Y838" s="340"/>
      <c r="Z838" s="340"/>
      <c r="AA838" s="340"/>
      <c r="AB838" s="340"/>
    </row>
    <row r="839" spans="25:28" x14ac:dyDescent="0.25">
      <c r="Y839" s="340"/>
      <c r="Z839" s="340"/>
      <c r="AA839" s="340"/>
      <c r="AB839" s="340"/>
    </row>
    <row r="840" spans="25:28" x14ac:dyDescent="0.25">
      <c r="Y840" s="340"/>
      <c r="Z840" s="340"/>
      <c r="AA840" s="340"/>
      <c r="AB840" s="340"/>
    </row>
    <row r="841" spans="25:28" x14ac:dyDescent="0.25">
      <c r="Y841" s="340"/>
      <c r="Z841" s="340"/>
      <c r="AA841" s="340"/>
      <c r="AB841" s="340"/>
    </row>
    <row r="842" spans="25:28" x14ac:dyDescent="0.25">
      <c r="Y842" s="340"/>
      <c r="Z842" s="340"/>
      <c r="AA842" s="340"/>
      <c r="AB842" s="340"/>
    </row>
    <row r="843" spans="25:28" x14ac:dyDescent="0.25">
      <c r="Y843" s="340"/>
      <c r="Z843" s="340"/>
      <c r="AA843" s="340"/>
      <c r="AB843" s="340"/>
    </row>
    <row r="844" spans="25:28" x14ac:dyDescent="0.25">
      <c r="Y844" s="340"/>
      <c r="Z844" s="340"/>
      <c r="AA844" s="340"/>
      <c r="AB844" s="340"/>
    </row>
    <row r="845" spans="25:28" x14ac:dyDescent="0.25">
      <c r="Y845" s="340"/>
      <c r="Z845" s="340"/>
      <c r="AA845" s="340"/>
      <c r="AB845" s="340"/>
    </row>
    <row r="846" spans="25:28" x14ac:dyDescent="0.25">
      <c r="Y846" s="340"/>
      <c r="Z846" s="340"/>
      <c r="AA846" s="340"/>
      <c r="AB846" s="340"/>
    </row>
    <row r="847" spans="25:28" x14ac:dyDescent="0.25">
      <c r="Y847" s="340"/>
      <c r="Z847" s="340"/>
      <c r="AA847" s="340"/>
      <c r="AB847" s="340"/>
    </row>
    <row r="848" spans="25:28" x14ac:dyDescent="0.25">
      <c r="Y848" s="340"/>
      <c r="Z848" s="340"/>
      <c r="AA848" s="340"/>
      <c r="AB848" s="340"/>
    </row>
    <row r="849" spans="25:28" x14ac:dyDescent="0.25">
      <c r="Y849" s="340"/>
      <c r="Z849" s="340"/>
      <c r="AA849" s="340"/>
      <c r="AB849" s="340"/>
    </row>
    <row r="850" spans="25:28" x14ac:dyDescent="0.25">
      <c r="Y850" s="340"/>
      <c r="Z850" s="340"/>
      <c r="AA850" s="340"/>
      <c r="AB850" s="340"/>
    </row>
    <row r="851" spans="25:28" x14ac:dyDescent="0.25">
      <c r="Y851" s="340"/>
      <c r="Z851" s="340"/>
      <c r="AA851" s="340"/>
      <c r="AB851" s="340"/>
    </row>
    <row r="852" spans="25:28" x14ac:dyDescent="0.25">
      <c r="Y852" s="340"/>
      <c r="Z852" s="340"/>
      <c r="AA852" s="340"/>
      <c r="AB852" s="340"/>
    </row>
    <row r="853" spans="25:28" x14ac:dyDescent="0.25">
      <c r="Y853" s="340"/>
      <c r="Z853" s="340"/>
      <c r="AA853" s="340"/>
      <c r="AB853" s="340"/>
    </row>
    <row r="854" spans="25:28" x14ac:dyDescent="0.25">
      <c r="Y854" s="340"/>
      <c r="Z854" s="340"/>
      <c r="AA854" s="340"/>
      <c r="AB854" s="340"/>
    </row>
    <row r="855" spans="25:28" x14ac:dyDescent="0.25">
      <c r="Y855" s="340"/>
      <c r="Z855" s="340"/>
      <c r="AA855" s="340"/>
      <c r="AB855" s="340"/>
    </row>
    <row r="856" spans="25:28" x14ac:dyDescent="0.25">
      <c r="Y856" s="340"/>
      <c r="Z856" s="340"/>
      <c r="AA856" s="340"/>
      <c r="AB856" s="340"/>
    </row>
    <row r="857" spans="25:28" x14ac:dyDescent="0.25">
      <c r="Y857" s="340"/>
      <c r="Z857" s="340"/>
      <c r="AA857" s="340"/>
      <c r="AB857" s="340"/>
    </row>
    <row r="858" spans="25:28" x14ac:dyDescent="0.25">
      <c r="Y858" s="340"/>
      <c r="Z858" s="340"/>
      <c r="AA858" s="340"/>
      <c r="AB858" s="340"/>
    </row>
    <row r="859" spans="25:28" x14ac:dyDescent="0.25">
      <c r="Y859" s="340"/>
      <c r="Z859" s="340"/>
      <c r="AA859" s="340"/>
      <c r="AB859" s="340"/>
    </row>
    <row r="860" spans="25:28" x14ac:dyDescent="0.25">
      <c r="Y860" s="340"/>
      <c r="Z860" s="340"/>
      <c r="AA860" s="340"/>
      <c r="AB860" s="340"/>
    </row>
    <row r="861" spans="25:28" x14ac:dyDescent="0.25">
      <c r="Y861" s="340"/>
      <c r="Z861" s="340"/>
      <c r="AA861" s="340"/>
      <c r="AB861" s="340"/>
    </row>
    <row r="862" spans="25:28" x14ac:dyDescent="0.25">
      <c r="Y862" s="340"/>
      <c r="Z862" s="340"/>
      <c r="AA862" s="340"/>
      <c r="AB862" s="340"/>
    </row>
    <row r="863" spans="25:28" x14ac:dyDescent="0.25">
      <c r="Y863" s="340"/>
      <c r="Z863" s="340"/>
      <c r="AA863" s="340"/>
      <c r="AB863" s="340"/>
    </row>
    <row r="864" spans="25:28" x14ac:dyDescent="0.25">
      <c r="Y864" s="340"/>
      <c r="Z864" s="340"/>
      <c r="AA864" s="340"/>
      <c r="AB864" s="340"/>
    </row>
    <row r="865" spans="25:28" x14ac:dyDescent="0.25">
      <c r="Y865" s="340"/>
      <c r="Z865" s="340"/>
      <c r="AA865" s="340"/>
      <c r="AB865" s="340"/>
    </row>
    <row r="866" spans="25:28" x14ac:dyDescent="0.25">
      <c r="Y866" s="340"/>
      <c r="Z866" s="340"/>
      <c r="AA866" s="340"/>
      <c r="AB866" s="340"/>
    </row>
    <row r="867" spans="25:28" x14ac:dyDescent="0.25">
      <c r="Y867" s="340"/>
      <c r="Z867" s="340"/>
      <c r="AA867" s="340"/>
      <c r="AB867" s="340"/>
    </row>
    <row r="868" spans="25:28" x14ac:dyDescent="0.25">
      <c r="Y868" s="340"/>
      <c r="Z868" s="340"/>
      <c r="AA868" s="340"/>
      <c r="AB868" s="340"/>
    </row>
    <row r="869" spans="25:28" x14ac:dyDescent="0.25">
      <c r="Y869" s="340"/>
      <c r="Z869" s="340"/>
      <c r="AA869" s="340"/>
      <c r="AB869" s="340"/>
    </row>
    <row r="870" spans="25:28" x14ac:dyDescent="0.25">
      <c r="Y870" s="340"/>
      <c r="Z870" s="340"/>
      <c r="AA870" s="340"/>
      <c r="AB870" s="340"/>
    </row>
    <row r="871" spans="25:28" x14ac:dyDescent="0.25">
      <c r="Y871" s="340"/>
      <c r="Z871" s="340"/>
      <c r="AA871" s="340"/>
      <c r="AB871" s="340"/>
    </row>
    <row r="872" spans="25:28" x14ac:dyDescent="0.25">
      <c r="Y872" s="340"/>
      <c r="Z872" s="340"/>
      <c r="AA872" s="340"/>
      <c r="AB872" s="340"/>
    </row>
    <row r="873" spans="25:28" x14ac:dyDescent="0.25">
      <c r="Y873" s="340"/>
      <c r="Z873" s="340"/>
      <c r="AA873" s="340"/>
      <c r="AB873" s="340"/>
    </row>
    <row r="874" spans="25:28" x14ac:dyDescent="0.25">
      <c r="Y874" s="340"/>
      <c r="Z874" s="340"/>
      <c r="AA874" s="340"/>
      <c r="AB874" s="340"/>
    </row>
    <row r="875" spans="25:28" x14ac:dyDescent="0.25">
      <c r="Y875" s="340"/>
      <c r="Z875" s="340"/>
      <c r="AA875" s="340"/>
      <c r="AB875" s="340"/>
    </row>
    <row r="876" spans="25:28" x14ac:dyDescent="0.25">
      <c r="Y876" s="340"/>
      <c r="Z876" s="340"/>
      <c r="AA876" s="340"/>
      <c r="AB876" s="340"/>
    </row>
    <row r="877" spans="25:28" x14ac:dyDescent="0.25">
      <c r="Y877" s="340"/>
      <c r="Z877" s="340"/>
      <c r="AA877" s="340"/>
      <c r="AB877" s="340"/>
    </row>
    <row r="878" spans="25:28" x14ac:dyDescent="0.25">
      <c r="Y878" s="340"/>
      <c r="Z878" s="340"/>
      <c r="AA878" s="340"/>
      <c r="AB878" s="340"/>
    </row>
    <row r="879" spans="25:28" x14ac:dyDescent="0.25">
      <c r="Y879" s="340"/>
      <c r="Z879" s="340"/>
      <c r="AA879" s="340"/>
      <c r="AB879" s="340"/>
    </row>
    <row r="880" spans="25:28" x14ac:dyDescent="0.25">
      <c r="Y880" s="340"/>
      <c r="Z880" s="340"/>
      <c r="AA880" s="340"/>
      <c r="AB880" s="340"/>
    </row>
    <row r="881" spans="25:28" x14ac:dyDescent="0.25">
      <c r="Y881" s="340"/>
      <c r="Z881" s="340"/>
      <c r="AA881" s="340"/>
      <c r="AB881" s="340"/>
    </row>
    <row r="882" spans="25:28" x14ac:dyDescent="0.25">
      <c r="Y882" s="340"/>
      <c r="Z882" s="340"/>
      <c r="AA882" s="340"/>
      <c r="AB882" s="340"/>
    </row>
    <row r="883" spans="25:28" x14ac:dyDescent="0.25">
      <c r="Y883" s="340"/>
      <c r="Z883" s="340"/>
      <c r="AA883" s="340"/>
      <c r="AB883" s="340"/>
    </row>
    <row r="884" spans="25:28" x14ac:dyDescent="0.25">
      <c r="Y884" s="340"/>
      <c r="Z884" s="340"/>
      <c r="AA884" s="340"/>
      <c r="AB884" s="340"/>
    </row>
    <row r="885" spans="25:28" x14ac:dyDescent="0.25">
      <c r="Y885" s="340"/>
      <c r="Z885" s="340"/>
      <c r="AA885" s="340"/>
      <c r="AB885" s="340"/>
    </row>
    <row r="886" spans="25:28" x14ac:dyDescent="0.25">
      <c r="Y886" s="340"/>
      <c r="Z886" s="340"/>
      <c r="AA886" s="340"/>
      <c r="AB886" s="340"/>
    </row>
    <row r="887" spans="25:28" x14ac:dyDescent="0.25">
      <c r="Y887" s="340"/>
      <c r="Z887" s="340"/>
      <c r="AA887" s="340"/>
      <c r="AB887" s="340"/>
    </row>
    <row r="888" spans="25:28" x14ac:dyDescent="0.25">
      <c r="Y888" s="340"/>
      <c r="Z888" s="340"/>
      <c r="AA888" s="340"/>
      <c r="AB888" s="340"/>
    </row>
    <row r="889" spans="25:28" x14ac:dyDescent="0.25">
      <c r="Y889" s="340"/>
      <c r="Z889" s="340"/>
      <c r="AA889" s="340"/>
      <c r="AB889" s="340"/>
    </row>
    <row r="890" spans="25:28" x14ac:dyDescent="0.25">
      <c r="Y890" s="340"/>
      <c r="Z890" s="340"/>
      <c r="AA890" s="340"/>
      <c r="AB890" s="340"/>
    </row>
    <row r="891" spans="25:28" x14ac:dyDescent="0.25">
      <c r="Y891" s="340"/>
      <c r="Z891" s="340"/>
      <c r="AA891" s="340"/>
      <c r="AB891" s="340"/>
    </row>
    <row r="892" spans="25:28" x14ac:dyDescent="0.25">
      <c r="Y892" s="340"/>
      <c r="Z892" s="340"/>
      <c r="AA892" s="340"/>
      <c r="AB892" s="340"/>
    </row>
    <row r="893" spans="25:28" x14ac:dyDescent="0.25">
      <c r="Y893" s="340"/>
      <c r="Z893" s="340"/>
      <c r="AA893" s="340"/>
      <c r="AB893" s="340"/>
    </row>
    <row r="894" spans="25:28" x14ac:dyDescent="0.25">
      <c r="Y894" s="340"/>
      <c r="Z894" s="340"/>
      <c r="AA894" s="340"/>
      <c r="AB894" s="340"/>
    </row>
    <row r="895" spans="25:28" x14ac:dyDescent="0.25">
      <c r="Y895" s="340"/>
      <c r="Z895" s="340"/>
      <c r="AA895" s="340"/>
      <c r="AB895" s="340"/>
    </row>
    <row r="896" spans="25:28" x14ac:dyDescent="0.25">
      <c r="Y896" s="340"/>
      <c r="Z896" s="340"/>
      <c r="AA896" s="340"/>
      <c r="AB896" s="340"/>
    </row>
    <row r="897" spans="25:28" x14ac:dyDescent="0.25">
      <c r="Y897" s="340"/>
      <c r="Z897" s="340"/>
      <c r="AA897" s="340"/>
      <c r="AB897" s="340"/>
    </row>
    <row r="898" spans="25:28" x14ac:dyDescent="0.25">
      <c r="Y898" s="340"/>
      <c r="Z898" s="340"/>
      <c r="AA898" s="340"/>
      <c r="AB898" s="340"/>
    </row>
    <row r="899" spans="25:28" x14ac:dyDescent="0.25">
      <c r="Y899" s="340"/>
      <c r="Z899" s="340"/>
      <c r="AA899" s="340"/>
      <c r="AB899" s="340"/>
    </row>
    <row r="900" spans="25:28" x14ac:dyDescent="0.25">
      <c r="Y900" s="340"/>
      <c r="Z900" s="340"/>
      <c r="AA900" s="340"/>
      <c r="AB900" s="340"/>
    </row>
    <row r="901" spans="25:28" x14ac:dyDescent="0.25">
      <c r="Y901" s="340"/>
      <c r="Z901" s="340"/>
      <c r="AA901" s="340"/>
      <c r="AB901" s="340"/>
    </row>
    <row r="902" spans="25:28" x14ac:dyDescent="0.25">
      <c r="Y902" s="340"/>
      <c r="Z902" s="340"/>
      <c r="AA902" s="340"/>
      <c r="AB902" s="340"/>
    </row>
    <row r="903" spans="25:28" x14ac:dyDescent="0.25">
      <c r="Y903" s="340"/>
      <c r="Z903" s="340"/>
      <c r="AA903" s="340"/>
      <c r="AB903" s="340"/>
    </row>
    <row r="904" spans="25:28" x14ac:dyDescent="0.25">
      <c r="Y904" s="340"/>
      <c r="Z904" s="340"/>
      <c r="AA904" s="340"/>
      <c r="AB904" s="340"/>
    </row>
    <row r="905" spans="25:28" x14ac:dyDescent="0.25">
      <c r="Y905" s="340"/>
      <c r="Z905" s="340"/>
      <c r="AA905" s="340"/>
      <c r="AB905" s="340"/>
    </row>
    <row r="906" spans="25:28" x14ac:dyDescent="0.25">
      <c r="Y906" s="340"/>
      <c r="Z906" s="340"/>
      <c r="AA906" s="340"/>
      <c r="AB906" s="340"/>
    </row>
    <row r="907" spans="25:28" x14ac:dyDescent="0.25">
      <c r="Y907" s="340"/>
      <c r="Z907" s="340"/>
      <c r="AA907" s="340"/>
      <c r="AB907" s="340"/>
    </row>
    <row r="908" spans="25:28" x14ac:dyDescent="0.25">
      <c r="Y908" s="340"/>
      <c r="Z908" s="340"/>
      <c r="AA908" s="340"/>
      <c r="AB908" s="340"/>
    </row>
    <row r="909" spans="25:28" x14ac:dyDescent="0.25">
      <c r="Y909" s="340"/>
      <c r="Z909" s="340"/>
      <c r="AA909" s="340"/>
      <c r="AB909" s="340"/>
    </row>
    <row r="910" spans="25:28" x14ac:dyDescent="0.25">
      <c r="Y910" s="340"/>
      <c r="Z910" s="340"/>
      <c r="AA910" s="340"/>
      <c r="AB910" s="340"/>
    </row>
    <row r="911" spans="25:28" x14ac:dyDescent="0.25">
      <c r="Y911" s="340"/>
      <c r="Z911" s="340"/>
      <c r="AA911" s="340"/>
      <c r="AB911" s="340"/>
    </row>
    <row r="912" spans="25:28" x14ac:dyDescent="0.25">
      <c r="Y912" s="340"/>
      <c r="Z912" s="340"/>
      <c r="AA912" s="340"/>
      <c r="AB912" s="340"/>
    </row>
    <row r="913" spans="25:28" x14ac:dyDescent="0.25">
      <c r="Y913" s="340"/>
      <c r="Z913" s="340"/>
      <c r="AA913" s="340"/>
      <c r="AB913" s="340"/>
    </row>
    <row r="914" spans="25:28" x14ac:dyDescent="0.25">
      <c r="Y914" s="340"/>
      <c r="Z914" s="340"/>
      <c r="AA914" s="340"/>
      <c r="AB914" s="340"/>
    </row>
    <row r="915" spans="25:28" x14ac:dyDescent="0.25">
      <c r="Y915" s="340"/>
      <c r="Z915" s="340"/>
      <c r="AA915" s="340"/>
      <c r="AB915" s="340"/>
    </row>
    <row r="916" spans="25:28" x14ac:dyDescent="0.25">
      <c r="Y916" s="340"/>
      <c r="Z916" s="340"/>
      <c r="AA916" s="340"/>
      <c r="AB916" s="340"/>
    </row>
    <row r="917" spans="25:28" x14ac:dyDescent="0.25">
      <c r="Y917" s="340"/>
      <c r="Z917" s="340"/>
      <c r="AA917" s="340"/>
      <c r="AB917" s="340"/>
    </row>
    <row r="918" spans="25:28" x14ac:dyDescent="0.25">
      <c r="Y918" s="340"/>
      <c r="Z918" s="340"/>
      <c r="AA918" s="340"/>
      <c r="AB918" s="340"/>
    </row>
    <row r="919" spans="25:28" x14ac:dyDescent="0.25">
      <c r="Y919" s="340"/>
      <c r="Z919" s="340"/>
      <c r="AA919" s="340"/>
      <c r="AB919" s="340"/>
    </row>
    <row r="920" spans="25:28" x14ac:dyDescent="0.25">
      <c r="Y920" s="340"/>
      <c r="Z920" s="340"/>
      <c r="AA920" s="340"/>
      <c r="AB920" s="340"/>
    </row>
    <row r="921" spans="25:28" x14ac:dyDescent="0.25">
      <c r="Y921" s="340"/>
      <c r="Z921" s="340"/>
      <c r="AA921" s="340"/>
      <c r="AB921" s="340"/>
    </row>
    <row r="922" spans="25:28" x14ac:dyDescent="0.25">
      <c r="Y922" s="340"/>
      <c r="Z922" s="340"/>
      <c r="AA922" s="340"/>
      <c r="AB922" s="340"/>
    </row>
    <row r="923" spans="25:28" x14ac:dyDescent="0.25">
      <c r="Y923" s="340"/>
      <c r="Z923" s="340"/>
      <c r="AA923" s="340"/>
      <c r="AB923" s="340"/>
    </row>
    <row r="924" spans="25:28" x14ac:dyDescent="0.25">
      <c r="Y924" s="340"/>
      <c r="Z924" s="340"/>
      <c r="AA924" s="340"/>
      <c r="AB924" s="340"/>
    </row>
    <row r="925" spans="25:28" x14ac:dyDescent="0.25">
      <c r="Y925" s="340"/>
      <c r="Z925" s="340"/>
      <c r="AA925" s="340"/>
      <c r="AB925" s="340"/>
    </row>
    <row r="926" spans="25:28" x14ac:dyDescent="0.25">
      <c r="Y926" s="340"/>
      <c r="Z926" s="340"/>
      <c r="AA926" s="340"/>
      <c r="AB926" s="340"/>
    </row>
    <row r="927" spans="25:28" x14ac:dyDescent="0.25">
      <c r="Y927" s="340"/>
      <c r="Z927" s="340"/>
      <c r="AA927" s="340"/>
      <c r="AB927" s="340"/>
    </row>
    <row r="928" spans="25:28" x14ac:dyDescent="0.25">
      <c r="Y928" s="340"/>
      <c r="Z928" s="340"/>
      <c r="AA928" s="340"/>
      <c r="AB928" s="340"/>
    </row>
    <row r="929" spans="25:28" x14ac:dyDescent="0.25">
      <c r="Y929" s="340"/>
      <c r="Z929" s="340"/>
      <c r="AA929" s="340"/>
      <c r="AB929" s="340"/>
    </row>
    <row r="930" spans="25:28" x14ac:dyDescent="0.25">
      <c r="Y930" s="340"/>
      <c r="Z930" s="340"/>
      <c r="AA930" s="340"/>
      <c r="AB930" s="340"/>
    </row>
    <row r="931" spans="25:28" x14ac:dyDescent="0.25">
      <c r="Y931" s="340"/>
      <c r="Z931" s="340"/>
      <c r="AA931" s="340"/>
      <c r="AB931" s="340"/>
    </row>
    <row r="932" spans="25:28" x14ac:dyDescent="0.25">
      <c r="Y932" s="340"/>
      <c r="Z932" s="340"/>
      <c r="AA932" s="340"/>
      <c r="AB932" s="340"/>
    </row>
    <row r="933" spans="25:28" x14ac:dyDescent="0.25">
      <c r="Y933" s="340"/>
      <c r="Z933" s="340"/>
      <c r="AA933" s="340"/>
      <c r="AB933" s="340"/>
    </row>
    <row r="934" spans="25:28" x14ac:dyDescent="0.25">
      <c r="Y934" s="340"/>
      <c r="Z934" s="340"/>
      <c r="AA934" s="340"/>
      <c r="AB934" s="340"/>
    </row>
    <row r="935" spans="25:28" x14ac:dyDescent="0.25">
      <c r="Y935" s="340"/>
      <c r="Z935" s="340"/>
      <c r="AA935" s="340"/>
      <c r="AB935" s="340"/>
    </row>
    <row r="936" spans="25:28" x14ac:dyDescent="0.25">
      <c r="Y936" s="340"/>
      <c r="Z936" s="340"/>
      <c r="AA936" s="340"/>
      <c r="AB936" s="340"/>
    </row>
    <row r="937" spans="25:28" x14ac:dyDescent="0.25">
      <c r="Y937" s="340"/>
      <c r="Z937" s="340"/>
      <c r="AA937" s="340"/>
      <c r="AB937" s="340"/>
    </row>
    <row r="938" spans="25:28" x14ac:dyDescent="0.25">
      <c r="Y938" s="340"/>
      <c r="Z938" s="340"/>
      <c r="AA938" s="340"/>
      <c r="AB938" s="340"/>
    </row>
    <row r="939" spans="25:28" x14ac:dyDescent="0.25">
      <c r="Y939" s="340"/>
      <c r="Z939" s="340"/>
      <c r="AA939" s="340"/>
      <c r="AB939" s="340"/>
    </row>
    <row r="940" spans="25:28" x14ac:dyDescent="0.25">
      <c r="Y940" s="340"/>
      <c r="Z940" s="340"/>
      <c r="AA940" s="340"/>
      <c r="AB940" s="340"/>
    </row>
    <row r="941" spans="25:28" x14ac:dyDescent="0.25">
      <c r="Y941" s="340"/>
      <c r="Z941" s="340"/>
      <c r="AA941" s="340"/>
      <c r="AB941" s="340"/>
    </row>
    <row r="942" spans="25:28" x14ac:dyDescent="0.25">
      <c r="Y942" s="340"/>
      <c r="Z942" s="340"/>
      <c r="AA942" s="340"/>
      <c r="AB942" s="340"/>
    </row>
    <row r="943" spans="25:28" x14ac:dyDescent="0.25">
      <c r="Y943" s="340"/>
      <c r="Z943" s="340"/>
      <c r="AA943" s="340"/>
      <c r="AB943" s="340"/>
    </row>
    <row r="944" spans="25:28" x14ac:dyDescent="0.25">
      <c r="Y944" s="340"/>
      <c r="Z944" s="340"/>
      <c r="AA944" s="340"/>
      <c r="AB944" s="340"/>
    </row>
    <row r="945" spans="25:28" x14ac:dyDescent="0.25">
      <c r="Y945" s="340"/>
      <c r="Z945" s="340"/>
      <c r="AA945" s="340"/>
      <c r="AB945" s="340"/>
    </row>
    <row r="946" spans="25:28" x14ac:dyDescent="0.25">
      <c r="Y946" s="340"/>
      <c r="Z946" s="340"/>
      <c r="AA946" s="340"/>
      <c r="AB946" s="340"/>
    </row>
    <row r="947" spans="25:28" x14ac:dyDescent="0.25">
      <c r="Y947" s="340"/>
      <c r="Z947" s="340"/>
      <c r="AA947" s="340"/>
      <c r="AB947" s="340"/>
    </row>
    <row r="948" spans="25:28" x14ac:dyDescent="0.25">
      <c r="Y948" s="340"/>
      <c r="Z948" s="340"/>
      <c r="AA948" s="340"/>
      <c r="AB948" s="340"/>
    </row>
    <row r="949" spans="25:28" x14ac:dyDescent="0.25">
      <c r="Y949" s="340"/>
      <c r="Z949" s="340"/>
      <c r="AA949" s="340"/>
      <c r="AB949" s="340"/>
    </row>
    <row r="950" spans="25:28" x14ac:dyDescent="0.25">
      <c r="Y950" s="340"/>
      <c r="Z950" s="340"/>
      <c r="AA950" s="340"/>
      <c r="AB950" s="340"/>
    </row>
    <row r="951" spans="25:28" x14ac:dyDescent="0.25">
      <c r="Y951" s="340"/>
      <c r="Z951" s="340"/>
      <c r="AA951" s="340"/>
      <c r="AB951" s="340"/>
    </row>
    <row r="952" spans="25:28" x14ac:dyDescent="0.25">
      <c r="Y952" s="340"/>
      <c r="Z952" s="340"/>
      <c r="AA952" s="340"/>
      <c r="AB952" s="340"/>
    </row>
    <row r="953" spans="25:28" x14ac:dyDescent="0.25">
      <c r="Y953" s="340"/>
      <c r="Z953" s="340"/>
      <c r="AA953" s="340"/>
      <c r="AB953" s="340"/>
    </row>
    <row r="954" spans="25:28" x14ac:dyDescent="0.25">
      <c r="Y954" s="340"/>
      <c r="Z954" s="340"/>
      <c r="AA954" s="340"/>
      <c r="AB954" s="340"/>
    </row>
    <row r="955" spans="25:28" x14ac:dyDescent="0.25">
      <c r="Y955" s="340"/>
      <c r="Z955" s="340"/>
      <c r="AA955" s="340"/>
      <c r="AB955" s="340"/>
    </row>
    <row r="956" spans="25:28" x14ac:dyDescent="0.25">
      <c r="Y956" s="340"/>
      <c r="Z956" s="340"/>
      <c r="AA956" s="340"/>
      <c r="AB956" s="340"/>
    </row>
    <row r="957" spans="25:28" x14ac:dyDescent="0.25">
      <c r="Y957" s="340"/>
      <c r="Z957" s="340"/>
      <c r="AA957" s="340"/>
      <c r="AB957" s="340"/>
    </row>
    <row r="958" spans="25:28" x14ac:dyDescent="0.25">
      <c r="Y958" s="340"/>
      <c r="Z958" s="340"/>
      <c r="AA958" s="340"/>
      <c r="AB958" s="340"/>
    </row>
    <row r="959" spans="25:28" x14ac:dyDescent="0.25">
      <c r="Y959" s="340"/>
      <c r="Z959" s="340"/>
      <c r="AA959" s="340"/>
      <c r="AB959" s="340"/>
    </row>
    <row r="960" spans="25:28" x14ac:dyDescent="0.25">
      <c r="Y960" s="340"/>
      <c r="Z960" s="340"/>
      <c r="AA960" s="340"/>
      <c r="AB960" s="340"/>
    </row>
    <row r="961" spans="25:28" x14ac:dyDescent="0.25">
      <c r="Y961" s="340"/>
      <c r="Z961" s="340"/>
      <c r="AA961" s="340"/>
      <c r="AB961" s="340"/>
    </row>
    <row r="962" spans="25:28" x14ac:dyDescent="0.25">
      <c r="Y962" s="340"/>
      <c r="Z962" s="340"/>
      <c r="AA962" s="340"/>
      <c r="AB962" s="340"/>
    </row>
    <row r="963" spans="25:28" x14ac:dyDescent="0.25">
      <c r="Y963" s="340"/>
      <c r="Z963" s="340"/>
      <c r="AA963" s="340"/>
      <c r="AB963" s="340"/>
    </row>
    <row r="964" spans="25:28" x14ac:dyDescent="0.25">
      <c r="Y964" s="340"/>
      <c r="Z964" s="340"/>
      <c r="AA964" s="340"/>
      <c r="AB964" s="340"/>
    </row>
    <row r="965" spans="25:28" x14ac:dyDescent="0.25">
      <c r="Y965" s="340"/>
      <c r="Z965" s="340"/>
      <c r="AA965" s="340"/>
      <c r="AB965" s="340"/>
    </row>
    <row r="966" spans="25:28" x14ac:dyDescent="0.25">
      <c r="Y966" s="340"/>
      <c r="Z966" s="340"/>
      <c r="AA966" s="340"/>
      <c r="AB966" s="340"/>
    </row>
    <row r="967" spans="25:28" x14ac:dyDescent="0.25">
      <c r="Y967" s="340"/>
      <c r="Z967" s="340"/>
      <c r="AA967" s="340"/>
      <c r="AB967" s="340"/>
    </row>
    <row r="968" spans="25:28" x14ac:dyDescent="0.25">
      <c r="Y968" s="340"/>
      <c r="Z968" s="340"/>
      <c r="AA968" s="340"/>
      <c r="AB968" s="340"/>
    </row>
    <row r="969" spans="25:28" x14ac:dyDescent="0.25">
      <c r="Y969" s="340"/>
      <c r="Z969" s="340"/>
      <c r="AA969" s="340"/>
      <c r="AB969" s="340"/>
    </row>
    <row r="970" spans="25:28" x14ac:dyDescent="0.25">
      <c r="Y970" s="340"/>
      <c r="Z970" s="340"/>
      <c r="AA970" s="340"/>
      <c r="AB970" s="340"/>
    </row>
    <row r="971" spans="25:28" x14ac:dyDescent="0.25">
      <c r="Y971" s="340"/>
      <c r="Z971" s="340"/>
      <c r="AA971" s="340"/>
      <c r="AB971" s="340"/>
    </row>
    <row r="972" spans="25:28" x14ac:dyDescent="0.25">
      <c r="Y972" s="340"/>
      <c r="Z972" s="340"/>
      <c r="AA972" s="340"/>
      <c r="AB972" s="340"/>
    </row>
    <row r="973" spans="25:28" x14ac:dyDescent="0.25">
      <c r="Y973" s="340"/>
      <c r="Z973" s="340"/>
      <c r="AA973" s="340"/>
      <c r="AB973" s="340"/>
    </row>
    <row r="974" spans="25:28" x14ac:dyDescent="0.25">
      <c r="Y974" s="340"/>
      <c r="Z974" s="340"/>
      <c r="AA974" s="340"/>
      <c r="AB974" s="340"/>
    </row>
    <row r="975" spans="25:28" x14ac:dyDescent="0.25">
      <c r="Y975" s="340"/>
      <c r="Z975" s="340"/>
      <c r="AA975" s="340"/>
      <c r="AB975" s="340"/>
    </row>
    <row r="976" spans="25:28" x14ac:dyDescent="0.25">
      <c r="Y976" s="340"/>
      <c r="Z976" s="340"/>
      <c r="AA976" s="340"/>
      <c r="AB976" s="340"/>
    </row>
    <row r="977" spans="25:28" x14ac:dyDescent="0.25">
      <c r="Y977" s="340"/>
      <c r="Z977" s="340"/>
      <c r="AA977" s="340"/>
      <c r="AB977" s="340"/>
    </row>
    <row r="978" spans="25:28" x14ac:dyDescent="0.25">
      <c r="Y978" s="340"/>
      <c r="Z978" s="340"/>
      <c r="AA978" s="340"/>
      <c r="AB978" s="340"/>
    </row>
    <row r="979" spans="25:28" x14ac:dyDescent="0.25">
      <c r="Y979" s="340"/>
      <c r="Z979" s="340"/>
      <c r="AA979" s="340"/>
      <c r="AB979" s="340"/>
    </row>
    <row r="980" spans="25:28" x14ac:dyDescent="0.25">
      <c r="Y980" s="340"/>
      <c r="Z980" s="340"/>
      <c r="AA980" s="340"/>
      <c r="AB980" s="340"/>
    </row>
    <row r="981" spans="25:28" x14ac:dyDescent="0.25">
      <c r="Y981" s="340"/>
      <c r="Z981" s="340"/>
      <c r="AA981" s="340"/>
      <c r="AB981" s="340"/>
    </row>
    <row r="982" spans="25:28" x14ac:dyDescent="0.25">
      <c r="Y982" s="340"/>
      <c r="Z982" s="340"/>
      <c r="AA982" s="340"/>
      <c r="AB982" s="340"/>
    </row>
    <row r="983" spans="25:28" x14ac:dyDescent="0.25">
      <c r="Y983" s="340"/>
      <c r="Z983" s="340"/>
      <c r="AA983" s="340"/>
      <c r="AB983" s="340"/>
    </row>
    <row r="984" spans="25:28" x14ac:dyDescent="0.25">
      <c r="Y984" s="340"/>
      <c r="Z984" s="340"/>
      <c r="AA984" s="340"/>
      <c r="AB984" s="340"/>
    </row>
    <row r="985" spans="25:28" x14ac:dyDescent="0.25">
      <c r="Y985" s="340"/>
      <c r="Z985" s="340"/>
      <c r="AA985" s="340"/>
      <c r="AB985" s="340"/>
    </row>
    <row r="986" spans="25:28" x14ac:dyDescent="0.25">
      <c r="Y986" s="340"/>
      <c r="Z986" s="340"/>
      <c r="AA986" s="340"/>
      <c r="AB986" s="340"/>
    </row>
    <row r="987" spans="25:28" x14ac:dyDescent="0.25">
      <c r="Y987" s="340"/>
      <c r="Z987" s="340"/>
      <c r="AA987" s="340"/>
      <c r="AB987" s="340"/>
    </row>
    <row r="988" spans="25:28" x14ac:dyDescent="0.25">
      <c r="Y988" s="340"/>
      <c r="Z988" s="340"/>
      <c r="AA988" s="340"/>
      <c r="AB988" s="340"/>
    </row>
    <row r="989" spans="25:28" x14ac:dyDescent="0.25">
      <c r="Y989" s="340"/>
      <c r="Z989" s="340"/>
      <c r="AA989" s="340"/>
      <c r="AB989" s="340"/>
    </row>
    <row r="990" spans="25:28" x14ac:dyDescent="0.25">
      <c r="Y990" s="340"/>
      <c r="Z990" s="340"/>
      <c r="AA990" s="340"/>
      <c r="AB990" s="340"/>
    </row>
    <row r="991" spans="25:28" x14ac:dyDescent="0.25">
      <c r="Y991" s="340"/>
      <c r="Z991" s="340"/>
      <c r="AA991" s="340"/>
      <c r="AB991" s="340"/>
    </row>
    <row r="992" spans="25:28" x14ac:dyDescent="0.25">
      <c r="Y992" s="340"/>
      <c r="Z992" s="340"/>
      <c r="AA992" s="340"/>
      <c r="AB992" s="340"/>
    </row>
    <row r="993" spans="25:28" x14ac:dyDescent="0.25">
      <c r="Y993" s="340"/>
      <c r="Z993" s="340"/>
      <c r="AA993" s="340"/>
      <c r="AB993" s="340"/>
    </row>
    <row r="994" spans="25:28" x14ac:dyDescent="0.25">
      <c r="Y994" s="340"/>
      <c r="Z994" s="340"/>
      <c r="AA994" s="340"/>
      <c r="AB994" s="340"/>
    </row>
    <row r="995" spans="25:28" x14ac:dyDescent="0.25">
      <c r="Y995" s="340"/>
      <c r="Z995" s="340"/>
      <c r="AA995" s="340"/>
      <c r="AB995" s="340"/>
    </row>
    <row r="996" spans="25:28" x14ac:dyDescent="0.25">
      <c r="Y996" s="340"/>
      <c r="Z996" s="340"/>
      <c r="AA996" s="340"/>
      <c r="AB996" s="340"/>
    </row>
    <row r="997" spans="25:28" x14ac:dyDescent="0.25">
      <c r="Y997" s="340"/>
      <c r="Z997" s="340"/>
      <c r="AA997" s="340"/>
      <c r="AB997" s="340"/>
    </row>
    <row r="998" spans="25:28" x14ac:dyDescent="0.25">
      <c r="Y998" s="340"/>
      <c r="Z998" s="340"/>
      <c r="AA998" s="340"/>
      <c r="AB998" s="340"/>
    </row>
    <row r="999" spans="25:28" x14ac:dyDescent="0.25">
      <c r="Y999" s="340"/>
      <c r="Z999" s="340"/>
      <c r="AA999" s="340"/>
      <c r="AB999" s="340"/>
    </row>
    <row r="1000" spans="25:28" x14ac:dyDescent="0.25">
      <c r="Y1000" s="340"/>
      <c r="Z1000" s="340"/>
      <c r="AA1000" s="340"/>
      <c r="AB1000" s="340"/>
    </row>
    <row r="1001" spans="25:28" x14ac:dyDescent="0.25">
      <c r="Y1001" s="340"/>
      <c r="Z1001" s="340"/>
      <c r="AA1001" s="340"/>
      <c r="AB1001" s="340"/>
    </row>
    <row r="1002" spans="25:28" x14ac:dyDescent="0.25">
      <c r="Y1002" s="340"/>
      <c r="Z1002" s="340"/>
      <c r="AA1002" s="340"/>
      <c r="AB1002" s="340"/>
    </row>
    <row r="1003" spans="25:28" x14ac:dyDescent="0.25">
      <c r="Y1003" s="340"/>
      <c r="Z1003" s="340"/>
      <c r="AA1003" s="340"/>
      <c r="AB1003" s="340"/>
    </row>
    <row r="1004" spans="25:28" x14ac:dyDescent="0.25">
      <c r="Y1004" s="340"/>
      <c r="Z1004" s="340"/>
      <c r="AA1004" s="340"/>
      <c r="AB1004" s="340"/>
    </row>
    <row r="1005" spans="25:28" x14ac:dyDescent="0.25">
      <c r="Y1005" s="340"/>
      <c r="Z1005" s="340"/>
      <c r="AA1005" s="340"/>
      <c r="AB1005" s="340"/>
    </row>
    <row r="1006" spans="25:28" x14ac:dyDescent="0.25">
      <c r="Y1006" s="340"/>
      <c r="Z1006" s="340"/>
      <c r="AA1006" s="340"/>
      <c r="AB1006" s="340"/>
    </row>
    <row r="1007" spans="25:28" x14ac:dyDescent="0.25">
      <c r="Y1007" s="340"/>
      <c r="Z1007" s="340"/>
      <c r="AA1007" s="340"/>
      <c r="AB1007" s="340"/>
    </row>
    <row r="1008" spans="25:28" x14ac:dyDescent="0.25">
      <c r="Y1008" s="340"/>
      <c r="Z1008" s="340"/>
      <c r="AA1008" s="340"/>
      <c r="AB1008" s="340"/>
    </row>
    <row r="1009" spans="25:28" x14ac:dyDescent="0.25">
      <c r="Y1009" s="340"/>
      <c r="Z1009" s="340"/>
      <c r="AA1009" s="340"/>
      <c r="AB1009" s="340"/>
    </row>
    <row r="1010" spans="25:28" x14ac:dyDescent="0.25">
      <c r="Y1010" s="340"/>
      <c r="Z1010" s="340"/>
      <c r="AA1010" s="340"/>
      <c r="AB1010" s="340"/>
    </row>
    <row r="1011" spans="25:28" x14ac:dyDescent="0.25">
      <c r="Y1011" s="340"/>
      <c r="Z1011" s="340"/>
      <c r="AA1011" s="340"/>
      <c r="AB1011" s="340"/>
    </row>
    <row r="1012" spans="25:28" x14ac:dyDescent="0.25">
      <c r="Y1012" s="340"/>
      <c r="Z1012" s="340"/>
      <c r="AA1012" s="340"/>
      <c r="AB1012" s="340"/>
    </row>
    <row r="1013" spans="25:28" x14ac:dyDescent="0.25">
      <c r="Y1013" s="340"/>
      <c r="Z1013" s="340"/>
      <c r="AA1013" s="340"/>
      <c r="AB1013" s="340"/>
    </row>
    <row r="1014" spans="25:28" x14ac:dyDescent="0.25">
      <c r="Y1014" s="340"/>
      <c r="Z1014" s="340"/>
      <c r="AA1014" s="340"/>
      <c r="AB1014" s="340"/>
    </row>
    <row r="1015" spans="25:28" x14ac:dyDescent="0.25">
      <c r="Y1015" s="340"/>
      <c r="Z1015" s="340"/>
      <c r="AA1015" s="340"/>
      <c r="AB1015" s="340"/>
    </row>
    <row r="1016" spans="25:28" x14ac:dyDescent="0.25">
      <c r="Y1016" s="340"/>
      <c r="Z1016" s="340"/>
      <c r="AA1016" s="340"/>
      <c r="AB1016" s="340"/>
    </row>
    <row r="1017" spans="25:28" x14ac:dyDescent="0.25">
      <c r="Y1017" s="340"/>
      <c r="Z1017" s="340"/>
      <c r="AA1017" s="340"/>
      <c r="AB1017" s="340"/>
    </row>
    <row r="1018" spans="25:28" x14ac:dyDescent="0.25">
      <c r="Y1018" s="340"/>
      <c r="Z1018" s="340"/>
      <c r="AA1018" s="340"/>
      <c r="AB1018" s="340"/>
    </row>
    <row r="1019" spans="25:28" x14ac:dyDescent="0.25">
      <c r="Y1019" s="340"/>
      <c r="Z1019" s="340"/>
      <c r="AA1019" s="340"/>
      <c r="AB1019" s="340"/>
    </row>
    <row r="1020" spans="25:28" x14ac:dyDescent="0.25">
      <c r="Y1020" s="340"/>
      <c r="Z1020" s="340"/>
      <c r="AA1020" s="340"/>
      <c r="AB1020" s="340"/>
    </row>
    <row r="1021" spans="25:28" x14ac:dyDescent="0.25">
      <c r="Y1021" s="340"/>
      <c r="Z1021" s="340"/>
      <c r="AA1021" s="340"/>
      <c r="AB1021" s="340"/>
    </row>
    <row r="1022" spans="25:28" x14ac:dyDescent="0.25">
      <c r="Y1022" s="340"/>
      <c r="Z1022" s="340"/>
      <c r="AA1022" s="340"/>
      <c r="AB1022" s="340"/>
    </row>
    <row r="1023" spans="25:28" x14ac:dyDescent="0.25">
      <c r="Y1023" s="340"/>
      <c r="Z1023" s="340"/>
      <c r="AA1023" s="340"/>
      <c r="AB1023" s="340"/>
    </row>
    <row r="1024" spans="25:28" x14ac:dyDescent="0.25">
      <c r="Y1024" s="340"/>
      <c r="Z1024" s="340"/>
      <c r="AA1024" s="340"/>
      <c r="AB1024" s="340"/>
    </row>
    <row r="1025" spans="25:28" x14ac:dyDescent="0.25">
      <c r="Y1025" s="340"/>
      <c r="Z1025" s="340"/>
      <c r="AA1025" s="340"/>
      <c r="AB1025" s="340"/>
    </row>
    <row r="1026" spans="25:28" x14ac:dyDescent="0.25">
      <c r="Y1026" s="340"/>
      <c r="Z1026" s="340"/>
      <c r="AA1026" s="340"/>
      <c r="AB1026" s="340"/>
    </row>
    <row r="1027" spans="25:28" x14ac:dyDescent="0.25">
      <c r="Y1027" s="340"/>
      <c r="Z1027" s="340"/>
      <c r="AA1027" s="340"/>
      <c r="AB1027" s="340"/>
    </row>
    <row r="1028" spans="25:28" x14ac:dyDescent="0.25">
      <c r="Y1028" s="340"/>
      <c r="Z1028" s="340"/>
      <c r="AA1028" s="340"/>
      <c r="AB1028" s="340"/>
    </row>
    <row r="1029" spans="25:28" x14ac:dyDescent="0.25">
      <c r="Y1029" s="340"/>
      <c r="Z1029" s="340"/>
      <c r="AA1029" s="340"/>
      <c r="AB1029" s="340"/>
    </row>
    <row r="1030" spans="25:28" x14ac:dyDescent="0.25">
      <c r="Y1030" s="340"/>
      <c r="Z1030" s="340"/>
      <c r="AA1030" s="340"/>
      <c r="AB1030" s="340"/>
    </row>
    <row r="1031" spans="25:28" x14ac:dyDescent="0.25">
      <c r="Y1031" s="340"/>
      <c r="Z1031" s="340"/>
      <c r="AA1031" s="340"/>
      <c r="AB1031" s="340"/>
    </row>
    <row r="1032" spans="25:28" x14ac:dyDescent="0.25">
      <c r="Y1032" s="340"/>
      <c r="Z1032" s="340"/>
      <c r="AA1032" s="340"/>
      <c r="AB1032" s="340"/>
    </row>
    <row r="1033" spans="25:28" x14ac:dyDescent="0.25">
      <c r="Y1033" s="340"/>
      <c r="Z1033" s="340"/>
      <c r="AA1033" s="340"/>
      <c r="AB1033" s="340"/>
    </row>
    <row r="1034" spans="25:28" x14ac:dyDescent="0.25">
      <c r="Y1034" s="340"/>
      <c r="Z1034" s="340"/>
      <c r="AA1034" s="340"/>
      <c r="AB1034" s="340"/>
    </row>
    <row r="1035" spans="25:28" x14ac:dyDescent="0.25">
      <c r="Y1035" s="340"/>
      <c r="Z1035" s="340"/>
      <c r="AA1035" s="340"/>
      <c r="AB1035" s="340"/>
    </row>
    <row r="1036" spans="25:28" x14ac:dyDescent="0.25">
      <c r="Y1036" s="340"/>
      <c r="Z1036" s="340"/>
      <c r="AA1036" s="340"/>
      <c r="AB1036" s="340"/>
    </row>
    <row r="1037" spans="25:28" x14ac:dyDescent="0.25">
      <c r="Y1037" s="340"/>
      <c r="Z1037" s="340"/>
      <c r="AA1037" s="340"/>
      <c r="AB1037" s="340"/>
    </row>
    <row r="1038" spans="25:28" x14ac:dyDescent="0.25">
      <c r="Y1038" s="340"/>
      <c r="Z1038" s="340"/>
      <c r="AA1038" s="340"/>
      <c r="AB1038" s="340"/>
    </row>
    <row r="1039" spans="25:28" x14ac:dyDescent="0.25">
      <c r="Y1039" s="340"/>
      <c r="Z1039" s="340"/>
      <c r="AA1039" s="340"/>
      <c r="AB1039" s="340"/>
    </row>
    <row r="1040" spans="25:28" x14ac:dyDescent="0.25">
      <c r="Y1040" s="340"/>
      <c r="Z1040" s="340"/>
      <c r="AA1040" s="340"/>
      <c r="AB1040" s="340"/>
    </row>
    <row r="1041" spans="25:28" x14ac:dyDescent="0.25">
      <c r="Y1041" s="340"/>
      <c r="Z1041" s="340"/>
      <c r="AA1041" s="340"/>
      <c r="AB1041" s="340"/>
    </row>
    <row r="1042" spans="25:28" x14ac:dyDescent="0.25">
      <c r="Y1042" s="340"/>
      <c r="Z1042" s="340"/>
      <c r="AA1042" s="340"/>
      <c r="AB1042" s="340"/>
    </row>
    <row r="1043" spans="25:28" x14ac:dyDescent="0.25">
      <c r="Y1043" s="340"/>
      <c r="Z1043" s="340"/>
      <c r="AA1043" s="340"/>
      <c r="AB1043" s="340"/>
    </row>
    <row r="1044" spans="25:28" x14ac:dyDescent="0.25">
      <c r="Y1044" s="340"/>
      <c r="Z1044" s="340"/>
      <c r="AA1044" s="340"/>
      <c r="AB1044" s="340"/>
    </row>
    <row r="1045" spans="25:28" x14ac:dyDescent="0.25">
      <c r="Y1045" s="340"/>
      <c r="Z1045" s="340"/>
      <c r="AA1045" s="340"/>
      <c r="AB1045" s="340"/>
    </row>
    <row r="1046" spans="25:28" x14ac:dyDescent="0.25">
      <c r="Y1046" s="340"/>
      <c r="Z1046" s="340"/>
      <c r="AA1046" s="340"/>
      <c r="AB1046" s="340"/>
    </row>
    <row r="1047" spans="25:28" x14ac:dyDescent="0.25">
      <c r="Y1047" s="340"/>
      <c r="Z1047" s="340"/>
      <c r="AA1047" s="340"/>
      <c r="AB1047" s="340"/>
    </row>
    <row r="1048" spans="25:28" x14ac:dyDescent="0.25">
      <c r="Y1048" s="340"/>
      <c r="Z1048" s="340"/>
      <c r="AA1048" s="340"/>
      <c r="AB1048" s="340"/>
    </row>
    <row r="1049" spans="25:28" x14ac:dyDescent="0.25">
      <c r="Y1049" s="340"/>
      <c r="Z1049" s="340"/>
      <c r="AA1049" s="340"/>
      <c r="AB1049" s="340"/>
    </row>
    <row r="1050" spans="25:28" x14ac:dyDescent="0.25">
      <c r="Y1050" s="340"/>
      <c r="Z1050" s="340"/>
      <c r="AA1050" s="340"/>
      <c r="AB1050" s="340"/>
    </row>
    <row r="1051" spans="25:28" x14ac:dyDescent="0.25">
      <c r="Y1051" s="340"/>
      <c r="Z1051" s="340"/>
      <c r="AA1051" s="340"/>
      <c r="AB1051" s="340"/>
    </row>
    <row r="1052" spans="25:28" x14ac:dyDescent="0.25">
      <c r="Y1052" s="340"/>
      <c r="Z1052" s="340"/>
      <c r="AA1052" s="340"/>
      <c r="AB1052" s="340"/>
    </row>
    <row r="1053" spans="25:28" x14ac:dyDescent="0.25">
      <c r="Y1053" s="340"/>
      <c r="Z1053" s="340"/>
      <c r="AA1053" s="340"/>
      <c r="AB1053" s="340"/>
    </row>
    <row r="1054" spans="25:28" x14ac:dyDescent="0.25">
      <c r="Y1054" s="340"/>
      <c r="Z1054" s="340"/>
      <c r="AA1054" s="340"/>
      <c r="AB1054" s="340"/>
    </row>
    <row r="1055" spans="25:28" x14ac:dyDescent="0.25">
      <c r="Y1055" s="340"/>
      <c r="Z1055" s="340"/>
      <c r="AA1055" s="340"/>
      <c r="AB1055" s="340"/>
    </row>
    <row r="1056" spans="25:28" x14ac:dyDescent="0.25">
      <c r="Y1056" s="340"/>
      <c r="Z1056" s="340"/>
      <c r="AA1056" s="340"/>
      <c r="AB1056" s="340"/>
    </row>
    <row r="1057" spans="25:28" x14ac:dyDescent="0.25">
      <c r="Y1057" s="340"/>
      <c r="Z1057" s="340"/>
      <c r="AA1057" s="340"/>
      <c r="AB1057" s="340"/>
    </row>
    <row r="1058" spans="25:28" x14ac:dyDescent="0.25">
      <c r="Y1058" s="340"/>
      <c r="Z1058" s="340"/>
      <c r="AA1058" s="340"/>
      <c r="AB1058" s="340"/>
    </row>
    <row r="1059" spans="25:28" x14ac:dyDescent="0.25">
      <c r="Y1059" s="340"/>
      <c r="Z1059" s="340"/>
      <c r="AA1059" s="340"/>
      <c r="AB1059" s="340"/>
    </row>
    <row r="1060" spans="25:28" x14ac:dyDescent="0.25">
      <c r="Y1060" s="340"/>
      <c r="Z1060" s="340"/>
      <c r="AA1060" s="340"/>
      <c r="AB1060" s="340"/>
    </row>
    <row r="1061" spans="25:28" x14ac:dyDescent="0.25">
      <c r="Y1061" s="340"/>
      <c r="Z1061" s="340"/>
      <c r="AA1061" s="340"/>
      <c r="AB1061" s="340"/>
    </row>
    <row r="1062" spans="25:28" x14ac:dyDescent="0.25">
      <c r="Y1062" s="340"/>
      <c r="Z1062" s="340"/>
      <c r="AA1062" s="340"/>
      <c r="AB1062" s="340"/>
    </row>
    <row r="1063" spans="25:28" x14ac:dyDescent="0.25">
      <c r="Y1063" s="340"/>
      <c r="Z1063" s="340"/>
      <c r="AA1063" s="340"/>
      <c r="AB1063" s="340"/>
    </row>
    <row r="1064" spans="25:28" x14ac:dyDescent="0.25">
      <c r="Y1064" s="340"/>
      <c r="Z1064" s="340"/>
      <c r="AA1064" s="340"/>
      <c r="AB1064" s="340"/>
    </row>
    <row r="1065" spans="25:28" x14ac:dyDescent="0.25">
      <c r="Y1065" s="340"/>
      <c r="Z1065" s="340"/>
      <c r="AA1065" s="340"/>
      <c r="AB1065" s="340"/>
    </row>
    <row r="1066" spans="25:28" x14ac:dyDescent="0.25">
      <c r="Y1066" s="340"/>
      <c r="Z1066" s="340"/>
      <c r="AA1066" s="340"/>
      <c r="AB1066" s="340"/>
    </row>
    <row r="1067" spans="25:28" x14ac:dyDescent="0.25">
      <c r="Y1067" s="340"/>
      <c r="Z1067" s="340"/>
      <c r="AA1067" s="340"/>
      <c r="AB1067" s="340"/>
    </row>
    <row r="1068" spans="25:28" x14ac:dyDescent="0.25">
      <c r="Y1068" s="340"/>
      <c r="Z1068" s="340"/>
      <c r="AA1068" s="340"/>
      <c r="AB1068" s="340"/>
    </row>
    <row r="1069" spans="25:28" x14ac:dyDescent="0.25">
      <c r="Y1069" s="340"/>
      <c r="Z1069" s="340"/>
      <c r="AA1069" s="340"/>
      <c r="AB1069" s="340"/>
    </row>
    <row r="1070" spans="25:28" x14ac:dyDescent="0.25">
      <c r="Y1070" s="340"/>
      <c r="Z1070" s="340"/>
      <c r="AA1070" s="340"/>
      <c r="AB1070" s="340"/>
    </row>
    <row r="1071" spans="25:28" x14ac:dyDescent="0.25">
      <c r="Y1071" s="340"/>
      <c r="Z1071" s="340"/>
      <c r="AA1071" s="340"/>
      <c r="AB1071" s="340"/>
    </row>
    <row r="1072" spans="25:28" x14ac:dyDescent="0.25">
      <c r="Y1072" s="340"/>
      <c r="Z1072" s="340"/>
      <c r="AA1072" s="340"/>
      <c r="AB1072" s="340"/>
    </row>
    <row r="1073" spans="25:28" x14ac:dyDescent="0.25">
      <c r="Y1073" s="340"/>
      <c r="Z1073" s="340"/>
      <c r="AA1073" s="340"/>
      <c r="AB1073" s="340"/>
    </row>
    <row r="1074" spans="25:28" x14ac:dyDescent="0.25">
      <c r="Y1074" s="340"/>
      <c r="Z1074" s="340"/>
      <c r="AA1074" s="340"/>
      <c r="AB1074" s="340"/>
    </row>
    <row r="1075" spans="25:28" x14ac:dyDescent="0.25">
      <c r="Y1075" s="340"/>
      <c r="Z1075" s="340"/>
      <c r="AA1075" s="340"/>
      <c r="AB1075" s="340"/>
    </row>
    <row r="1076" spans="25:28" x14ac:dyDescent="0.25">
      <c r="Y1076" s="340"/>
      <c r="Z1076" s="340"/>
      <c r="AA1076" s="340"/>
      <c r="AB1076" s="340"/>
    </row>
    <row r="1077" spans="25:28" x14ac:dyDescent="0.25">
      <c r="Y1077" s="340"/>
      <c r="Z1077" s="340"/>
      <c r="AA1077" s="340"/>
      <c r="AB1077" s="340"/>
    </row>
    <row r="1078" spans="25:28" x14ac:dyDescent="0.25">
      <c r="Y1078" s="340"/>
      <c r="Z1078" s="340"/>
      <c r="AA1078" s="340"/>
      <c r="AB1078" s="340"/>
    </row>
    <row r="1079" spans="25:28" x14ac:dyDescent="0.25">
      <c r="Y1079" s="340"/>
      <c r="Z1079" s="340"/>
      <c r="AA1079" s="340"/>
      <c r="AB1079" s="340"/>
    </row>
    <row r="1080" spans="25:28" x14ac:dyDescent="0.25">
      <c r="Y1080" s="340"/>
      <c r="Z1080" s="340"/>
      <c r="AA1080" s="340"/>
      <c r="AB1080" s="340"/>
    </row>
    <row r="1081" spans="25:28" x14ac:dyDescent="0.25">
      <c r="Y1081" s="340"/>
      <c r="Z1081" s="340"/>
      <c r="AA1081" s="340"/>
      <c r="AB1081" s="340"/>
    </row>
    <row r="1082" spans="25:28" x14ac:dyDescent="0.25">
      <c r="Y1082" s="340"/>
      <c r="Z1082" s="340"/>
      <c r="AA1082" s="340"/>
      <c r="AB1082" s="340"/>
    </row>
    <row r="1083" spans="25:28" x14ac:dyDescent="0.25">
      <c r="Y1083" s="340"/>
      <c r="Z1083" s="340"/>
      <c r="AA1083" s="340"/>
      <c r="AB1083" s="340"/>
    </row>
    <row r="1084" spans="25:28" x14ac:dyDescent="0.25">
      <c r="Y1084" s="340"/>
      <c r="Z1084" s="340"/>
      <c r="AA1084" s="340"/>
      <c r="AB1084" s="340"/>
    </row>
    <row r="1085" spans="25:28" x14ac:dyDescent="0.25">
      <c r="Y1085" s="340"/>
      <c r="Z1085" s="340"/>
      <c r="AA1085" s="340"/>
      <c r="AB1085" s="340"/>
    </row>
    <row r="1086" spans="25:28" x14ac:dyDescent="0.25">
      <c r="Y1086" s="340"/>
      <c r="Z1086" s="340"/>
      <c r="AA1086" s="340"/>
      <c r="AB1086" s="340"/>
    </row>
    <row r="1087" spans="25:28" x14ac:dyDescent="0.25">
      <c r="Y1087" s="340"/>
      <c r="Z1087" s="340"/>
      <c r="AA1087" s="340"/>
      <c r="AB1087" s="340"/>
    </row>
    <row r="1088" spans="25:28" x14ac:dyDescent="0.25">
      <c r="Y1088" s="340"/>
      <c r="Z1088" s="340"/>
      <c r="AA1088" s="340"/>
      <c r="AB1088" s="340"/>
    </row>
    <row r="1089" spans="25:28" x14ac:dyDescent="0.25">
      <c r="Y1089" s="340"/>
      <c r="Z1089" s="340"/>
      <c r="AA1089" s="340"/>
      <c r="AB1089" s="340"/>
    </row>
    <row r="1090" spans="25:28" x14ac:dyDescent="0.25">
      <c r="Y1090" s="340"/>
      <c r="Z1090" s="340"/>
      <c r="AA1090" s="340"/>
      <c r="AB1090" s="340"/>
    </row>
    <row r="1091" spans="25:28" x14ac:dyDescent="0.25">
      <c r="Y1091" s="340"/>
      <c r="Z1091" s="340"/>
      <c r="AA1091" s="340"/>
      <c r="AB1091" s="340"/>
    </row>
    <row r="1092" spans="25:28" x14ac:dyDescent="0.25">
      <c r="Y1092" s="340"/>
      <c r="Z1092" s="340"/>
      <c r="AA1092" s="340"/>
      <c r="AB1092" s="340"/>
    </row>
    <row r="1093" spans="25:28" x14ac:dyDescent="0.25">
      <c r="Y1093" s="340"/>
      <c r="Z1093" s="340"/>
      <c r="AA1093" s="340"/>
      <c r="AB1093" s="340"/>
    </row>
    <row r="1094" spans="25:28" x14ac:dyDescent="0.25">
      <c r="Y1094" s="340"/>
      <c r="Z1094" s="340"/>
      <c r="AA1094" s="340"/>
      <c r="AB1094" s="340"/>
    </row>
    <row r="1095" spans="25:28" x14ac:dyDescent="0.25">
      <c r="Y1095" s="340"/>
      <c r="Z1095" s="340"/>
      <c r="AA1095" s="340"/>
      <c r="AB1095" s="340"/>
    </row>
    <row r="1096" spans="25:28" x14ac:dyDescent="0.25">
      <c r="Y1096" s="340"/>
      <c r="Z1096" s="340"/>
      <c r="AA1096" s="340"/>
      <c r="AB1096" s="340"/>
    </row>
    <row r="1097" spans="25:28" x14ac:dyDescent="0.25">
      <c r="Y1097" s="340"/>
      <c r="Z1097" s="340"/>
      <c r="AA1097" s="340"/>
      <c r="AB1097" s="340"/>
    </row>
    <row r="1098" spans="25:28" x14ac:dyDescent="0.25">
      <c r="Y1098" s="340"/>
      <c r="Z1098" s="340"/>
      <c r="AA1098" s="340"/>
      <c r="AB1098" s="340"/>
    </row>
    <row r="1099" spans="25:28" x14ac:dyDescent="0.25">
      <c r="Y1099" s="340"/>
      <c r="Z1099" s="340"/>
      <c r="AA1099" s="340"/>
      <c r="AB1099" s="340"/>
    </row>
    <row r="1100" spans="25:28" x14ac:dyDescent="0.25">
      <c r="Y1100" s="340"/>
      <c r="Z1100" s="340"/>
      <c r="AA1100" s="340"/>
      <c r="AB1100" s="340"/>
    </row>
    <row r="1101" spans="25:28" x14ac:dyDescent="0.25">
      <c r="Y1101" s="340"/>
      <c r="Z1101" s="340"/>
      <c r="AA1101" s="340"/>
      <c r="AB1101" s="340"/>
    </row>
    <row r="1102" spans="25:28" x14ac:dyDescent="0.25">
      <c r="Y1102" s="340"/>
      <c r="Z1102" s="340"/>
      <c r="AA1102" s="340"/>
      <c r="AB1102" s="340"/>
    </row>
    <row r="1103" spans="25:28" x14ac:dyDescent="0.25">
      <c r="Y1103" s="340"/>
      <c r="Z1103" s="340"/>
      <c r="AA1103" s="340"/>
      <c r="AB1103" s="340"/>
    </row>
    <row r="1104" spans="25:28" x14ac:dyDescent="0.25">
      <c r="Y1104" s="340"/>
      <c r="Z1104" s="340"/>
      <c r="AA1104" s="340"/>
      <c r="AB1104" s="340"/>
    </row>
    <row r="1105" spans="25:28" x14ac:dyDescent="0.25">
      <c r="Y1105" s="340"/>
      <c r="Z1105" s="340"/>
      <c r="AA1105" s="340"/>
      <c r="AB1105" s="340"/>
    </row>
    <row r="1106" spans="25:28" x14ac:dyDescent="0.25">
      <c r="Y1106" s="340"/>
      <c r="Z1106" s="340"/>
      <c r="AA1106" s="340"/>
      <c r="AB1106" s="340"/>
    </row>
    <row r="1107" spans="25:28" x14ac:dyDescent="0.25">
      <c r="Y1107" s="340"/>
      <c r="Z1107" s="340"/>
      <c r="AA1107" s="340"/>
      <c r="AB1107" s="340"/>
    </row>
    <row r="1108" spans="25:28" x14ac:dyDescent="0.25">
      <c r="Y1108" s="340"/>
      <c r="Z1108" s="340"/>
      <c r="AA1108" s="340"/>
      <c r="AB1108" s="340"/>
    </row>
    <row r="1109" spans="25:28" x14ac:dyDescent="0.25">
      <c r="Y1109" s="340"/>
      <c r="Z1109" s="340"/>
      <c r="AA1109" s="340"/>
      <c r="AB1109" s="340"/>
    </row>
    <row r="1110" spans="25:28" x14ac:dyDescent="0.25">
      <c r="Y1110" s="340"/>
      <c r="Z1110" s="340"/>
      <c r="AA1110" s="340"/>
      <c r="AB1110" s="340"/>
    </row>
    <row r="1111" spans="25:28" x14ac:dyDescent="0.25">
      <c r="Y1111" s="340"/>
      <c r="Z1111" s="340"/>
      <c r="AA1111" s="340"/>
      <c r="AB1111" s="340"/>
    </row>
    <row r="1112" spans="25:28" x14ac:dyDescent="0.25">
      <c r="Y1112" s="340"/>
      <c r="Z1112" s="340"/>
      <c r="AA1112" s="340"/>
      <c r="AB1112" s="340"/>
    </row>
    <row r="1113" spans="25:28" x14ac:dyDescent="0.25">
      <c r="Y1113" s="340"/>
      <c r="Z1113" s="340"/>
      <c r="AA1113" s="340"/>
      <c r="AB1113" s="340"/>
    </row>
    <row r="1114" spans="25:28" x14ac:dyDescent="0.25">
      <c r="Y1114" s="340"/>
      <c r="Z1114" s="340"/>
      <c r="AA1114" s="340"/>
      <c r="AB1114" s="340"/>
    </row>
    <row r="1115" spans="25:28" x14ac:dyDescent="0.25">
      <c r="Y1115" s="340"/>
      <c r="Z1115" s="340"/>
      <c r="AA1115" s="340"/>
      <c r="AB1115" s="340"/>
    </row>
    <row r="1116" spans="25:28" x14ac:dyDescent="0.25">
      <c r="Y1116" s="340"/>
      <c r="Z1116" s="340"/>
      <c r="AA1116" s="340"/>
      <c r="AB1116" s="340"/>
    </row>
    <row r="1117" spans="25:28" x14ac:dyDescent="0.25">
      <c r="Y1117" s="340"/>
      <c r="Z1117" s="340"/>
      <c r="AA1117" s="340"/>
      <c r="AB1117" s="340"/>
    </row>
    <row r="1118" spans="25:28" x14ac:dyDescent="0.25">
      <c r="Y1118" s="340"/>
      <c r="Z1118" s="340"/>
      <c r="AA1118" s="340"/>
      <c r="AB1118" s="340"/>
    </row>
    <row r="1119" spans="25:28" x14ac:dyDescent="0.25">
      <c r="Y1119" s="340"/>
      <c r="Z1119" s="340"/>
      <c r="AA1119" s="340"/>
      <c r="AB1119" s="340"/>
    </row>
    <row r="1120" spans="25:28" x14ac:dyDescent="0.25">
      <c r="Y1120" s="340"/>
      <c r="Z1120" s="340"/>
      <c r="AA1120" s="340"/>
      <c r="AB1120" s="340"/>
    </row>
    <row r="1121" spans="25:28" x14ac:dyDescent="0.25">
      <c r="Y1121" s="340"/>
      <c r="Z1121" s="340"/>
      <c r="AA1121" s="340"/>
      <c r="AB1121" s="340"/>
    </row>
    <row r="1122" spans="25:28" x14ac:dyDescent="0.25">
      <c r="Y1122" s="340"/>
      <c r="Z1122" s="340"/>
      <c r="AA1122" s="340"/>
      <c r="AB1122" s="340"/>
    </row>
    <row r="1123" spans="25:28" x14ac:dyDescent="0.25">
      <c r="Y1123" s="340"/>
      <c r="Z1123" s="340"/>
      <c r="AA1123" s="340"/>
      <c r="AB1123" s="340"/>
    </row>
    <row r="1124" spans="25:28" x14ac:dyDescent="0.25">
      <c r="Y1124" s="340"/>
      <c r="Z1124" s="340"/>
      <c r="AA1124" s="340"/>
      <c r="AB1124" s="340"/>
    </row>
    <row r="1125" spans="25:28" x14ac:dyDescent="0.25">
      <c r="Y1125" s="340"/>
      <c r="Z1125" s="340"/>
      <c r="AA1125" s="340"/>
      <c r="AB1125" s="340"/>
    </row>
    <row r="1126" spans="25:28" x14ac:dyDescent="0.25">
      <c r="Y1126" s="340"/>
      <c r="Z1126" s="340"/>
      <c r="AA1126" s="340"/>
      <c r="AB1126" s="340"/>
    </row>
    <row r="1127" spans="25:28" x14ac:dyDescent="0.25">
      <c r="Y1127" s="340"/>
      <c r="Z1127" s="340"/>
      <c r="AA1127" s="340"/>
      <c r="AB1127" s="340"/>
    </row>
    <row r="1128" spans="25:28" x14ac:dyDescent="0.25">
      <c r="Y1128" s="340"/>
      <c r="Z1128" s="340"/>
      <c r="AA1128" s="340"/>
      <c r="AB1128" s="340"/>
    </row>
    <row r="1129" spans="25:28" x14ac:dyDescent="0.25">
      <c r="Y1129" s="340"/>
      <c r="Z1129" s="340"/>
      <c r="AA1129" s="340"/>
      <c r="AB1129" s="340"/>
    </row>
    <row r="1130" spans="25:28" x14ac:dyDescent="0.25">
      <c r="Y1130" s="340"/>
      <c r="Z1130" s="340"/>
      <c r="AA1130" s="340"/>
      <c r="AB1130" s="340"/>
    </row>
    <row r="1131" spans="25:28" x14ac:dyDescent="0.25">
      <c r="Y1131" s="340"/>
      <c r="Z1131" s="340"/>
      <c r="AA1131" s="340"/>
      <c r="AB1131" s="340"/>
    </row>
    <row r="1132" spans="25:28" x14ac:dyDescent="0.25">
      <c r="Y1132" s="340"/>
      <c r="Z1132" s="340"/>
      <c r="AA1132" s="340"/>
      <c r="AB1132" s="340"/>
    </row>
    <row r="1133" spans="25:28" x14ac:dyDescent="0.25">
      <c r="Y1133" s="340"/>
      <c r="Z1133" s="340"/>
      <c r="AA1133" s="340"/>
      <c r="AB1133" s="340"/>
    </row>
    <row r="1134" spans="25:28" x14ac:dyDescent="0.25">
      <c r="Y1134" s="340"/>
      <c r="Z1134" s="340"/>
      <c r="AA1134" s="340"/>
      <c r="AB1134" s="340"/>
    </row>
    <row r="1135" spans="25:28" x14ac:dyDescent="0.25">
      <c r="Y1135" s="340"/>
      <c r="Z1135" s="340"/>
      <c r="AA1135" s="340"/>
      <c r="AB1135" s="340"/>
    </row>
    <row r="1136" spans="25:28" x14ac:dyDescent="0.25">
      <c r="Y1136" s="340"/>
      <c r="Z1136" s="340"/>
      <c r="AA1136" s="340"/>
      <c r="AB1136" s="340"/>
    </row>
    <row r="1137" spans="25:28" x14ac:dyDescent="0.25">
      <c r="Y1137" s="340"/>
      <c r="Z1137" s="340"/>
      <c r="AA1137" s="340"/>
      <c r="AB1137" s="340"/>
    </row>
    <row r="1138" spans="25:28" x14ac:dyDescent="0.25">
      <c r="Y1138" s="340"/>
      <c r="Z1138" s="340"/>
      <c r="AA1138" s="340"/>
      <c r="AB1138" s="340"/>
    </row>
    <row r="1139" spans="25:28" x14ac:dyDescent="0.25">
      <c r="Y1139" s="340"/>
      <c r="Z1139" s="340"/>
      <c r="AA1139" s="340"/>
      <c r="AB1139" s="340"/>
    </row>
    <row r="1140" spans="25:28" x14ac:dyDescent="0.25">
      <c r="Y1140" s="340"/>
      <c r="Z1140" s="340"/>
      <c r="AA1140" s="340"/>
      <c r="AB1140" s="340"/>
    </row>
    <row r="1141" spans="25:28" x14ac:dyDescent="0.25">
      <c r="Y1141" s="340"/>
      <c r="Z1141" s="340"/>
      <c r="AA1141" s="340"/>
      <c r="AB1141" s="340"/>
    </row>
    <row r="1142" spans="25:28" x14ac:dyDescent="0.25">
      <c r="Y1142" s="340"/>
      <c r="Z1142" s="340"/>
      <c r="AA1142" s="340"/>
      <c r="AB1142" s="340"/>
    </row>
    <row r="1143" spans="25:28" x14ac:dyDescent="0.25">
      <c r="Y1143" s="340"/>
      <c r="Z1143" s="340"/>
      <c r="AA1143" s="340"/>
      <c r="AB1143" s="340"/>
    </row>
    <row r="1144" spans="25:28" x14ac:dyDescent="0.25">
      <c r="Y1144" s="340"/>
      <c r="Z1144" s="340"/>
      <c r="AA1144" s="340"/>
      <c r="AB1144" s="340"/>
    </row>
    <row r="1145" spans="25:28" x14ac:dyDescent="0.25">
      <c r="Y1145" s="340"/>
      <c r="Z1145" s="340"/>
      <c r="AA1145" s="340"/>
      <c r="AB1145" s="340"/>
    </row>
    <row r="1146" spans="25:28" x14ac:dyDescent="0.25">
      <c r="Y1146" s="340"/>
      <c r="Z1146" s="340"/>
      <c r="AA1146" s="340"/>
      <c r="AB1146" s="340"/>
    </row>
    <row r="1147" spans="25:28" x14ac:dyDescent="0.25">
      <c r="Y1147" s="340"/>
      <c r="Z1147" s="340"/>
      <c r="AA1147" s="340"/>
      <c r="AB1147" s="340"/>
    </row>
    <row r="1148" spans="25:28" x14ac:dyDescent="0.25">
      <c r="Y1148" s="340"/>
      <c r="Z1148" s="340"/>
      <c r="AA1148" s="340"/>
      <c r="AB1148" s="340"/>
    </row>
    <row r="1149" spans="25:28" x14ac:dyDescent="0.25">
      <c r="Y1149" s="340"/>
      <c r="Z1149" s="340"/>
      <c r="AA1149" s="340"/>
      <c r="AB1149" s="340"/>
    </row>
    <row r="1150" spans="25:28" x14ac:dyDescent="0.25">
      <c r="Y1150" s="340"/>
      <c r="Z1150" s="340"/>
      <c r="AA1150" s="340"/>
      <c r="AB1150" s="340"/>
    </row>
    <row r="1151" spans="25:28" x14ac:dyDescent="0.25">
      <c r="Y1151" s="340"/>
      <c r="Z1151" s="340"/>
      <c r="AA1151" s="340"/>
      <c r="AB1151" s="340"/>
    </row>
    <row r="1152" spans="25:28" x14ac:dyDescent="0.25">
      <c r="Y1152" s="340"/>
      <c r="Z1152" s="340"/>
      <c r="AA1152" s="340"/>
      <c r="AB1152" s="340"/>
    </row>
    <row r="1153" spans="25:28" x14ac:dyDescent="0.25">
      <c r="Y1153" s="340"/>
      <c r="Z1153" s="340"/>
      <c r="AA1153" s="340"/>
      <c r="AB1153" s="340"/>
    </row>
    <row r="1154" spans="25:28" x14ac:dyDescent="0.25">
      <c r="Y1154" s="340"/>
      <c r="Z1154" s="340"/>
      <c r="AA1154" s="340"/>
      <c r="AB1154" s="340"/>
    </row>
    <row r="1155" spans="25:28" x14ac:dyDescent="0.25">
      <c r="Y1155" s="340"/>
      <c r="Z1155" s="340"/>
      <c r="AA1155" s="340"/>
      <c r="AB1155" s="340"/>
    </row>
    <row r="1156" spans="25:28" x14ac:dyDescent="0.25">
      <c r="Y1156" s="340"/>
      <c r="Z1156" s="340"/>
      <c r="AA1156" s="340"/>
      <c r="AB1156" s="340"/>
    </row>
    <row r="1157" spans="25:28" x14ac:dyDescent="0.25">
      <c r="Y1157" s="340"/>
      <c r="Z1157" s="340"/>
      <c r="AA1157" s="340"/>
      <c r="AB1157" s="340"/>
    </row>
    <row r="1158" spans="25:28" x14ac:dyDescent="0.25">
      <c r="Y1158" s="340"/>
      <c r="Z1158" s="340"/>
      <c r="AA1158" s="340"/>
      <c r="AB1158" s="340"/>
    </row>
    <row r="1159" spans="25:28" x14ac:dyDescent="0.25">
      <c r="Y1159" s="340"/>
      <c r="Z1159" s="340"/>
      <c r="AA1159" s="340"/>
      <c r="AB1159" s="340"/>
    </row>
    <row r="1160" spans="25:28" x14ac:dyDescent="0.25">
      <c r="Y1160" s="340"/>
      <c r="Z1160" s="340"/>
      <c r="AA1160" s="340"/>
      <c r="AB1160" s="340"/>
    </row>
    <row r="1161" spans="25:28" x14ac:dyDescent="0.25">
      <c r="Y1161" s="340"/>
      <c r="Z1161" s="340"/>
      <c r="AA1161" s="340"/>
      <c r="AB1161" s="340"/>
    </row>
    <row r="1162" spans="25:28" x14ac:dyDescent="0.25">
      <c r="Y1162" s="340"/>
      <c r="Z1162" s="340"/>
      <c r="AA1162" s="340"/>
      <c r="AB1162" s="340"/>
    </row>
    <row r="1163" spans="25:28" x14ac:dyDescent="0.25">
      <c r="Y1163" s="340"/>
      <c r="Z1163" s="340"/>
      <c r="AA1163" s="340"/>
      <c r="AB1163" s="340"/>
    </row>
    <row r="1164" spans="25:28" x14ac:dyDescent="0.25">
      <c r="Y1164" s="340"/>
      <c r="Z1164" s="340"/>
      <c r="AA1164" s="340"/>
      <c r="AB1164" s="340"/>
    </row>
    <row r="1165" spans="25:28" x14ac:dyDescent="0.25">
      <c r="Y1165" s="340"/>
      <c r="Z1165" s="340"/>
      <c r="AA1165" s="340"/>
      <c r="AB1165" s="340"/>
    </row>
    <row r="1166" spans="25:28" x14ac:dyDescent="0.25">
      <c r="Y1166" s="340"/>
      <c r="Z1166" s="340"/>
      <c r="AA1166" s="340"/>
      <c r="AB1166" s="340"/>
    </row>
    <row r="1167" spans="25:28" x14ac:dyDescent="0.25">
      <c r="Y1167" s="340"/>
      <c r="Z1167" s="340"/>
      <c r="AA1167" s="340"/>
      <c r="AB1167" s="340"/>
    </row>
    <row r="1168" spans="25:28" x14ac:dyDescent="0.25">
      <c r="Y1168" s="340"/>
      <c r="Z1168" s="340"/>
      <c r="AA1168" s="340"/>
      <c r="AB1168" s="340"/>
    </row>
    <row r="1169" spans="25:28" x14ac:dyDescent="0.25">
      <c r="Y1169" s="340"/>
      <c r="Z1169" s="340"/>
      <c r="AA1169" s="340"/>
      <c r="AB1169" s="340"/>
    </row>
    <row r="1170" spans="25:28" x14ac:dyDescent="0.25">
      <c r="Y1170" s="340"/>
      <c r="Z1170" s="340"/>
      <c r="AA1170" s="340"/>
      <c r="AB1170" s="340"/>
    </row>
    <row r="1171" spans="25:28" x14ac:dyDescent="0.25">
      <c r="Y1171" s="340"/>
      <c r="Z1171" s="340"/>
      <c r="AA1171" s="340"/>
      <c r="AB1171" s="340"/>
    </row>
    <row r="1172" spans="25:28" x14ac:dyDescent="0.25">
      <c r="Y1172" s="340"/>
      <c r="Z1172" s="340"/>
      <c r="AA1172" s="340"/>
      <c r="AB1172" s="340"/>
    </row>
    <row r="1173" spans="25:28" x14ac:dyDescent="0.25">
      <c r="Y1173" s="340"/>
      <c r="Z1173" s="340"/>
      <c r="AA1173" s="340"/>
      <c r="AB1173" s="340"/>
    </row>
    <row r="1174" spans="25:28" x14ac:dyDescent="0.25">
      <c r="Y1174" s="340"/>
      <c r="Z1174" s="340"/>
      <c r="AA1174" s="340"/>
      <c r="AB1174" s="340"/>
    </row>
    <row r="1175" spans="25:28" x14ac:dyDescent="0.25">
      <c r="Y1175" s="340"/>
      <c r="Z1175" s="340"/>
      <c r="AA1175" s="340"/>
      <c r="AB1175" s="340"/>
    </row>
    <row r="1176" spans="25:28" x14ac:dyDescent="0.25">
      <c r="Y1176" s="340"/>
      <c r="Z1176" s="340"/>
      <c r="AA1176" s="340"/>
      <c r="AB1176" s="340"/>
    </row>
    <row r="1177" spans="25:28" x14ac:dyDescent="0.25">
      <c r="Y1177" s="340"/>
      <c r="Z1177" s="340"/>
      <c r="AA1177" s="340"/>
      <c r="AB1177" s="340"/>
    </row>
    <row r="1178" spans="25:28" x14ac:dyDescent="0.25">
      <c r="Y1178" s="340"/>
      <c r="Z1178" s="340"/>
      <c r="AA1178" s="340"/>
      <c r="AB1178" s="340"/>
    </row>
    <row r="1179" spans="25:28" x14ac:dyDescent="0.25">
      <c r="Y1179" s="340"/>
      <c r="Z1179" s="340"/>
      <c r="AA1179" s="340"/>
      <c r="AB1179" s="340"/>
    </row>
    <row r="1180" spans="25:28" x14ac:dyDescent="0.25">
      <c r="Y1180" s="340"/>
      <c r="Z1180" s="340"/>
      <c r="AA1180" s="340"/>
      <c r="AB1180" s="340"/>
    </row>
    <row r="1181" spans="25:28" x14ac:dyDescent="0.25">
      <c r="Y1181" s="340"/>
      <c r="Z1181" s="340"/>
      <c r="AA1181" s="340"/>
      <c r="AB1181" s="340"/>
    </row>
    <row r="1182" spans="25:28" x14ac:dyDescent="0.25">
      <c r="Y1182" s="340"/>
      <c r="Z1182" s="340"/>
      <c r="AA1182" s="340"/>
      <c r="AB1182" s="340"/>
    </row>
    <row r="1183" spans="25:28" x14ac:dyDescent="0.25">
      <c r="Y1183" s="340"/>
      <c r="Z1183" s="340"/>
      <c r="AA1183" s="340"/>
      <c r="AB1183" s="340"/>
    </row>
    <row r="1184" spans="25:28" x14ac:dyDescent="0.25">
      <c r="Y1184" s="340"/>
      <c r="Z1184" s="340"/>
      <c r="AA1184" s="340"/>
      <c r="AB1184" s="340"/>
    </row>
    <row r="1185" spans="25:28" x14ac:dyDescent="0.25">
      <c r="Y1185" s="340"/>
      <c r="Z1185" s="340"/>
      <c r="AA1185" s="340"/>
      <c r="AB1185" s="340"/>
    </row>
    <row r="1186" spans="25:28" x14ac:dyDescent="0.25">
      <c r="Y1186" s="340"/>
      <c r="Z1186" s="340"/>
      <c r="AA1186" s="340"/>
      <c r="AB1186" s="340"/>
    </row>
    <row r="1187" spans="25:28" x14ac:dyDescent="0.25">
      <c r="Y1187" s="340"/>
      <c r="Z1187" s="340"/>
      <c r="AA1187" s="340"/>
      <c r="AB1187" s="340"/>
    </row>
    <row r="1188" spans="25:28" x14ac:dyDescent="0.25">
      <c r="Y1188" s="340"/>
      <c r="Z1188" s="340"/>
      <c r="AA1188" s="340"/>
      <c r="AB1188" s="340"/>
    </row>
    <row r="1189" spans="25:28" x14ac:dyDescent="0.25">
      <c r="Y1189" s="340"/>
      <c r="Z1189" s="340"/>
      <c r="AA1189" s="340"/>
      <c r="AB1189" s="340"/>
    </row>
    <row r="1190" spans="25:28" x14ac:dyDescent="0.25">
      <c r="Y1190" s="340"/>
      <c r="Z1190" s="340"/>
      <c r="AA1190" s="340"/>
      <c r="AB1190" s="340"/>
    </row>
    <row r="1191" spans="25:28" x14ac:dyDescent="0.25">
      <c r="Y1191" s="340"/>
      <c r="Z1191" s="340"/>
      <c r="AA1191" s="340"/>
      <c r="AB1191" s="340"/>
    </row>
    <row r="1192" spans="25:28" x14ac:dyDescent="0.25">
      <c r="Y1192" s="340"/>
      <c r="Z1192" s="340"/>
      <c r="AA1192" s="340"/>
      <c r="AB1192" s="340"/>
    </row>
    <row r="1193" spans="25:28" x14ac:dyDescent="0.25">
      <c r="Y1193" s="340"/>
      <c r="Z1193" s="340"/>
      <c r="AA1193" s="340"/>
      <c r="AB1193" s="340"/>
    </row>
    <row r="1194" spans="25:28" x14ac:dyDescent="0.25">
      <c r="Y1194" s="340"/>
      <c r="Z1194" s="340"/>
      <c r="AA1194" s="340"/>
      <c r="AB1194" s="340"/>
    </row>
    <row r="1195" spans="25:28" x14ac:dyDescent="0.25">
      <c r="Y1195" s="340"/>
      <c r="Z1195" s="340"/>
      <c r="AA1195" s="340"/>
      <c r="AB1195" s="340"/>
    </row>
    <row r="1196" spans="25:28" x14ac:dyDescent="0.25">
      <c r="Y1196" s="340"/>
      <c r="Z1196" s="340"/>
      <c r="AA1196" s="340"/>
      <c r="AB1196" s="340"/>
    </row>
    <row r="1197" spans="25:28" x14ac:dyDescent="0.25">
      <c r="Y1197" s="340"/>
      <c r="Z1197" s="340"/>
      <c r="AA1197" s="340"/>
      <c r="AB1197" s="340"/>
    </row>
    <row r="1198" spans="25:28" x14ac:dyDescent="0.25">
      <c r="Y1198" s="340"/>
      <c r="Z1198" s="340"/>
      <c r="AA1198" s="340"/>
      <c r="AB1198" s="340"/>
    </row>
    <row r="1199" spans="25:28" x14ac:dyDescent="0.25">
      <c r="Y1199" s="340"/>
      <c r="Z1199" s="340"/>
      <c r="AA1199" s="340"/>
      <c r="AB1199" s="340"/>
    </row>
    <row r="1200" spans="25:28" x14ac:dyDescent="0.25">
      <c r="Y1200" s="340"/>
      <c r="Z1200" s="340"/>
      <c r="AA1200" s="340"/>
      <c r="AB1200" s="340"/>
    </row>
    <row r="1201" spans="25:28" x14ac:dyDescent="0.25">
      <c r="Y1201" s="340"/>
      <c r="Z1201" s="340"/>
      <c r="AA1201" s="340"/>
      <c r="AB1201" s="340"/>
    </row>
    <row r="1202" spans="25:28" x14ac:dyDescent="0.25">
      <c r="Y1202" s="340"/>
      <c r="Z1202" s="340"/>
      <c r="AA1202" s="340"/>
      <c r="AB1202" s="340"/>
    </row>
    <row r="1203" spans="25:28" x14ac:dyDescent="0.25">
      <c r="Y1203" s="340"/>
      <c r="Z1203" s="340"/>
      <c r="AA1203" s="340"/>
      <c r="AB1203" s="340"/>
    </row>
    <row r="1204" spans="25:28" x14ac:dyDescent="0.25">
      <c r="Y1204" s="340"/>
      <c r="Z1204" s="340"/>
      <c r="AA1204" s="340"/>
      <c r="AB1204" s="340"/>
    </row>
    <row r="1205" spans="25:28" x14ac:dyDescent="0.25">
      <c r="Y1205" s="340"/>
      <c r="Z1205" s="340"/>
      <c r="AA1205" s="340"/>
      <c r="AB1205" s="340"/>
    </row>
    <row r="1206" spans="25:28" x14ac:dyDescent="0.25">
      <c r="Y1206" s="340"/>
      <c r="Z1206" s="340"/>
      <c r="AA1206" s="340"/>
      <c r="AB1206" s="340"/>
    </row>
    <row r="1207" spans="25:28" x14ac:dyDescent="0.25">
      <c r="Y1207" s="340"/>
      <c r="Z1207" s="340"/>
      <c r="AA1207" s="340"/>
      <c r="AB1207" s="340"/>
    </row>
    <row r="1208" spans="25:28" x14ac:dyDescent="0.25">
      <c r="Y1208" s="340"/>
      <c r="Z1208" s="340"/>
      <c r="AA1208" s="340"/>
      <c r="AB1208" s="340"/>
    </row>
    <row r="1209" spans="25:28" x14ac:dyDescent="0.25">
      <c r="Y1209" s="340"/>
      <c r="Z1209" s="340"/>
      <c r="AA1209" s="340"/>
      <c r="AB1209" s="340"/>
    </row>
    <row r="1210" spans="25:28" x14ac:dyDescent="0.25">
      <c r="Y1210" s="340"/>
      <c r="Z1210" s="340"/>
      <c r="AA1210" s="340"/>
      <c r="AB1210" s="340"/>
    </row>
    <row r="1211" spans="25:28" x14ac:dyDescent="0.25">
      <c r="Y1211" s="340"/>
      <c r="Z1211" s="340"/>
      <c r="AA1211" s="340"/>
      <c r="AB1211" s="340"/>
    </row>
    <row r="1212" spans="25:28" x14ac:dyDescent="0.25">
      <c r="Y1212" s="340"/>
      <c r="Z1212" s="340"/>
      <c r="AA1212" s="340"/>
      <c r="AB1212" s="340"/>
    </row>
    <row r="1213" spans="25:28" x14ac:dyDescent="0.25">
      <c r="Y1213" s="340"/>
      <c r="Z1213" s="340"/>
      <c r="AA1213" s="340"/>
      <c r="AB1213" s="340"/>
    </row>
    <row r="1214" spans="25:28" x14ac:dyDescent="0.25">
      <c r="Y1214" s="340"/>
      <c r="Z1214" s="340"/>
      <c r="AA1214" s="340"/>
      <c r="AB1214" s="340"/>
    </row>
    <row r="1215" spans="25:28" x14ac:dyDescent="0.25">
      <c r="Y1215" s="340"/>
      <c r="Z1215" s="340"/>
      <c r="AA1215" s="340"/>
      <c r="AB1215" s="340"/>
    </row>
    <row r="1216" spans="25:28" x14ac:dyDescent="0.25">
      <c r="Y1216" s="340"/>
      <c r="Z1216" s="340"/>
      <c r="AA1216" s="340"/>
      <c r="AB1216" s="340"/>
    </row>
    <row r="1217" spans="25:28" x14ac:dyDescent="0.25">
      <c r="Y1217" s="340"/>
      <c r="Z1217" s="340"/>
      <c r="AA1217" s="340"/>
      <c r="AB1217" s="340"/>
    </row>
    <row r="1218" spans="25:28" x14ac:dyDescent="0.25">
      <c r="Y1218" s="340"/>
      <c r="Z1218" s="340"/>
      <c r="AA1218" s="340"/>
      <c r="AB1218" s="340"/>
    </row>
    <row r="1219" spans="25:28" x14ac:dyDescent="0.25">
      <c r="Y1219" s="340"/>
      <c r="Z1219" s="340"/>
      <c r="AA1219" s="340"/>
      <c r="AB1219" s="340"/>
    </row>
    <row r="1220" spans="25:28" x14ac:dyDescent="0.25">
      <c r="Y1220" s="340"/>
      <c r="Z1220" s="340"/>
      <c r="AA1220" s="340"/>
      <c r="AB1220" s="340"/>
    </row>
    <row r="1221" spans="25:28" x14ac:dyDescent="0.25">
      <c r="Y1221" s="340"/>
      <c r="Z1221" s="340"/>
      <c r="AA1221" s="340"/>
      <c r="AB1221" s="340"/>
    </row>
    <row r="1222" spans="25:28" x14ac:dyDescent="0.25">
      <c r="Y1222" s="340"/>
      <c r="Z1222" s="340"/>
      <c r="AA1222" s="340"/>
      <c r="AB1222" s="340"/>
    </row>
    <row r="1223" spans="25:28" x14ac:dyDescent="0.25">
      <c r="Y1223" s="340"/>
      <c r="Z1223" s="340"/>
      <c r="AA1223" s="340"/>
      <c r="AB1223" s="340"/>
    </row>
    <row r="1224" spans="25:28" x14ac:dyDescent="0.25">
      <c r="Y1224" s="340"/>
      <c r="Z1224" s="340"/>
      <c r="AA1224" s="340"/>
      <c r="AB1224" s="340"/>
    </row>
    <row r="1225" spans="25:28" x14ac:dyDescent="0.25">
      <c r="Y1225" s="340"/>
      <c r="Z1225" s="340"/>
      <c r="AA1225" s="340"/>
      <c r="AB1225" s="340"/>
    </row>
    <row r="1226" spans="25:28" x14ac:dyDescent="0.25">
      <c r="Y1226" s="340"/>
      <c r="Z1226" s="340"/>
      <c r="AA1226" s="340"/>
      <c r="AB1226" s="340"/>
    </row>
    <row r="1227" spans="25:28" x14ac:dyDescent="0.25">
      <c r="Y1227" s="340"/>
      <c r="Z1227" s="340"/>
      <c r="AA1227" s="340"/>
      <c r="AB1227" s="340"/>
    </row>
    <row r="1228" spans="25:28" x14ac:dyDescent="0.25">
      <c r="Y1228" s="340"/>
      <c r="Z1228" s="340"/>
      <c r="AA1228" s="340"/>
      <c r="AB1228" s="340"/>
    </row>
    <row r="1229" spans="25:28" x14ac:dyDescent="0.25">
      <c r="Y1229" s="340"/>
      <c r="Z1229" s="340"/>
      <c r="AA1229" s="340"/>
      <c r="AB1229" s="340"/>
    </row>
    <row r="1230" spans="25:28" x14ac:dyDescent="0.25">
      <c r="Y1230" s="340"/>
      <c r="Z1230" s="340"/>
      <c r="AA1230" s="340"/>
      <c r="AB1230" s="340"/>
    </row>
    <row r="1231" spans="25:28" x14ac:dyDescent="0.25">
      <c r="Y1231" s="340"/>
      <c r="Z1231" s="340"/>
      <c r="AA1231" s="340"/>
      <c r="AB1231" s="340"/>
    </row>
    <row r="1232" spans="25:28" x14ac:dyDescent="0.25">
      <c r="Y1232" s="340"/>
      <c r="Z1232" s="340"/>
      <c r="AA1232" s="340"/>
      <c r="AB1232" s="340"/>
    </row>
    <row r="1233" spans="25:28" x14ac:dyDescent="0.25">
      <c r="Y1233" s="340"/>
      <c r="Z1233" s="340"/>
      <c r="AA1233" s="340"/>
      <c r="AB1233" s="340"/>
    </row>
    <row r="1234" spans="25:28" x14ac:dyDescent="0.25">
      <c r="Y1234" s="340"/>
      <c r="Z1234" s="340"/>
      <c r="AA1234" s="340"/>
      <c r="AB1234" s="340"/>
    </row>
    <row r="1235" spans="25:28" x14ac:dyDescent="0.25">
      <c r="Y1235" s="340"/>
      <c r="Z1235" s="340"/>
      <c r="AA1235" s="340"/>
      <c r="AB1235" s="340"/>
    </row>
    <row r="1236" spans="25:28" x14ac:dyDescent="0.25">
      <c r="Y1236" s="340"/>
      <c r="Z1236" s="340"/>
      <c r="AA1236" s="340"/>
      <c r="AB1236" s="340"/>
    </row>
    <row r="1237" spans="25:28" x14ac:dyDescent="0.25">
      <c r="Y1237" s="340"/>
      <c r="Z1237" s="340"/>
      <c r="AA1237" s="340"/>
      <c r="AB1237" s="340"/>
    </row>
    <row r="1238" spans="25:28" x14ac:dyDescent="0.25">
      <c r="Y1238" s="340"/>
      <c r="Z1238" s="340"/>
      <c r="AA1238" s="340"/>
      <c r="AB1238" s="340"/>
    </row>
    <row r="1239" spans="25:28" x14ac:dyDescent="0.25">
      <c r="Y1239" s="340"/>
      <c r="Z1239" s="340"/>
      <c r="AA1239" s="340"/>
      <c r="AB1239" s="340"/>
    </row>
    <row r="1240" spans="25:28" x14ac:dyDescent="0.25">
      <c r="Y1240" s="340"/>
      <c r="Z1240" s="340"/>
      <c r="AA1240" s="340"/>
      <c r="AB1240" s="340"/>
    </row>
    <row r="1241" spans="25:28" x14ac:dyDescent="0.25">
      <c r="Y1241" s="340"/>
      <c r="Z1241" s="340"/>
      <c r="AA1241" s="340"/>
      <c r="AB1241" s="340"/>
    </row>
    <row r="1242" spans="25:28" x14ac:dyDescent="0.25">
      <c r="Y1242" s="340"/>
      <c r="Z1242" s="340"/>
      <c r="AA1242" s="340"/>
      <c r="AB1242" s="340"/>
    </row>
    <row r="1243" spans="25:28" x14ac:dyDescent="0.25">
      <c r="Y1243" s="340"/>
      <c r="Z1243" s="340"/>
      <c r="AA1243" s="340"/>
      <c r="AB1243" s="340"/>
    </row>
    <row r="1244" spans="25:28" x14ac:dyDescent="0.25">
      <c r="Y1244" s="340"/>
      <c r="Z1244" s="340"/>
      <c r="AA1244" s="340"/>
      <c r="AB1244" s="340"/>
    </row>
    <row r="1245" spans="25:28" x14ac:dyDescent="0.25">
      <c r="Y1245" s="340"/>
      <c r="Z1245" s="340"/>
      <c r="AA1245" s="340"/>
      <c r="AB1245" s="340"/>
    </row>
    <row r="1246" spans="25:28" x14ac:dyDescent="0.25">
      <c r="Y1246" s="340"/>
      <c r="Z1246" s="340"/>
      <c r="AA1246" s="340"/>
      <c r="AB1246" s="340"/>
    </row>
    <row r="1247" spans="25:28" x14ac:dyDescent="0.25">
      <c r="Y1247" s="340"/>
      <c r="Z1247" s="340"/>
      <c r="AA1247" s="340"/>
      <c r="AB1247" s="340"/>
    </row>
    <row r="1248" spans="25:28" x14ac:dyDescent="0.25">
      <c r="Y1248" s="340"/>
      <c r="Z1248" s="340"/>
      <c r="AA1248" s="340"/>
      <c r="AB1248" s="340"/>
    </row>
    <row r="1249" spans="25:28" x14ac:dyDescent="0.25">
      <c r="Y1249" s="340"/>
      <c r="Z1249" s="340"/>
      <c r="AA1249" s="340"/>
      <c r="AB1249" s="340"/>
    </row>
    <row r="1250" spans="25:28" x14ac:dyDescent="0.25">
      <c r="Y1250" s="340"/>
      <c r="Z1250" s="340"/>
      <c r="AA1250" s="340"/>
      <c r="AB1250" s="340"/>
    </row>
    <row r="1251" spans="25:28" x14ac:dyDescent="0.25">
      <c r="Y1251" s="340"/>
      <c r="Z1251" s="340"/>
      <c r="AA1251" s="340"/>
      <c r="AB1251" s="340"/>
    </row>
    <row r="1252" spans="25:28" x14ac:dyDescent="0.25">
      <c r="Y1252" s="340"/>
      <c r="Z1252" s="340"/>
      <c r="AA1252" s="340"/>
      <c r="AB1252" s="340"/>
    </row>
    <row r="1253" spans="25:28" x14ac:dyDescent="0.25">
      <c r="Y1253" s="340"/>
      <c r="Z1253" s="340"/>
      <c r="AA1253" s="340"/>
      <c r="AB1253" s="340"/>
    </row>
    <row r="1254" spans="25:28" x14ac:dyDescent="0.25">
      <c r="Y1254" s="340"/>
      <c r="Z1254" s="340"/>
      <c r="AA1254" s="340"/>
      <c r="AB1254" s="340"/>
    </row>
    <row r="1255" spans="25:28" x14ac:dyDescent="0.25">
      <c r="Y1255" s="340"/>
      <c r="Z1255" s="340"/>
      <c r="AA1255" s="340"/>
      <c r="AB1255" s="340"/>
    </row>
    <row r="1256" spans="25:28" x14ac:dyDescent="0.25">
      <c r="Y1256" s="340"/>
      <c r="Z1256" s="340"/>
      <c r="AA1256" s="340"/>
      <c r="AB1256" s="340"/>
    </row>
    <row r="1257" spans="25:28" x14ac:dyDescent="0.25">
      <c r="Y1257" s="340"/>
      <c r="Z1257" s="340"/>
      <c r="AA1257" s="340"/>
      <c r="AB1257" s="340"/>
    </row>
    <row r="1258" spans="25:28" x14ac:dyDescent="0.25">
      <c r="Y1258" s="340"/>
      <c r="Z1258" s="340"/>
      <c r="AA1258" s="340"/>
      <c r="AB1258" s="340"/>
    </row>
    <row r="1259" spans="25:28" x14ac:dyDescent="0.25">
      <c r="Y1259" s="340"/>
      <c r="Z1259" s="340"/>
      <c r="AA1259" s="340"/>
      <c r="AB1259" s="340"/>
    </row>
    <row r="1260" spans="25:28" x14ac:dyDescent="0.25">
      <c r="Y1260" s="340"/>
      <c r="Z1260" s="340"/>
      <c r="AA1260" s="340"/>
      <c r="AB1260" s="340"/>
    </row>
    <row r="1261" spans="25:28" x14ac:dyDescent="0.25">
      <c r="Y1261" s="340"/>
      <c r="Z1261" s="340"/>
      <c r="AA1261" s="340"/>
      <c r="AB1261" s="340"/>
    </row>
    <row r="1262" spans="25:28" x14ac:dyDescent="0.25">
      <c r="Y1262" s="340"/>
      <c r="Z1262" s="340"/>
      <c r="AA1262" s="340"/>
      <c r="AB1262" s="340"/>
    </row>
    <row r="1263" spans="25:28" x14ac:dyDescent="0.25">
      <c r="Y1263" s="340"/>
      <c r="Z1263" s="340"/>
      <c r="AA1263" s="340"/>
      <c r="AB1263" s="340"/>
    </row>
    <row r="1264" spans="25:28" x14ac:dyDescent="0.25">
      <c r="Y1264" s="340"/>
      <c r="Z1264" s="340"/>
      <c r="AA1264" s="340"/>
      <c r="AB1264" s="340"/>
    </row>
    <row r="1265" spans="25:28" x14ac:dyDescent="0.25">
      <c r="Y1265" s="340"/>
      <c r="Z1265" s="340"/>
      <c r="AA1265" s="340"/>
      <c r="AB1265" s="340"/>
    </row>
    <row r="1266" spans="25:28" x14ac:dyDescent="0.25">
      <c r="Y1266" s="340"/>
      <c r="Z1266" s="340"/>
      <c r="AA1266" s="340"/>
      <c r="AB1266" s="340"/>
    </row>
    <row r="1267" spans="25:28" x14ac:dyDescent="0.25">
      <c r="Y1267" s="340"/>
      <c r="Z1267" s="340"/>
      <c r="AA1267" s="340"/>
      <c r="AB1267" s="340"/>
    </row>
    <row r="1268" spans="25:28" x14ac:dyDescent="0.25">
      <c r="Y1268" s="340"/>
      <c r="Z1268" s="340"/>
      <c r="AA1268" s="340"/>
      <c r="AB1268" s="340"/>
    </row>
    <row r="1269" spans="25:28" x14ac:dyDescent="0.25">
      <c r="Y1269" s="340"/>
      <c r="Z1269" s="340"/>
      <c r="AA1269" s="340"/>
      <c r="AB1269" s="340"/>
    </row>
    <row r="1270" spans="25:28" x14ac:dyDescent="0.25">
      <c r="Y1270" s="340"/>
      <c r="Z1270" s="340"/>
      <c r="AA1270" s="340"/>
      <c r="AB1270" s="340"/>
    </row>
    <row r="1271" spans="25:28" x14ac:dyDescent="0.25">
      <c r="Y1271" s="340"/>
      <c r="Z1271" s="340"/>
      <c r="AA1271" s="340"/>
      <c r="AB1271" s="340"/>
    </row>
    <row r="1272" spans="25:28" x14ac:dyDescent="0.25">
      <c r="Y1272" s="340"/>
      <c r="Z1272" s="340"/>
      <c r="AA1272" s="340"/>
      <c r="AB1272" s="340"/>
    </row>
    <row r="1273" spans="25:28" x14ac:dyDescent="0.25">
      <c r="Y1273" s="340"/>
      <c r="Z1273" s="340"/>
      <c r="AA1273" s="340"/>
      <c r="AB1273" s="340"/>
    </row>
  </sheetData>
  <mergeCells count="36">
    <mergeCell ref="AH6:AI6"/>
    <mergeCell ref="AH5:AI5"/>
    <mergeCell ref="AH2:AI2"/>
    <mergeCell ref="AF6:AG6"/>
    <mergeCell ref="AF5:AG5"/>
    <mergeCell ref="AF2:AG2"/>
    <mergeCell ref="AD7:AE7"/>
    <mergeCell ref="AD6:AE6"/>
    <mergeCell ref="AD5:AE5"/>
    <mergeCell ref="AB5:AC5"/>
    <mergeCell ref="AB2:AC2"/>
    <mergeCell ref="AD2:AE2"/>
    <mergeCell ref="AB7:AC7"/>
    <mergeCell ref="AB6:AC6"/>
    <mergeCell ref="X2:Y2"/>
    <mergeCell ref="C2:S2"/>
    <mergeCell ref="C5:S5"/>
    <mergeCell ref="C6:H8"/>
    <mergeCell ref="I6:P6"/>
    <mergeCell ref="Q6:S6"/>
    <mergeCell ref="Z7:AA7"/>
    <mergeCell ref="Z6:AA6"/>
    <mergeCell ref="Z5:AA5"/>
    <mergeCell ref="C218:S220"/>
    <mergeCell ref="T2:U2"/>
    <mergeCell ref="T5:U5"/>
    <mergeCell ref="T6:U6"/>
    <mergeCell ref="T7:U7"/>
    <mergeCell ref="Z2:AA2"/>
    <mergeCell ref="V7:W7"/>
    <mergeCell ref="V6:W6"/>
    <mergeCell ref="V5:W5"/>
    <mergeCell ref="V2:W2"/>
    <mergeCell ref="X7:Y7"/>
    <mergeCell ref="X6:Y6"/>
    <mergeCell ref="X5:Y5"/>
  </mergeCells>
  <phoneticPr fontId="17" type="noConversion"/>
  <printOptions horizontalCentered="1"/>
  <pageMargins left="1" right="1" top="1" bottom="1" header="0.5" footer="0.5"/>
  <pageSetup paperSize="5" scale="49" fitToHeight="0" orientation="landscape" r:id="rId1"/>
  <colBreaks count="1" manualBreakCount="1">
    <brk id="16" min="1" max="192" man="1"/>
  </colBreaks>
  <ignoredErrors>
    <ignoredError sqref="AG9 R196 K212 AB186 R208 N124:N213 L124:L213 K184 L10:L122 N9:N122" formula="1"/>
    <ignoredError sqref="D167:E169 D188 D166 D177:E187 E176 D171:E174 D17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5B5B8-A362-4245-BB90-FA1A271264B8}">
  <sheetPr>
    <tabColor rgb="FFFF99CC"/>
  </sheetPr>
  <dimension ref="A1:DH169"/>
  <sheetViews>
    <sheetView topLeftCell="CU1" zoomScale="120" zoomScaleNormal="120" workbookViewId="0">
      <pane ySplit="2" topLeftCell="A3" activePane="bottomLeft" state="frozen"/>
      <selection activeCell="BR1" sqref="BR1"/>
      <selection pane="bottomLeft" activeCell="CY7" sqref="CY7"/>
    </sheetView>
  </sheetViews>
  <sheetFormatPr baseColWidth="10" defaultColWidth="4.5703125" defaultRowHeight="13.5" x14ac:dyDescent="0.25"/>
  <cols>
    <col min="1" max="31" width="0" style="373" hidden="1" customWidth="1"/>
    <col min="32" max="35" width="0" style="504" hidden="1" customWidth="1"/>
    <col min="36" max="46" width="0" style="373" hidden="1" customWidth="1"/>
    <col min="47" max="50" width="0" style="504" hidden="1" customWidth="1"/>
    <col min="51" max="71" width="0" style="373" hidden="1" customWidth="1"/>
    <col min="72" max="73" width="0" style="597" hidden="1" customWidth="1"/>
    <col min="74" max="85" width="0" style="373" hidden="1" customWidth="1"/>
    <col min="86" max="87" width="0" style="597" hidden="1" customWidth="1"/>
    <col min="88" max="89" width="0" style="373" hidden="1" customWidth="1"/>
    <col min="90" max="93" width="0" style="597" hidden="1" customWidth="1"/>
    <col min="94" max="98" width="0" style="373" hidden="1" customWidth="1"/>
    <col min="99" max="99" width="4.5703125" style="373"/>
    <col min="100" max="100" width="27.28515625" style="373" customWidth="1"/>
    <col min="101" max="103" width="11.42578125" style="373" customWidth="1"/>
    <col min="104" max="104" width="22.7109375" style="373" customWidth="1"/>
    <col min="105" max="108" width="13.28515625" style="373" hidden="1" customWidth="1"/>
    <col min="109" max="112" width="11.28515625" style="373" customWidth="1"/>
    <col min="113" max="16384" width="4.5703125" style="373"/>
  </cols>
  <sheetData>
    <row r="1" spans="1:112" ht="13.15" customHeight="1" x14ac:dyDescent="0.25">
      <c r="A1" s="1238" t="s">
        <v>0</v>
      </c>
      <c r="B1" s="1238"/>
      <c r="C1" s="1238"/>
      <c r="D1" s="1238"/>
      <c r="E1" s="1238"/>
      <c r="F1" s="1238"/>
      <c r="G1" s="1238"/>
      <c r="H1" s="600">
        <v>1000</v>
      </c>
      <c r="I1" s="600">
        <v>1</v>
      </c>
      <c r="L1" s="1175" t="s">
        <v>135</v>
      </c>
      <c r="M1" s="1176">
        <v>1000</v>
      </c>
      <c r="N1" s="1176">
        <v>1</v>
      </c>
      <c r="P1" s="1173" t="s">
        <v>135</v>
      </c>
      <c r="Q1" s="1173"/>
      <c r="R1" s="1173"/>
      <c r="S1" s="1173"/>
      <c r="T1" s="1173"/>
      <c r="U1" s="1173"/>
      <c r="V1" s="1173"/>
      <c r="W1" s="1174">
        <v>1000</v>
      </c>
      <c r="X1" s="1174">
        <v>1</v>
      </c>
      <c r="AA1" s="599" t="s">
        <v>1053</v>
      </c>
      <c r="AB1" s="600">
        <v>1000</v>
      </c>
      <c r="AC1" s="600">
        <v>1</v>
      </c>
      <c r="AE1" s="599" t="s">
        <v>1053</v>
      </c>
      <c r="AF1" s="551"/>
      <c r="AG1" s="552"/>
      <c r="AH1" s="551"/>
      <c r="AI1" s="552"/>
      <c r="AJ1" s="601"/>
      <c r="AK1" s="601"/>
      <c r="AL1" s="600">
        <v>1000</v>
      </c>
      <c r="AM1" s="601">
        <v>1</v>
      </c>
      <c r="AP1" s="549" t="s">
        <v>1069</v>
      </c>
      <c r="AQ1" s="549">
        <v>1000</v>
      </c>
      <c r="AR1" s="549">
        <v>1</v>
      </c>
      <c r="AT1" s="549" t="s">
        <v>1069</v>
      </c>
      <c r="AU1" s="549"/>
      <c r="AV1" s="549"/>
      <c r="AW1" s="549"/>
      <c r="AX1" s="549"/>
      <c r="AY1" s="549"/>
      <c r="AZ1" s="549">
        <v>1000</v>
      </c>
      <c r="BA1" s="549">
        <v>1</v>
      </c>
      <c r="BB1" s="549"/>
      <c r="BD1" s="784" t="s">
        <v>1075</v>
      </c>
      <c r="BE1" s="785">
        <v>1000</v>
      </c>
      <c r="BF1" s="786">
        <v>1</v>
      </c>
      <c r="BH1" s="787" t="s">
        <v>1076</v>
      </c>
      <c r="BI1" s="785"/>
      <c r="BJ1" s="785"/>
      <c r="BK1" s="785"/>
      <c r="BL1" s="785"/>
      <c r="BM1" s="785"/>
      <c r="BN1" s="785">
        <v>1000</v>
      </c>
      <c r="BO1" s="785">
        <v>1</v>
      </c>
      <c r="BP1" s="786"/>
      <c r="BS1" s="549" t="s">
        <v>9</v>
      </c>
      <c r="BT1" s="553">
        <v>1000</v>
      </c>
      <c r="BU1" s="553">
        <v>1</v>
      </c>
      <c r="BW1" s="1239" t="s">
        <v>1114</v>
      </c>
      <c r="BX1" s="1239"/>
      <c r="BY1" s="1239"/>
      <c r="BZ1" s="1239"/>
      <c r="CA1" s="1239"/>
      <c r="CB1" s="1239"/>
      <c r="CC1" s="1239"/>
      <c r="CD1" s="931">
        <v>1000</v>
      </c>
      <c r="CE1" s="931">
        <v>1</v>
      </c>
      <c r="CG1" s="931" t="s">
        <v>79</v>
      </c>
      <c r="CH1" s="931">
        <v>1000</v>
      </c>
      <c r="CI1" s="931">
        <v>1</v>
      </c>
      <c r="CK1" s="1239" t="s">
        <v>1142</v>
      </c>
      <c r="CL1" s="1239"/>
      <c r="CM1" s="1239"/>
      <c r="CN1" s="1239"/>
      <c r="CO1" s="1239"/>
      <c r="CP1" s="1239"/>
      <c r="CQ1" s="1239"/>
      <c r="CR1" s="931">
        <v>1000</v>
      </c>
      <c r="CS1" s="931">
        <v>1</v>
      </c>
      <c r="CV1" s="931" t="s">
        <v>10</v>
      </c>
      <c r="CW1" s="931">
        <v>1000</v>
      </c>
      <c r="CX1" s="931">
        <v>1</v>
      </c>
      <c r="CZ1" s="600" t="s">
        <v>1156</v>
      </c>
      <c r="DA1" s="600"/>
      <c r="DB1" s="600"/>
      <c r="DC1" s="600"/>
      <c r="DD1" s="600"/>
      <c r="DE1" s="600"/>
      <c r="DF1" s="600"/>
      <c r="DG1" s="600">
        <v>1000</v>
      </c>
      <c r="DH1" s="600">
        <v>1</v>
      </c>
    </row>
    <row r="2" spans="1:112" ht="32.25" customHeight="1" x14ac:dyDescent="0.25">
      <c r="A2" s="1173" t="s">
        <v>336</v>
      </c>
      <c r="B2" s="1174" t="s">
        <v>340</v>
      </c>
      <c r="C2" s="1174" t="s">
        <v>338</v>
      </c>
      <c r="D2" s="1174" t="s">
        <v>337</v>
      </c>
      <c r="E2" s="1174" t="s">
        <v>406</v>
      </c>
      <c r="F2" s="1174" t="s">
        <v>925</v>
      </c>
      <c r="G2" s="1174" t="s">
        <v>923</v>
      </c>
      <c r="H2" s="1174" t="s">
        <v>922</v>
      </c>
      <c r="I2" s="1174" t="s">
        <v>924</v>
      </c>
      <c r="L2" s="1174" t="s">
        <v>336</v>
      </c>
      <c r="M2" s="1174" t="s">
        <v>338</v>
      </c>
      <c r="N2" s="1174" t="s">
        <v>923</v>
      </c>
      <c r="P2" s="1174" t="s">
        <v>336</v>
      </c>
      <c r="Q2" s="1174" t="s">
        <v>340</v>
      </c>
      <c r="R2" s="1174" t="s">
        <v>338</v>
      </c>
      <c r="S2" s="1174" t="s">
        <v>337</v>
      </c>
      <c r="T2" s="1174" t="s">
        <v>406</v>
      </c>
      <c r="U2" s="1174" t="s">
        <v>925</v>
      </c>
      <c r="V2" s="1174" t="s">
        <v>923</v>
      </c>
      <c r="W2" s="1174" t="s">
        <v>922</v>
      </c>
      <c r="X2" s="1174" t="s">
        <v>924</v>
      </c>
      <c r="AA2" s="549" t="s">
        <v>336</v>
      </c>
      <c r="AB2" s="549" t="s">
        <v>338</v>
      </c>
      <c r="AC2" s="549" t="s">
        <v>923</v>
      </c>
      <c r="AE2" s="549" t="s">
        <v>336</v>
      </c>
      <c r="AF2" s="553" t="s">
        <v>340</v>
      </c>
      <c r="AG2" s="553" t="s">
        <v>338</v>
      </c>
      <c r="AH2" s="553" t="s">
        <v>337</v>
      </c>
      <c r="AI2" s="553" t="s">
        <v>406</v>
      </c>
      <c r="AJ2" s="550" t="s">
        <v>925</v>
      </c>
      <c r="AK2" s="550" t="s">
        <v>923</v>
      </c>
      <c r="AL2" s="550" t="s">
        <v>922</v>
      </c>
      <c r="AM2" s="550" t="s">
        <v>924</v>
      </c>
      <c r="AP2" s="549" t="s">
        <v>336</v>
      </c>
      <c r="AQ2" s="549" t="s">
        <v>338</v>
      </c>
      <c r="AR2" s="549" t="s">
        <v>923</v>
      </c>
      <c r="AT2" s="549" t="s">
        <v>336</v>
      </c>
      <c r="AU2" s="549" t="s">
        <v>340</v>
      </c>
      <c r="AV2" s="549" t="s">
        <v>338</v>
      </c>
      <c r="AW2" s="549" t="s">
        <v>337</v>
      </c>
      <c r="AX2" s="549" t="s">
        <v>406</v>
      </c>
      <c r="AY2" s="549" t="s">
        <v>925</v>
      </c>
      <c r="AZ2" s="549" t="s">
        <v>923</v>
      </c>
      <c r="BA2" s="549" t="s">
        <v>922</v>
      </c>
      <c r="BB2" s="549" t="s">
        <v>924</v>
      </c>
      <c r="BD2" s="787" t="s">
        <v>336</v>
      </c>
      <c r="BE2" s="785" t="s">
        <v>338</v>
      </c>
      <c r="BF2" s="786" t="s">
        <v>923</v>
      </c>
      <c r="BH2" s="788" t="s">
        <v>336</v>
      </c>
      <c r="BI2" s="789" t="s">
        <v>340</v>
      </c>
      <c r="BJ2" s="789" t="s">
        <v>338</v>
      </c>
      <c r="BK2" s="789" t="s">
        <v>337</v>
      </c>
      <c r="BL2" s="789" t="s">
        <v>406</v>
      </c>
      <c r="BM2" s="790" t="s">
        <v>925</v>
      </c>
      <c r="BN2" s="790" t="s">
        <v>923</v>
      </c>
      <c r="BO2" s="790" t="s">
        <v>922</v>
      </c>
      <c r="BP2" s="791" t="s">
        <v>924</v>
      </c>
      <c r="BS2" s="930" t="s">
        <v>336</v>
      </c>
      <c r="BT2" s="931" t="s">
        <v>338</v>
      </c>
      <c r="BU2" s="931" t="s">
        <v>1110</v>
      </c>
      <c r="BW2" s="931" t="s">
        <v>336</v>
      </c>
      <c r="BX2" s="931" t="s">
        <v>340</v>
      </c>
      <c r="BY2" s="931" t="s">
        <v>337</v>
      </c>
      <c r="BZ2" s="931" t="s">
        <v>406</v>
      </c>
      <c r="CA2" s="931" t="s">
        <v>338</v>
      </c>
      <c r="CB2" s="931" t="s">
        <v>925</v>
      </c>
      <c r="CC2" s="931" t="s">
        <v>922</v>
      </c>
      <c r="CD2" s="931" t="s">
        <v>924</v>
      </c>
      <c r="CE2" s="931" t="s">
        <v>956</v>
      </c>
      <c r="CG2" s="931" t="s">
        <v>336</v>
      </c>
      <c r="CH2" s="931" t="s">
        <v>338</v>
      </c>
      <c r="CI2" s="931" t="s">
        <v>923</v>
      </c>
      <c r="CK2" s="931" t="s">
        <v>336</v>
      </c>
      <c r="CL2" s="931" t="s">
        <v>340</v>
      </c>
      <c r="CM2" s="931" t="s">
        <v>338</v>
      </c>
      <c r="CN2" s="931" t="s">
        <v>337</v>
      </c>
      <c r="CO2" s="931" t="s">
        <v>406</v>
      </c>
      <c r="CP2" s="931" t="s">
        <v>925</v>
      </c>
      <c r="CQ2" s="931" t="s">
        <v>923</v>
      </c>
      <c r="CR2" s="931" t="s">
        <v>922</v>
      </c>
      <c r="CS2" s="931" t="s">
        <v>924</v>
      </c>
      <c r="CV2" s="931" t="s">
        <v>336</v>
      </c>
      <c r="CW2" s="931" t="s">
        <v>338</v>
      </c>
      <c r="CX2" s="931" t="s">
        <v>923</v>
      </c>
      <c r="CZ2" s="931" t="s">
        <v>336</v>
      </c>
      <c r="DA2" s="931" t="s">
        <v>340</v>
      </c>
      <c r="DB2" s="931" t="s">
        <v>338</v>
      </c>
      <c r="DC2" s="931" t="s">
        <v>337</v>
      </c>
      <c r="DD2" s="931" t="s">
        <v>406</v>
      </c>
      <c r="DE2" s="931" t="s">
        <v>925</v>
      </c>
      <c r="DF2" s="931" t="s">
        <v>923</v>
      </c>
      <c r="DG2" s="931" t="s">
        <v>922</v>
      </c>
      <c r="DH2" s="931" t="s">
        <v>924</v>
      </c>
    </row>
    <row r="3" spans="1:112" x14ac:dyDescent="0.25">
      <c r="A3" s="504" t="s">
        <v>456</v>
      </c>
      <c r="B3" s="504">
        <v>19823098000</v>
      </c>
      <c r="C3" s="504">
        <v>1357754152</v>
      </c>
      <c r="D3" s="504">
        <v>1357754152</v>
      </c>
      <c r="E3" s="504">
        <v>18465343848</v>
      </c>
      <c r="F3" s="504">
        <f t="shared" ref="F3:F34" si="0">+B3/$H$1*$I$1</f>
        <v>19823098</v>
      </c>
      <c r="G3" s="504">
        <f t="shared" ref="G3:G34" si="1">+C3/$H$1*$I$1</f>
        <v>1357754.152</v>
      </c>
      <c r="H3" s="504">
        <f t="shared" ref="H3:H34" si="2">+D3/$H$1*$I$1</f>
        <v>1357754.152</v>
      </c>
      <c r="I3" s="504">
        <f t="shared" ref="I3:I34" si="3">+E3/$H$1*$I$1</f>
        <v>18465343.848000001</v>
      </c>
      <c r="L3" s="371" t="s">
        <v>456</v>
      </c>
      <c r="M3" s="372">
        <v>1343168765</v>
      </c>
      <c r="N3" s="372">
        <f t="shared" ref="N3:N34" si="4">+M3/$M$1*$N$1</f>
        <v>1343168.7649999999</v>
      </c>
      <c r="P3" s="371" t="s">
        <v>456</v>
      </c>
      <c r="Q3" s="372">
        <v>19823098000</v>
      </c>
      <c r="R3" s="372">
        <v>2700922917</v>
      </c>
      <c r="S3" s="372">
        <v>2700922917</v>
      </c>
      <c r="T3" s="372">
        <v>17122175083</v>
      </c>
      <c r="U3" s="372">
        <f t="shared" ref="U3:U34" si="5">+Q3/$W$1*$X$1</f>
        <v>19823098</v>
      </c>
      <c r="V3" s="505">
        <f t="shared" ref="V3:V34" si="6">+R3/$W$1*$X$1</f>
        <v>2700922.9169999999</v>
      </c>
      <c r="W3" s="505">
        <f t="shared" ref="W3:W34" si="7">+S3/$W$1*$X$1</f>
        <v>2700922.9169999999</v>
      </c>
      <c r="X3" s="505">
        <f t="shared" ref="X3:X34" si="8">+T3/$W$1*$X$1</f>
        <v>17122175.083000001</v>
      </c>
      <c r="AA3" s="371" t="s">
        <v>456</v>
      </c>
      <c r="AB3" s="372">
        <v>2346055131</v>
      </c>
      <c r="AC3" s="505">
        <f t="shared" ref="AC3:AC34" si="9">+AB3/$AB$1*$AC$1</f>
        <v>2346055.1310000001</v>
      </c>
      <c r="AE3" s="373" t="s">
        <v>456</v>
      </c>
      <c r="AF3" s="504">
        <v>19823098000</v>
      </c>
      <c r="AG3" s="504">
        <v>5046978048</v>
      </c>
      <c r="AH3" s="504">
        <v>5046978048</v>
      </c>
      <c r="AI3" s="504">
        <v>14776119952</v>
      </c>
      <c r="AJ3" s="504">
        <f t="shared" ref="AJ3:AJ34" si="10">+AF3/$AL$1*$AM$1</f>
        <v>19823098</v>
      </c>
      <c r="AK3" s="504">
        <f t="shared" ref="AK3:AK34" si="11">+AG3/$AL$1*$AM$1</f>
        <v>5046978.0480000004</v>
      </c>
      <c r="AL3" s="504">
        <f t="shared" ref="AL3:AL34" si="12">+AH3/$AL$1*$AM$1</f>
        <v>5046978.0480000004</v>
      </c>
      <c r="AM3" s="504">
        <f t="shared" ref="AM3:AM34" si="13">+AI3/$AL$1*$AM$1</f>
        <v>14776119.952</v>
      </c>
      <c r="AP3" s="371" t="s">
        <v>456</v>
      </c>
      <c r="AQ3" s="505">
        <v>1365085645</v>
      </c>
      <c r="AR3" s="372">
        <f>+AQ3/$AQ$1*$AR$1</f>
        <v>1365085.645</v>
      </c>
      <c r="AT3" s="371" t="s">
        <v>456</v>
      </c>
      <c r="AU3" s="372">
        <v>19823098000</v>
      </c>
      <c r="AV3" s="372">
        <v>6412063693</v>
      </c>
      <c r="AW3" s="372">
        <v>6412063693</v>
      </c>
      <c r="AX3" s="372">
        <v>13411034307</v>
      </c>
      <c r="AY3" s="504">
        <f>+AU3/$AZ$1*$BA$1</f>
        <v>19823098</v>
      </c>
      <c r="AZ3" s="504">
        <f>+AV3/$AZ$1*$BA$1</f>
        <v>6412063.693</v>
      </c>
      <c r="BA3" s="504">
        <f>+AW3/$AZ$1*$BA$1</f>
        <v>6412063.693</v>
      </c>
      <c r="BB3" s="504">
        <f>+AX3/$AZ$1*$BA$1</f>
        <v>13411034.307</v>
      </c>
      <c r="BD3" s="781" t="s">
        <v>456</v>
      </c>
      <c r="BE3" s="686">
        <v>1339899881</v>
      </c>
      <c r="BF3" s="720">
        <f>BE3/$BE$1*$BF$1</f>
        <v>1339899.8810000001</v>
      </c>
      <c r="BH3" s="781" t="s">
        <v>456</v>
      </c>
      <c r="BI3" s="686">
        <v>19823098000</v>
      </c>
      <c r="BJ3" s="686">
        <v>7751963574</v>
      </c>
      <c r="BK3" s="686">
        <v>7751963574</v>
      </c>
      <c r="BL3" s="686">
        <v>12071134426</v>
      </c>
      <c r="BM3" s="719">
        <f>BI3/$BN$1*$BO$1</f>
        <v>19823098</v>
      </c>
      <c r="BN3" s="719">
        <f t="shared" ref="BN3:BP3" si="14">BJ3/$BN$1*$BO$1</f>
        <v>7751963.574</v>
      </c>
      <c r="BO3" s="719">
        <f t="shared" si="14"/>
        <v>7751963.574</v>
      </c>
      <c r="BP3" s="720">
        <f t="shared" si="14"/>
        <v>12071134.426000001</v>
      </c>
      <c r="BS3" s="373" t="s">
        <v>456</v>
      </c>
      <c r="BT3" s="597">
        <v>2368894500</v>
      </c>
      <c r="BU3" s="597">
        <f>+BT3/$BT$1*$BU$1</f>
        <v>2368894.5</v>
      </c>
      <c r="BW3" s="597" t="s">
        <v>456</v>
      </c>
      <c r="BX3" s="597">
        <v>19832145000</v>
      </c>
      <c r="BY3" s="597">
        <v>10120858074</v>
      </c>
      <c r="BZ3" s="597">
        <v>9711286926</v>
      </c>
      <c r="CA3" s="597">
        <v>10120858074</v>
      </c>
      <c r="CB3" s="597">
        <f>+BX3/$CD$1*$CE$1</f>
        <v>19832145</v>
      </c>
      <c r="CC3" s="597">
        <f t="shared" ref="CC3:CE3" si="15">+BY3/$CD$1*$CE$1</f>
        <v>10120858.073999999</v>
      </c>
      <c r="CD3" s="597">
        <f t="shared" si="15"/>
        <v>9711286.9260000009</v>
      </c>
      <c r="CE3" s="597">
        <f t="shared" si="15"/>
        <v>10120858.073999999</v>
      </c>
      <c r="CG3" s="373" t="s">
        <v>456</v>
      </c>
      <c r="CH3" s="597">
        <v>1383712497</v>
      </c>
      <c r="CI3" s="597">
        <f>+CH3/$CH$1*$CI$1</f>
        <v>1383712.497</v>
      </c>
      <c r="CK3" s="371" t="s">
        <v>456</v>
      </c>
      <c r="CL3" s="372">
        <v>19832145000</v>
      </c>
      <c r="CM3" s="372">
        <v>11504570571</v>
      </c>
      <c r="CN3" s="372">
        <v>11504570571</v>
      </c>
      <c r="CO3" s="372">
        <v>8327574429</v>
      </c>
      <c r="CP3" s="597">
        <f>+CL3/$CR$1*$CS$1</f>
        <v>19832145</v>
      </c>
      <c r="CQ3" s="597">
        <f t="shared" ref="CQ3:CS3" si="16">+CM3/$CR$1*$CS$1</f>
        <v>11504570.571</v>
      </c>
      <c r="CR3" s="597">
        <f t="shared" si="16"/>
        <v>11504570.571</v>
      </c>
      <c r="CS3" s="597">
        <f t="shared" si="16"/>
        <v>8327574.4289999995</v>
      </c>
      <c r="CU3" s="548"/>
      <c r="CV3" s="371" t="s">
        <v>456</v>
      </c>
      <c r="CW3" s="372">
        <v>1386203040</v>
      </c>
      <c r="CX3" s="372">
        <f>+CW3/$CW$1*$CX$1</f>
        <v>1386203.04</v>
      </c>
      <c r="CZ3" s="1059" t="s">
        <v>456</v>
      </c>
      <c r="DA3" s="1060">
        <v>19832145000</v>
      </c>
      <c r="DB3" s="1060">
        <v>12890773611</v>
      </c>
      <c r="DC3" s="1060">
        <v>12890773611</v>
      </c>
      <c r="DD3" s="1060">
        <v>6941371389</v>
      </c>
      <c r="DE3" s="1060">
        <f>+DA3/$DG$1*$DH$1</f>
        <v>19832145</v>
      </c>
      <c r="DF3" s="1060">
        <f t="shared" ref="DF3:DH3" si="17">+DB3/$DG$1*$DH$1</f>
        <v>12890773.611</v>
      </c>
      <c r="DG3" s="1060">
        <f t="shared" si="17"/>
        <v>12890773.611</v>
      </c>
      <c r="DH3" s="1060">
        <f t="shared" si="17"/>
        <v>6941371.3890000004</v>
      </c>
    </row>
    <row r="4" spans="1:112" x14ac:dyDescent="0.25">
      <c r="A4" s="504" t="s">
        <v>455</v>
      </c>
      <c r="B4" s="504">
        <v>803888112</v>
      </c>
      <c r="C4" s="504">
        <v>49432488</v>
      </c>
      <c r="D4" s="504">
        <v>49432488</v>
      </c>
      <c r="E4" s="504">
        <v>754455624</v>
      </c>
      <c r="F4" s="504">
        <f t="shared" si="0"/>
        <v>803888.11199999996</v>
      </c>
      <c r="G4" s="504">
        <f t="shared" si="1"/>
        <v>49432.487999999998</v>
      </c>
      <c r="H4" s="504">
        <f t="shared" si="2"/>
        <v>49432.487999999998</v>
      </c>
      <c r="I4" s="504">
        <f t="shared" si="3"/>
        <v>754455.62399999995</v>
      </c>
      <c r="L4" s="371" t="s">
        <v>455</v>
      </c>
      <c r="M4" s="372">
        <v>48944065</v>
      </c>
      <c r="N4" s="372">
        <f t="shared" si="4"/>
        <v>48944.065000000002</v>
      </c>
      <c r="P4" s="371" t="s">
        <v>455</v>
      </c>
      <c r="Q4" s="372">
        <v>803888112</v>
      </c>
      <c r="R4" s="372">
        <v>98376553</v>
      </c>
      <c r="S4" s="372">
        <v>98376553</v>
      </c>
      <c r="T4" s="372">
        <v>705511559</v>
      </c>
      <c r="U4" s="372">
        <f t="shared" si="5"/>
        <v>803888.11199999996</v>
      </c>
      <c r="V4" s="505">
        <f t="shared" si="6"/>
        <v>98376.553</v>
      </c>
      <c r="W4" s="505">
        <f t="shared" si="7"/>
        <v>98376.553</v>
      </c>
      <c r="X4" s="505">
        <f t="shared" si="8"/>
        <v>705511.55900000001</v>
      </c>
      <c r="AA4" s="371" t="s">
        <v>455</v>
      </c>
      <c r="AB4" s="372">
        <v>72259866</v>
      </c>
      <c r="AC4" s="505">
        <f t="shared" si="9"/>
        <v>72259.865999999995</v>
      </c>
      <c r="AE4" s="373" t="s">
        <v>455</v>
      </c>
      <c r="AF4" s="504">
        <v>803888112</v>
      </c>
      <c r="AG4" s="504">
        <v>170636419</v>
      </c>
      <c r="AH4" s="504">
        <v>170636419</v>
      </c>
      <c r="AI4" s="504">
        <v>633251693</v>
      </c>
      <c r="AJ4" s="504">
        <f t="shared" si="10"/>
        <v>803888.11199999996</v>
      </c>
      <c r="AK4" s="504">
        <f t="shared" si="11"/>
        <v>170636.41899999999</v>
      </c>
      <c r="AL4" s="504">
        <f t="shared" si="12"/>
        <v>170636.41899999999</v>
      </c>
      <c r="AM4" s="504">
        <f t="shared" si="13"/>
        <v>633251.69299999997</v>
      </c>
      <c r="AP4" s="371" t="s">
        <v>455</v>
      </c>
      <c r="AQ4" s="372">
        <v>46455674</v>
      </c>
      <c r="AR4" s="372">
        <f t="shared" ref="AR4:AR67" si="18">+AQ4/$AQ$1*$AR$1</f>
        <v>46455.673999999999</v>
      </c>
      <c r="AT4" s="371" t="s">
        <v>455</v>
      </c>
      <c r="AU4" s="372">
        <v>803888112</v>
      </c>
      <c r="AV4" s="372">
        <v>217092093</v>
      </c>
      <c r="AW4" s="372">
        <v>217092093</v>
      </c>
      <c r="AX4" s="372">
        <v>586796019</v>
      </c>
      <c r="AY4" s="504">
        <f t="shared" ref="AY4:AY67" si="19">+AU4/$AZ$1*$BA$1</f>
        <v>803888.11199999996</v>
      </c>
      <c r="AZ4" s="504">
        <f t="shared" ref="AZ4:AZ67" si="20">+AV4/$AZ$1*$BA$1</f>
        <v>217092.09299999999</v>
      </c>
      <c r="BA4" s="504">
        <f t="shared" ref="BA4:BA67" si="21">+AW4/$AZ$1*$BA$1</f>
        <v>217092.09299999999</v>
      </c>
      <c r="BB4" s="504">
        <f t="shared" ref="BB4:BB67" si="22">+AX4/$AZ$1*$BA$1</f>
        <v>586796.01899999997</v>
      </c>
      <c r="BD4" s="782" t="s">
        <v>455</v>
      </c>
      <c r="BE4" s="644">
        <v>41248682</v>
      </c>
      <c r="BF4" s="650">
        <f t="shared" ref="BF4:BF67" si="23">BE4/$BE$1*$BF$1</f>
        <v>41248.682000000001</v>
      </c>
      <c r="BH4" s="782" t="s">
        <v>455</v>
      </c>
      <c r="BI4" s="644">
        <v>804388112</v>
      </c>
      <c r="BJ4" s="644">
        <v>258340775</v>
      </c>
      <c r="BK4" s="644">
        <v>258340775</v>
      </c>
      <c r="BL4" s="644">
        <v>546047337</v>
      </c>
      <c r="BM4" s="548">
        <f t="shared" ref="BM4:BM67" si="24">BI4/$BN$1*$BO$1</f>
        <v>804388.11199999996</v>
      </c>
      <c r="BN4" s="548">
        <f t="shared" ref="BN4:BN67" si="25">BJ4/$BN$1*$BO$1</f>
        <v>258340.77499999999</v>
      </c>
      <c r="BO4" s="548">
        <f t="shared" ref="BO4:BO67" si="26">BK4/$BN$1*$BO$1</f>
        <v>258340.77499999999</v>
      </c>
      <c r="BP4" s="650">
        <f t="shared" ref="BP4:BP67" si="27">BL4/$BN$1*$BO$1</f>
        <v>546047.33700000006</v>
      </c>
      <c r="BS4" s="373" t="s">
        <v>455</v>
      </c>
      <c r="BT4" s="597">
        <v>69709688</v>
      </c>
      <c r="BU4" s="597">
        <f t="shared" ref="BU4:BU67" si="28">+BT4/$BT$1*$BU$1</f>
        <v>69709.687999999995</v>
      </c>
      <c r="BW4" s="597" t="s">
        <v>455</v>
      </c>
      <c r="BX4" s="597">
        <v>804408112</v>
      </c>
      <c r="BY4" s="597">
        <v>328050463</v>
      </c>
      <c r="BZ4" s="597">
        <v>476357649</v>
      </c>
      <c r="CA4" s="597">
        <v>328050463</v>
      </c>
      <c r="CB4" s="597">
        <f t="shared" ref="CB4:CB67" si="29">+BX4/$CD$1*$CE$1</f>
        <v>804408.11199999996</v>
      </c>
      <c r="CC4" s="597">
        <f t="shared" ref="CC4:CC67" si="30">+BY4/$CD$1*$CE$1</f>
        <v>328050.46299999999</v>
      </c>
      <c r="CD4" s="597">
        <f t="shared" ref="CD4:CD67" si="31">+BZ4/$CD$1*$CE$1</f>
        <v>476357.64899999998</v>
      </c>
      <c r="CE4" s="597">
        <f t="shared" ref="CE4:CE67" si="32">+CA4/$CD$1*$CE$1</f>
        <v>328050.46299999999</v>
      </c>
      <c r="CG4" s="373" t="s">
        <v>455</v>
      </c>
      <c r="CH4" s="597">
        <v>49516182</v>
      </c>
      <c r="CI4" s="597">
        <f t="shared" ref="CI4:CI67" si="33">+CH4/$CH$1*$CI$1</f>
        <v>49516.182000000001</v>
      </c>
      <c r="CK4" s="371" t="s">
        <v>455</v>
      </c>
      <c r="CL4" s="372">
        <v>803408112</v>
      </c>
      <c r="CM4" s="372">
        <v>377566645</v>
      </c>
      <c r="CN4" s="372">
        <v>377566645</v>
      </c>
      <c r="CO4" s="372">
        <v>425841467</v>
      </c>
      <c r="CP4" s="597">
        <f t="shared" ref="CP4:CP67" si="34">+CL4/$CR$1*$CS$1</f>
        <v>803408.11199999996</v>
      </c>
      <c r="CQ4" s="597">
        <f t="shared" ref="CQ4:CQ67" si="35">+CM4/$CR$1*$CS$1</f>
        <v>377566.64500000002</v>
      </c>
      <c r="CR4" s="597">
        <f t="shared" ref="CR4:CR67" si="36">+CN4/$CR$1*$CS$1</f>
        <v>377566.64500000002</v>
      </c>
      <c r="CS4" s="597">
        <f t="shared" ref="CS4:CS67" si="37">+CO4/$CR$1*$CS$1</f>
        <v>425841.467</v>
      </c>
      <c r="CU4" s="548"/>
      <c r="CV4" s="371" t="s">
        <v>455</v>
      </c>
      <c r="CW4" s="372">
        <v>46454758</v>
      </c>
      <c r="CX4" s="372">
        <f t="shared" ref="CX4:CX67" si="38">+CW4/$CW$1*$CX$1</f>
        <v>46454.758000000002</v>
      </c>
      <c r="CZ4" s="1059" t="s">
        <v>455</v>
      </c>
      <c r="DA4" s="1060">
        <v>803531118</v>
      </c>
      <c r="DB4" s="1060">
        <v>424021403</v>
      </c>
      <c r="DC4" s="1060">
        <v>424021403</v>
      </c>
      <c r="DD4" s="1060">
        <v>379509715</v>
      </c>
      <c r="DE4" s="1060">
        <f t="shared" ref="DE4:DE67" si="39">+DA4/$DG$1*$DH$1</f>
        <v>803531.11800000002</v>
      </c>
      <c r="DF4" s="1060">
        <f t="shared" ref="DF4:DF67" si="40">+DB4/$DG$1*$DH$1</f>
        <v>424021.40299999999</v>
      </c>
      <c r="DG4" s="1060">
        <f t="shared" ref="DG4:DG67" si="41">+DC4/$DG$1*$DH$1</f>
        <v>424021.40299999999</v>
      </c>
      <c r="DH4" s="1060">
        <f t="shared" ref="DH4:DH67" si="42">+DD4/$DG$1*$DH$1</f>
        <v>379509.71500000003</v>
      </c>
    </row>
    <row r="5" spans="1:112" x14ac:dyDescent="0.25">
      <c r="A5" s="504" t="s">
        <v>454</v>
      </c>
      <c r="B5" s="504">
        <v>628990025</v>
      </c>
      <c r="C5" s="504">
        <v>40787560</v>
      </c>
      <c r="D5" s="504">
        <v>40787560</v>
      </c>
      <c r="E5" s="504">
        <v>588202465</v>
      </c>
      <c r="F5" s="504">
        <f t="shared" si="0"/>
        <v>628990.02500000002</v>
      </c>
      <c r="G5" s="504">
        <f t="shared" si="1"/>
        <v>40787.56</v>
      </c>
      <c r="H5" s="504">
        <f t="shared" si="2"/>
        <v>40787.56</v>
      </c>
      <c r="I5" s="504">
        <f t="shared" si="3"/>
        <v>588202.46499999997</v>
      </c>
      <c r="L5" s="371" t="s">
        <v>454</v>
      </c>
      <c r="M5" s="372">
        <v>40787560</v>
      </c>
      <c r="N5" s="372">
        <f t="shared" si="4"/>
        <v>40787.56</v>
      </c>
      <c r="P5" s="371" t="s">
        <v>454</v>
      </c>
      <c r="Q5" s="372">
        <v>628990025</v>
      </c>
      <c r="R5" s="372">
        <v>81575120</v>
      </c>
      <c r="S5" s="372">
        <v>81575120</v>
      </c>
      <c r="T5" s="372">
        <v>547414905</v>
      </c>
      <c r="U5" s="372">
        <f t="shared" si="5"/>
        <v>628990.02500000002</v>
      </c>
      <c r="V5" s="505">
        <f t="shared" si="6"/>
        <v>81575.12</v>
      </c>
      <c r="W5" s="505">
        <f t="shared" si="7"/>
        <v>81575.12</v>
      </c>
      <c r="X5" s="505">
        <f t="shared" si="8"/>
        <v>547414.90500000003</v>
      </c>
      <c r="AA5" s="371" t="s">
        <v>454</v>
      </c>
      <c r="AB5" s="372">
        <v>51803669</v>
      </c>
      <c r="AC5" s="505">
        <f t="shared" si="9"/>
        <v>51803.669000000002</v>
      </c>
      <c r="AE5" s="373" t="s">
        <v>454</v>
      </c>
      <c r="AF5" s="504">
        <v>628990025</v>
      </c>
      <c r="AG5" s="504">
        <v>133378789</v>
      </c>
      <c r="AH5" s="504">
        <v>133378789</v>
      </c>
      <c r="AI5" s="504">
        <v>495611236</v>
      </c>
      <c r="AJ5" s="504">
        <f t="shared" si="10"/>
        <v>628990.02500000002</v>
      </c>
      <c r="AK5" s="504">
        <f t="shared" si="11"/>
        <v>133378.78899999999</v>
      </c>
      <c r="AL5" s="504">
        <f t="shared" si="12"/>
        <v>133378.78899999999</v>
      </c>
      <c r="AM5" s="504">
        <f t="shared" si="13"/>
        <v>495611.23599999998</v>
      </c>
      <c r="AP5" s="371" t="s">
        <v>454</v>
      </c>
      <c r="AQ5" s="372">
        <v>37455651</v>
      </c>
      <c r="AR5" s="372">
        <f t="shared" si="18"/>
        <v>37455.650999999998</v>
      </c>
      <c r="AT5" s="371" t="s">
        <v>454</v>
      </c>
      <c r="AU5" s="372">
        <v>628990025</v>
      </c>
      <c r="AV5" s="372">
        <v>170834440</v>
      </c>
      <c r="AW5" s="372">
        <v>170834440</v>
      </c>
      <c r="AX5" s="372">
        <v>458155585</v>
      </c>
      <c r="AY5" s="504">
        <f t="shared" si="19"/>
        <v>628990.02500000002</v>
      </c>
      <c r="AZ5" s="504">
        <f t="shared" si="20"/>
        <v>170834.44</v>
      </c>
      <c r="BA5" s="504">
        <f t="shared" si="21"/>
        <v>170834.44</v>
      </c>
      <c r="BB5" s="504">
        <f t="shared" si="22"/>
        <v>458155.58500000002</v>
      </c>
      <c r="BD5" s="782" t="s">
        <v>454</v>
      </c>
      <c r="BE5" s="644">
        <v>35514711</v>
      </c>
      <c r="BF5" s="650">
        <f t="shared" si="23"/>
        <v>35514.711000000003</v>
      </c>
      <c r="BH5" s="782" t="s">
        <v>454</v>
      </c>
      <c r="BI5" s="644">
        <v>628990025</v>
      </c>
      <c r="BJ5" s="644">
        <v>206349151</v>
      </c>
      <c r="BK5" s="644">
        <v>206349151</v>
      </c>
      <c r="BL5" s="644">
        <v>422640874</v>
      </c>
      <c r="BM5" s="548">
        <f t="shared" si="24"/>
        <v>628990.02500000002</v>
      </c>
      <c r="BN5" s="548">
        <f t="shared" si="25"/>
        <v>206349.15100000001</v>
      </c>
      <c r="BO5" s="548">
        <f t="shared" si="26"/>
        <v>206349.15100000001</v>
      </c>
      <c r="BP5" s="650">
        <f t="shared" si="27"/>
        <v>422640.87400000001</v>
      </c>
      <c r="BS5" s="373" t="s">
        <v>454</v>
      </c>
      <c r="BT5" s="597">
        <v>51953999</v>
      </c>
      <c r="BU5" s="597">
        <f t="shared" si="28"/>
        <v>51953.999000000003</v>
      </c>
      <c r="BW5" s="597" t="s">
        <v>454</v>
      </c>
      <c r="BX5" s="597">
        <v>628990025</v>
      </c>
      <c r="BY5" s="597">
        <v>258303150</v>
      </c>
      <c r="BZ5" s="597">
        <v>370686875</v>
      </c>
      <c r="CA5" s="597">
        <v>258303150</v>
      </c>
      <c r="CB5" s="597">
        <f t="shared" si="29"/>
        <v>628990.02500000002</v>
      </c>
      <c r="CC5" s="597">
        <f t="shared" si="30"/>
        <v>258303.15</v>
      </c>
      <c r="CD5" s="597">
        <f t="shared" si="31"/>
        <v>370686.875</v>
      </c>
      <c r="CE5" s="597">
        <f t="shared" si="32"/>
        <v>258303.15</v>
      </c>
      <c r="CG5" s="373" t="s">
        <v>454</v>
      </c>
      <c r="CH5" s="597">
        <v>37205313</v>
      </c>
      <c r="CI5" s="597">
        <f t="shared" si="33"/>
        <v>37205.313000000002</v>
      </c>
      <c r="CK5" s="371" t="s">
        <v>454</v>
      </c>
      <c r="CL5" s="372">
        <v>628990025</v>
      </c>
      <c r="CM5" s="372">
        <v>295508463</v>
      </c>
      <c r="CN5" s="372">
        <v>295508463</v>
      </c>
      <c r="CO5" s="372">
        <v>333481562</v>
      </c>
      <c r="CP5" s="597">
        <f t="shared" si="34"/>
        <v>628990.02500000002</v>
      </c>
      <c r="CQ5" s="597">
        <f t="shared" si="35"/>
        <v>295508.46299999999</v>
      </c>
      <c r="CR5" s="597">
        <f t="shared" si="36"/>
        <v>295508.46299999999</v>
      </c>
      <c r="CS5" s="597">
        <f t="shared" si="37"/>
        <v>333481.56199999998</v>
      </c>
      <c r="CU5" s="548"/>
      <c r="CV5" s="371" t="s">
        <v>454</v>
      </c>
      <c r="CW5" s="372">
        <v>37359317</v>
      </c>
      <c r="CX5" s="372">
        <f t="shared" si="38"/>
        <v>37359.317000000003</v>
      </c>
      <c r="CZ5" s="1059" t="s">
        <v>454</v>
      </c>
      <c r="DA5" s="1060">
        <v>628990025</v>
      </c>
      <c r="DB5" s="1060">
        <v>332867780</v>
      </c>
      <c r="DC5" s="1060">
        <v>332867780</v>
      </c>
      <c r="DD5" s="1060">
        <v>296122245</v>
      </c>
      <c r="DE5" s="1060">
        <f t="shared" si="39"/>
        <v>628990.02500000002</v>
      </c>
      <c r="DF5" s="1060">
        <f t="shared" si="40"/>
        <v>332867.78000000003</v>
      </c>
      <c r="DG5" s="1060">
        <f t="shared" si="41"/>
        <v>332867.78000000003</v>
      </c>
      <c r="DH5" s="1060">
        <f t="shared" si="42"/>
        <v>296122.245</v>
      </c>
    </row>
    <row r="6" spans="1:112" x14ac:dyDescent="0.25">
      <c r="A6" s="504" t="s">
        <v>453</v>
      </c>
      <c r="B6" s="504">
        <v>116011474</v>
      </c>
      <c r="C6" s="504">
        <v>8300178</v>
      </c>
      <c r="D6" s="504">
        <v>8300178</v>
      </c>
      <c r="E6" s="504">
        <v>107711296</v>
      </c>
      <c r="F6" s="504">
        <f t="shared" si="0"/>
        <v>116011.474</v>
      </c>
      <c r="G6" s="504">
        <f t="shared" si="1"/>
        <v>8300.1779999999999</v>
      </c>
      <c r="H6" s="504">
        <f t="shared" si="2"/>
        <v>8300.1779999999999</v>
      </c>
      <c r="I6" s="504">
        <f t="shared" si="3"/>
        <v>107711.296</v>
      </c>
      <c r="L6" s="371" t="s">
        <v>453</v>
      </c>
      <c r="M6" s="372">
        <v>8300178</v>
      </c>
      <c r="N6" s="372">
        <f t="shared" si="4"/>
        <v>8300.1779999999999</v>
      </c>
      <c r="P6" s="371" t="s">
        <v>453</v>
      </c>
      <c r="Q6" s="372">
        <v>116011474</v>
      </c>
      <c r="R6" s="372">
        <v>16600356</v>
      </c>
      <c r="S6" s="372">
        <v>16600356</v>
      </c>
      <c r="T6" s="372">
        <v>99411118</v>
      </c>
      <c r="U6" s="372">
        <f t="shared" si="5"/>
        <v>116011.474</v>
      </c>
      <c r="V6" s="505">
        <f t="shared" si="6"/>
        <v>16600.356</v>
      </c>
      <c r="W6" s="505">
        <f t="shared" si="7"/>
        <v>16600.356</v>
      </c>
      <c r="X6" s="505">
        <f t="shared" si="8"/>
        <v>99411.118000000002</v>
      </c>
      <c r="AA6" s="371" t="s">
        <v>453</v>
      </c>
      <c r="AB6" s="372">
        <v>7478099</v>
      </c>
      <c r="AC6" s="505">
        <f t="shared" si="9"/>
        <v>7478.0990000000002</v>
      </c>
      <c r="AE6" s="373" t="s">
        <v>453</v>
      </c>
      <c r="AF6" s="504">
        <v>116011474</v>
      </c>
      <c r="AG6" s="504">
        <v>24078455</v>
      </c>
      <c r="AH6" s="504">
        <v>24078455</v>
      </c>
      <c r="AI6" s="504">
        <v>91933019</v>
      </c>
      <c r="AJ6" s="504">
        <f t="shared" si="10"/>
        <v>116011.474</v>
      </c>
      <c r="AK6" s="504">
        <f t="shared" si="11"/>
        <v>24078.455000000002</v>
      </c>
      <c r="AL6" s="504">
        <f t="shared" si="12"/>
        <v>24078.455000000002</v>
      </c>
      <c r="AM6" s="504">
        <f t="shared" si="13"/>
        <v>91933.019</v>
      </c>
      <c r="AP6" s="371" t="s">
        <v>453</v>
      </c>
      <c r="AQ6" s="372">
        <v>7478099</v>
      </c>
      <c r="AR6" s="372">
        <f t="shared" si="18"/>
        <v>7478.0990000000002</v>
      </c>
      <c r="AT6" s="371" t="s">
        <v>453</v>
      </c>
      <c r="AU6" s="372">
        <v>116011474</v>
      </c>
      <c r="AV6" s="372">
        <v>31556554</v>
      </c>
      <c r="AW6" s="372">
        <v>31556554</v>
      </c>
      <c r="AX6" s="372">
        <v>84454920</v>
      </c>
      <c r="AY6" s="504">
        <f t="shared" si="19"/>
        <v>116011.474</v>
      </c>
      <c r="AZ6" s="504">
        <f t="shared" si="20"/>
        <v>31556.554</v>
      </c>
      <c r="BA6" s="504">
        <f t="shared" si="21"/>
        <v>31556.554</v>
      </c>
      <c r="BB6" s="504">
        <f t="shared" si="22"/>
        <v>84454.92</v>
      </c>
      <c r="BD6" s="782" t="s">
        <v>453</v>
      </c>
      <c r="BE6" s="644">
        <v>7158593</v>
      </c>
      <c r="BF6" s="650">
        <f t="shared" si="23"/>
        <v>7158.5929999999998</v>
      </c>
      <c r="BH6" s="782" t="s">
        <v>453</v>
      </c>
      <c r="BI6" s="644">
        <v>116011474</v>
      </c>
      <c r="BJ6" s="644">
        <v>38715147</v>
      </c>
      <c r="BK6" s="644">
        <v>38715147</v>
      </c>
      <c r="BL6" s="644">
        <v>77296327</v>
      </c>
      <c r="BM6" s="548">
        <f t="shared" si="24"/>
        <v>116011.474</v>
      </c>
      <c r="BN6" s="548">
        <f t="shared" si="25"/>
        <v>38715.146999999997</v>
      </c>
      <c r="BO6" s="548">
        <f t="shared" si="26"/>
        <v>38715.146999999997</v>
      </c>
      <c r="BP6" s="650">
        <f t="shared" si="27"/>
        <v>77296.327000000005</v>
      </c>
      <c r="BS6" s="373" t="s">
        <v>453</v>
      </c>
      <c r="BT6" s="597">
        <v>7521990</v>
      </c>
      <c r="BU6" s="597">
        <f t="shared" si="28"/>
        <v>7521.99</v>
      </c>
      <c r="BW6" s="597" t="s">
        <v>453</v>
      </c>
      <c r="BX6" s="597">
        <v>116011474</v>
      </c>
      <c r="BY6" s="597">
        <v>46237137</v>
      </c>
      <c r="BZ6" s="597">
        <v>69774337</v>
      </c>
      <c r="CA6" s="597">
        <v>46237137</v>
      </c>
      <c r="CB6" s="597">
        <f t="shared" si="29"/>
        <v>116011.474</v>
      </c>
      <c r="CC6" s="597">
        <f t="shared" si="30"/>
        <v>46237.137000000002</v>
      </c>
      <c r="CD6" s="597">
        <f t="shared" si="31"/>
        <v>69774.337</v>
      </c>
      <c r="CE6" s="597">
        <f t="shared" si="32"/>
        <v>46237.137000000002</v>
      </c>
      <c r="CG6" s="373" t="s">
        <v>453</v>
      </c>
      <c r="CH6" s="597">
        <v>7521990</v>
      </c>
      <c r="CI6" s="597">
        <f t="shared" si="33"/>
        <v>7521.99</v>
      </c>
      <c r="CK6" s="371" t="s">
        <v>453</v>
      </c>
      <c r="CL6" s="372">
        <v>116011474</v>
      </c>
      <c r="CM6" s="372">
        <v>53759127</v>
      </c>
      <c r="CN6" s="372">
        <v>53759127</v>
      </c>
      <c r="CO6" s="372">
        <v>62252347</v>
      </c>
      <c r="CP6" s="597">
        <f t="shared" si="34"/>
        <v>116011.474</v>
      </c>
      <c r="CQ6" s="597">
        <f t="shared" si="35"/>
        <v>53759.127</v>
      </c>
      <c r="CR6" s="597">
        <f t="shared" si="36"/>
        <v>53759.127</v>
      </c>
      <c r="CS6" s="597">
        <f t="shared" si="37"/>
        <v>62252.347000000002</v>
      </c>
      <c r="CU6" s="548"/>
      <c r="CV6" s="371" t="s">
        <v>453</v>
      </c>
      <c r="CW6" s="372">
        <v>7551036</v>
      </c>
      <c r="CX6" s="372">
        <f t="shared" si="38"/>
        <v>7551.0360000000001</v>
      </c>
      <c r="CZ6" s="1059" t="s">
        <v>453</v>
      </c>
      <c r="DA6" s="1060">
        <v>116011474</v>
      </c>
      <c r="DB6" s="1060">
        <v>61310163</v>
      </c>
      <c r="DC6" s="1060">
        <v>61310163</v>
      </c>
      <c r="DD6" s="1060">
        <v>54701311</v>
      </c>
      <c r="DE6" s="1060">
        <f t="shared" si="39"/>
        <v>116011.474</v>
      </c>
      <c r="DF6" s="1060">
        <f t="shared" si="40"/>
        <v>61310.163</v>
      </c>
      <c r="DG6" s="1060">
        <f t="shared" si="41"/>
        <v>61310.163</v>
      </c>
      <c r="DH6" s="1060">
        <f t="shared" si="42"/>
        <v>54701.311000000002</v>
      </c>
    </row>
    <row r="7" spans="1:112" x14ac:dyDescent="0.25">
      <c r="A7" s="504" t="s">
        <v>517</v>
      </c>
      <c r="B7" s="504">
        <v>16073669</v>
      </c>
      <c r="C7" s="504">
        <v>1065564</v>
      </c>
      <c r="D7" s="504">
        <v>1065564</v>
      </c>
      <c r="E7" s="504">
        <v>15008105</v>
      </c>
      <c r="F7" s="504">
        <f t="shared" si="0"/>
        <v>16073.669</v>
      </c>
      <c r="G7" s="504">
        <f t="shared" si="1"/>
        <v>1065.5640000000001</v>
      </c>
      <c r="H7" s="504">
        <f t="shared" si="2"/>
        <v>1065.5640000000001</v>
      </c>
      <c r="I7" s="504">
        <f t="shared" si="3"/>
        <v>15008.105</v>
      </c>
      <c r="L7" s="371" t="s">
        <v>517</v>
      </c>
      <c r="M7" s="372">
        <v>1065564</v>
      </c>
      <c r="N7" s="372">
        <f t="shared" si="4"/>
        <v>1065.5640000000001</v>
      </c>
      <c r="P7" s="371" t="s">
        <v>517</v>
      </c>
      <c r="Q7" s="372">
        <v>16073669</v>
      </c>
      <c r="R7" s="372">
        <v>2131128</v>
      </c>
      <c r="S7" s="372">
        <v>2131128</v>
      </c>
      <c r="T7" s="372">
        <v>13942541</v>
      </c>
      <c r="U7" s="372">
        <f t="shared" si="5"/>
        <v>16073.669</v>
      </c>
      <c r="V7" s="505">
        <f t="shared" si="6"/>
        <v>2131.1280000000002</v>
      </c>
      <c r="W7" s="505">
        <f t="shared" si="7"/>
        <v>2131.1280000000002</v>
      </c>
      <c r="X7" s="505">
        <f t="shared" si="8"/>
        <v>13942.540999999999</v>
      </c>
      <c r="AA7" s="371" t="s">
        <v>517</v>
      </c>
      <c r="AB7" s="372">
        <v>818940</v>
      </c>
      <c r="AC7" s="505">
        <f t="shared" si="9"/>
        <v>818.94</v>
      </c>
      <c r="AE7" s="373" t="s">
        <v>517</v>
      </c>
      <c r="AF7" s="504">
        <v>16073669</v>
      </c>
      <c r="AG7" s="504">
        <v>2950068</v>
      </c>
      <c r="AH7" s="504">
        <v>2950068</v>
      </c>
      <c r="AI7" s="504">
        <v>13123601</v>
      </c>
      <c r="AJ7" s="504">
        <f t="shared" si="10"/>
        <v>16073.669</v>
      </c>
      <c r="AK7" s="504">
        <f t="shared" si="11"/>
        <v>2950.0680000000002</v>
      </c>
      <c r="AL7" s="504">
        <f t="shared" si="12"/>
        <v>2950.0680000000002</v>
      </c>
      <c r="AM7" s="504">
        <f t="shared" si="13"/>
        <v>13123.601000000001</v>
      </c>
      <c r="AP7" s="371" t="s">
        <v>517</v>
      </c>
      <c r="AQ7" s="372">
        <v>818940</v>
      </c>
      <c r="AR7" s="372">
        <f t="shared" si="18"/>
        <v>818.94</v>
      </c>
      <c r="AT7" s="371" t="s">
        <v>517</v>
      </c>
      <c r="AU7" s="372">
        <v>16073669</v>
      </c>
      <c r="AV7" s="372">
        <v>3769008</v>
      </c>
      <c r="AW7" s="372">
        <v>3769008</v>
      </c>
      <c r="AX7" s="372">
        <v>12304661</v>
      </c>
      <c r="AY7" s="504">
        <f t="shared" si="19"/>
        <v>16073.669</v>
      </c>
      <c r="AZ7" s="504">
        <f t="shared" si="20"/>
        <v>3769.0079999999998</v>
      </c>
      <c r="BA7" s="504">
        <f t="shared" si="21"/>
        <v>3769.0079999999998</v>
      </c>
      <c r="BB7" s="504">
        <f t="shared" si="22"/>
        <v>12304.661</v>
      </c>
      <c r="BD7" s="782" t="s">
        <v>517</v>
      </c>
      <c r="BE7" s="644">
        <v>818940</v>
      </c>
      <c r="BF7" s="650">
        <f t="shared" si="23"/>
        <v>818.94</v>
      </c>
      <c r="BH7" s="782" t="s">
        <v>517</v>
      </c>
      <c r="BI7" s="644">
        <v>16073669</v>
      </c>
      <c r="BJ7" s="644">
        <v>4587948</v>
      </c>
      <c r="BK7" s="644">
        <v>4587948</v>
      </c>
      <c r="BL7" s="644">
        <v>11485721</v>
      </c>
      <c r="BM7" s="548">
        <f t="shared" si="24"/>
        <v>16073.669</v>
      </c>
      <c r="BN7" s="548">
        <f t="shared" si="25"/>
        <v>4587.9480000000003</v>
      </c>
      <c r="BO7" s="548">
        <f t="shared" si="26"/>
        <v>4587.9480000000003</v>
      </c>
      <c r="BP7" s="650">
        <f t="shared" si="27"/>
        <v>11485.721</v>
      </c>
      <c r="BS7" s="373" t="s">
        <v>517</v>
      </c>
      <c r="BT7" s="597">
        <v>824099</v>
      </c>
      <c r="BU7" s="597">
        <f t="shared" si="28"/>
        <v>824.09900000000005</v>
      </c>
      <c r="BW7" s="597" t="s">
        <v>517</v>
      </c>
      <c r="BX7" s="597">
        <v>16073669</v>
      </c>
      <c r="BY7" s="597">
        <v>5412047</v>
      </c>
      <c r="BZ7" s="597">
        <v>10661622</v>
      </c>
      <c r="CA7" s="597">
        <v>5412047</v>
      </c>
      <c r="CB7" s="597">
        <f t="shared" si="29"/>
        <v>16073.669</v>
      </c>
      <c r="CC7" s="597">
        <f t="shared" si="30"/>
        <v>5412.0469999999996</v>
      </c>
      <c r="CD7" s="597">
        <f t="shared" si="31"/>
        <v>10661.621999999999</v>
      </c>
      <c r="CE7" s="597">
        <f t="shared" si="32"/>
        <v>5412.0469999999996</v>
      </c>
      <c r="CG7" s="373" t="s">
        <v>517</v>
      </c>
      <c r="CH7" s="597">
        <v>824099</v>
      </c>
      <c r="CI7" s="597">
        <f t="shared" si="33"/>
        <v>824.09900000000005</v>
      </c>
      <c r="CK7" s="371" t="s">
        <v>517</v>
      </c>
      <c r="CL7" s="372">
        <v>16073669</v>
      </c>
      <c r="CM7" s="372">
        <v>6236146</v>
      </c>
      <c r="CN7" s="372">
        <v>6236146</v>
      </c>
      <c r="CO7" s="372">
        <v>9837523</v>
      </c>
      <c r="CP7" s="597">
        <f t="shared" si="34"/>
        <v>16073.669</v>
      </c>
      <c r="CQ7" s="597">
        <f t="shared" si="35"/>
        <v>6236.1459999999997</v>
      </c>
      <c r="CR7" s="597">
        <f t="shared" si="36"/>
        <v>6236.1459999999997</v>
      </c>
      <c r="CS7" s="597">
        <f t="shared" si="37"/>
        <v>9837.5229999999992</v>
      </c>
      <c r="CU7" s="548"/>
      <c r="CV7" s="371" t="s">
        <v>517</v>
      </c>
      <c r="CW7" s="372">
        <v>824099</v>
      </c>
      <c r="CX7" s="372">
        <f t="shared" si="38"/>
        <v>824.09900000000005</v>
      </c>
      <c r="CZ7" s="1059" t="s">
        <v>517</v>
      </c>
      <c r="DA7" s="1060">
        <v>16073669</v>
      </c>
      <c r="DB7" s="1060">
        <v>7060245</v>
      </c>
      <c r="DC7" s="1060">
        <v>7060245</v>
      </c>
      <c r="DD7" s="1060">
        <v>9013424</v>
      </c>
      <c r="DE7" s="1060">
        <f t="shared" si="39"/>
        <v>16073.669</v>
      </c>
      <c r="DF7" s="1060">
        <f t="shared" si="40"/>
        <v>7060.2449999999999</v>
      </c>
      <c r="DG7" s="1060">
        <f t="shared" si="41"/>
        <v>7060.2449999999999</v>
      </c>
      <c r="DH7" s="1060">
        <f t="shared" si="42"/>
        <v>9013.4240000000009</v>
      </c>
    </row>
    <row r="8" spans="1:112" x14ac:dyDescent="0.25">
      <c r="A8" s="504" t="s">
        <v>452</v>
      </c>
      <c r="B8" s="504">
        <v>85149135</v>
      </c>
      <c r="C8" s="504">
        <v>6161689</v>
      </c>
      <c r="D8" s="504">
        <v>6161689</v>
      </c>
      <c r="E8" s="504">
        <v>78987446</v>
      </c>
      <c r="F8" s="504">
        <f t="shared" si="0"/>
        <v>85149.134999999995</v>
      </c>
      <c r="G8" s="504">
        <f t="shared" si="1"/>
        <v>6161.6890000000003</v>
      </c>
      <c r="H8" s="504">
        <f t="shared" si="2"/>
        <v>6161.6890000000003</v>
      </c>
      <c r="I8" s="504">
        <f t="shared" si="3"/>
        <v>78987.445999999996</v>
      </c>
      <c r="L8" s="371" t="s">
        <v>452</v>
      </c>
      <c r="M8" s="372">
        <v>6161689</v>
      </c>
      <c r="N8" s="372">
        <f t="shared" si="4"/>
        <v>6161.6890000000003</v>
      </c>
      <c r="P8" s="371" t="s">
        <v>452</v>
      </c>
      <c r="Q8" s="372">
        <v>85149135</v>
      </c>
      <c r="R8" s="372">
        <v>12323378</v>
      </c>
      <c r="S8" s="372">
        <v>12323378</v>
      </c>
      <c r="T8" s="372">
        <v>72825757</v>
      </c>
      <c r="U8" s="372">
        <f t="shared" si="5"/>
        <v>85149.134999999995</v>
      </c>
      <c r="V8" s="505">
        <f t="shared" si="6"/>
        <v>12323.378000000001</v>
      </c>
      <c r="W8" s="505">
        <f t="shared" si="7"/>
        <v>12323.378000000001</v>
      </c>
      <c r="X8" s="505">
        <f t="shared" si="8"/>
        <v>72825.756999999998</v>
      </c>
      <c r="AA8" s="371" t="s">
        <v>452</v>
      </c>
      <c r="AB8" s="372">
        <v>5504030</v>
      </c>
      <c r="AC8" s="505">
        <f t="shared" si="9"/>
        <v>5504.03</v>
      </c>
      <c r="AE8" s="373" t="s">
        <v>452</v>
      </c>
      <c r="AF8" s="504">
        <v>85149135</v>
      </c>
      <c r="AG8" s="504">
        <v>17827408</v>
      </c>
      <c r="AH8" s="504">
        <v>17827408</v>
      </c>
      <c r="AI8" s="504">
        <v>67321727</v>
      </c>
      <c r="AJ8" s="504">
        <f t="shared" si="10"/>
        <v>85149.134999999995</v>
      </c>
      <c r="AK8" s="504">
        <f t="shared" si="11"/>
        <v>17827.407999999999</v>
      </c>
      <c r="AL8" s="504">
        <f t="shared" si="12"/>
        <v>17827.407999999999</v>
      </c>
      <c r="AM8" s="504">
        <f t="shared" si="13"/>
        <v>67321.726999999999</v>
      </c>
      <c r="AP8" s="371" t="s">
        <v>452</v>
      </c>
      <c r="AQ8" s="372">
        <v>5504030</v>
      </c>
      <c r="AR8" s="372">
        <f t="shared" si="18"/>
        <v>5504.03</v>
      </c>
      <c r="AT8" s="371" t="s">
        <v>452</v>
      </c>
      <c r="AU8" s="372">
        <v>85149135</v>
      </c>
      <c r="AV8" s="372">
        <v>23331438</v>
      </c>
      <c r="AW8" s="372">
        <v>23331438</v>
      </c>
      <c r="AX8" s="372">
        <v>61817697</v>
      </c>
      <c r="AY8" s="504">
        <f t="shared" si="19"/>
        <v>85149.134999999995</v>
      </c>
      <c r="AZ8" s="504">
        <f t="shared" si="20"/>
        <v>23331.437999999998</v>
      </c>
      <c r="BA8" s="504">
        <f t="shared" si="21"/>
        <v>23331.437999999998</v>
      </c>
      <c r="BB8" s="504">
        <f t="shared" si="22"/>
        <v>61817.697</v>
      </c>
      <c r="BD8" s="782" t="s">
        <v>452</v>
      </c>
      <c r="BE8" s="644">
        <v>5248423</v>
      </c>
      <c r="BF8" s="650">
        <f t="shared" si="23"/>
        <v>5248.4229999999998</v>
      </c>
      <c r="BH8" s="782" t="s">
        <v>452</v>
      </c>
      <c r="BI8" s="644">
        <v>85149135</v>
      </c>
      <c r="BJ8" s="644">
        <v>28579861</v>
      </c>
      <c r="BK8" s="644">
        <v>28579861</v>
      </c>
      <c r="BL8" s="644">
        <v>56569274</v>
      </c>
      <c r="BM8" s="548">
        <f t="shared" si="24"/>
        <v>85149.134999999995</v>
      </c>
      <c r="BN8" s="548">
        <f t="shared" si="25"/>
        <v>28579.861000000001</v>
      </c>
      <c r="BO8" s="548">
        <f t="shared" si="26"/>
        <v>28579.861000000001</v>
      </c>
      <c r="BP8" s="650">
        <f t="shared" si="27"/>
        <v>56569.273999999998</v>
      </c>
      <c r="BS8" s="373" t="s">
        <v>452</v>
      </c>
      <c r="BT8" s="597">
        <v>5536083</v>
      </c>
      <c r="BU8" s="597">
        <f t="shared" si="28"/>
        <v>5536.0829999999996</v>
      </c>
      <c r="BW8" s="597" t="s">
        <v>452</v>
      </c>
      <c r="BX8" s="597">
        <v>85149135</v>
      </c>
      <c r="BY8" s="597">
        <v>34115944</v>
      </c>
      <c r="BZ8" s="597">
        <v>51033191</v>
      </c>
      <c r="CA8" s="597">
        <v>34115944</v>
      </c>
      <c r="CB8" s="597">
        <f t="shared" si="29"/>
        <v>85149.134999999995</v>
      </c>
      <c r="CC8" s="597">
        <f t="shared" si="30"/>
        <v>34115.944000000003</v>
      </c>
      <c r="CD8" s="597">
        <f t="shared" si="31"/>
        <v>51033.190999999999</v>
      </c>
      <c r="CE8" s="597">
        <f t="shared" si="32"/>
        <v>34115.944000000003</v>
      </c>
      <c r="CG8" s="373" t="s">
        <v>452</v>
      </c>
      <c r="CH8" s="597">
        <v>5536083</v>
      </c>
      <c r="CI8" s="597">
        <f t="shared" si="33"/>
        <v>5536.0829999999996</v>
      </c>
      <c r="CK8" s="371" t="s">
        <v>452</v>
      </c>
      <c r="CL8" s="372">
        <v>85149135</v>
      </c>
      <c r="CM8" s="372">
        <v>39652027</v>
      </c>
      <c r="CN8" s="372">
        <v>39652027</v>
      </c>
      <c r="CO8" s="372">
        <v>45497108</v>
      </c>
      <c r="CP8" s="597">
        <f t="shared" si="34"/>
        <v>85149.134999999995</v>
      </c>
      <c r="CQ8" s="597">
        <f t="shared" si="35"/>
        <v>39652.027000000002</v>
      </c>
      <c r="CR8" s="597">
        <f t="shared" si="36"/>
        <v>39652.027000000002</v>
      </c>
      <c r="CS8" s="597">
        <f t="shared" si="37"/>
        <v>45497.108</v>
      </c>
      <c r="CU8" s="548"/>
      <c r="CV8" s="371" t="s">
        <v>452</v>
      </c>
      <c r="CW8" s="372">
        <v>5559320</v>
      </c>
      <c r="CX8" s="372">
        <f t="shared" si="38"/>
        <v>5559.32</v>
      </c>
      <c r="CZ8" s="1059" t="s">
        <v>452</v>
      </c>
      <c r="DA8" s="1060">
        <v>85149135</v>
      </c>
      <c r="DB8" s="1060">
        <v>45211347</v>
      </c>
      <c r="DC8" s="1060">
        <v>45211347</v>
      </c>
      <c r="DD8" s="1060">
        <v>39937788</v>
      </c>
      <c r="DE8" s="1060">
        <f t="shared" si="39"/>
        <v>85149.134999999995</v>
      </c>
      <c r="DF8" s="1060">
        <f t="shared" si="40"/>
        <v>45211.347000000002</v>
      </c>
      <c r="DG8" s="1060">
        <f t="shared" si="41"/>
        <v>45211.347000000002</v>
      </c>
      <c r="DH8" s="1060">
        <f t="shared" si="42"/>
        <v>39937.788</v>
      </c>
    </row>
    <row r="9" spans="1:112" x14ac:dyDescent="0.25">
      <c r="A9" s="504" t="s">
        <v>965</v>
      </c>
      <c r="B9" s="504">
        <v>163035</v>
      </c>
      <c r="C9" s="504">
        <v>0</v>
      </c>
      <c r="D9" s="504">
        <v>0</v>
      </c>
      <c r="E9" s="504">
        <v>163035</v>
      </c>
      <c r="F9" s="504">
        <f t="shared" si="0"/>
        <v>163.035</v>
      </c>
      <c r="G9" s="504">
        <f t="shared" si="1"/>
        <v>0</v>
      </c>
      <c r="H9" s="504">
        <f t="shared" si="2"/>
        <v>0</v>
      </c>
      <c r="I9" s="504">
        <f t="shared" si="3"/>
        <v>163.035</v>
      </c>
      <c r="L9" s="371" t="s">
        <v>518</v>
      </c>
      <c r="M9" s="372">
        <v>850505</v>
      </c>
      <c r="N9" s="372">
        <f t="shared" si="4"/>
        <v>850.505</v>
      </c>
      <c r="P9" s="371" t="s">
        <v>965</v>
      </c>
      <c r="Q9" s="372">
        <v>163035</v>
      </c>
      <c r="R9" s="372">
        <v>0</v>
      </c>
      <c r="S9" s="372">
        <v>0</v>
      </c>
      <c r="T9" s="372">
        <v>163035</v>
      </c>
      <c r="U9" s="372">
        <f t="shared" si="5"/>
        <v>163.035</v>
      </c>
      <c r="V9" s="505">
        <f t="shared" si="6"/>
        <v>0</v>
      </c>
      <c r="W9" s="505">
        <f t="shared" si="7"/>
        <v>0</v>
      </c>
      <c r="X9" s="505">
        <f t="shared" si="8"/>
        <v>163.035</v>
      </c>
      <c r="AA9" s="371" t="s">
        <v>518</v>
      </c>
      <c r="AB9" s="372">
        <v>850505</v>
      </c>
      <c r="AC9" s="505">
        <f t="shared" si="9"/>
        <v>850.505</v>
      </c>
      <c r="AE9" s="373" t="s">
        <v>965</v>
      </c>
      <c r="AF9" s="504">
        <v>163035</v>
      </c>
      <c r="AG9" s="504">
        <v>0</v>
      </c>
      <c r="AH9" s="504">
        <v>0</v>
      </c>
      <c r="AI9" s="504">
        <v>163035</v>
      </c>
      <c r="AJ9" s="504">
        <f t="shared" si="10"/>
        <v>163.035</v>
      </c>
      <c r="AK9" s="504">
        <f t="shared" si="11"/>
        <v>0</v>
      </c>
      <c r="AL9" s="504">
        <f t="shared" si="12"/>
        <v>0</v>
      </c>
      <c r="AM9" s="504">
        <f t="shared" si="13"/>
        <v>163.035</v>
      </c>
      <c r="AP9" s="371" t="s">
        <v>518</v>
      </c>
      <c r="AQ9" s="372">
        <v>850505</v>
      </c>
      <c r="AR9" s="372">
        <f t="shared" si="18"/>
        <v>850.505</v>
      </c>
      <c r="AT9" s="371" t="s">
        <v>965</v>
      </c>
      <c r="AU9" s="372">
        <v>163035</v>
      </c>
      <c r="AV9" s="372">
        <v>0</v>
      </c>
      <c r="AW9" s="372">
        <v>0</v>
      </c>
      <c r="AX9" s="372">
        <v>163035</v>
      </c>
      <c r="AY9" s="504">
        <f t="shared" si="19"/>
        <v>163.035</v>
      </c>
      <c r="AZ9" s="504">
        <f t="shared" si="20"/>
        <v>0</v>
      </c>
      <c r="BA9" s="504">
        <f t="shared" si="21"/>
        <v>0</v>
      </c>
      <c r="BB9" s="504">
        <f t="shared" si="22"/>
        <v>163.035</v>
      </c>
      <c r="BD9" s="782" t="s">
        <v>518</v>
      </c>
      <c r="BE9" s="644">
        <v>850505</v>
      </c>
      <c r="BF9" s="650">
        <f t="shared" si="23"/>
        <v>850.505</v>
      </c>
      <c r="BH9" s="782" t="s">
        <v>965</v>
      </c>
      <c r="BI9" s="644">
        <v>163035</v>
      </c>
      <c r="BJ9" s="644">
        <v>0</v>
      </c>
      <c r="BK9" s="644">
        <v>0</v>
      </c>
      <c r="BL9" s="644">
        <v>163035</v>
      </c>
      <c r="BM9" s="548">
        <f t="shared" si="24"/>
        <v>163.035</v>
      </c>
      <c r="BN9" s="548">
        <f t="shared" si="25"/>
        <v>0</v>
      </c>
      <c r="BO9" s="548">
        <f t="shared" si="26"/>
        <v>0</v>
      </c>
      <c r="BP9" s="650">
        <f t="shared" si="27"/>
        <v>163.035</v>
      </c>
      <c r="BS9" s="373" t="s">
        <v>518</v>
      </c>
      <c r="BT9" s="597">
        <v>855949</v>
      </c>
      <c r="BU9" s="597">
        <f t="shared" si="28"/>
        <v>855.94899999999996</v>
      </c>
      <c r="BW9" s="597" t="s">
        <v>965</v>
      </c>
      <c r="BX9" s="597">
        <v>163035</v>
      </c>
      <c r="BY9" s="597">
        <v>0</v>
      </c>
      <c r="BZ9" s="597">
        <v>163035</v>
      </c>
      <c r="CA9" s="597">
        <v>0</v>
      </c>
      <c r="CB9" s="597">
        <f t="shared" si="29"/>
        <v>163.035</v>
      </c>
      <c r="CC9" s="597">
        <f t="shared" si="30"/>
        <v>0</v>
      </c>
      <c r="CD9" s="597">
        <f t="shared" si="31"/>
        <v>163.035</v>
      </c>
      <c r="CE9" s="597">
        <f t="shared" si="32"/>
        <v>0</v>
      </c>
      <c r="CG9" s="373" t="s">
        <v>518</v>
      </c>
      <c r="CH9" s="597">
        <v>855949</v>
      </c>
      <c r="CI9" s="597">
        <f t="shared" si="33"/>
        <v>855.94899999999996</v>
      </c>
      <c r="CK9" s="371" t="s">
        <v>965</v>
      </c>
      <c r="CL9" s="372">
        <v>163035</v>
      </c>
      <c r="CM9" s="372">
        <v>0</v>
      </c>
      <c r="CN9" s="372">
        <v>0</v>
      </c>
      <c r="CO9" s="372">
        <v>163035</v>
      </c>
      <c r="CP9" s="597">
        <f t="shared" si="34"/>
        <v>163.035</v>
      </c>
      <c r="CQ9" s="597">
        <f t="shared" si="35"/>
        <v>0</v>
      </c>
      <c r="CR9" s="597">
        <f t="shared" si="36"/>
        <v>0</v>
      </c>
      <c r="CS9" s="597">
        <f t="shared" si="37"/>
        <v>163.035</v>
      </c>
      <c r="CU9" s="548"/>
      <c r="CV9" s="371" t="s">
        <v>518</v>
      </c>
      <c r="CW9" s="372">
        <v>855949</v>
      </c>
      <c r="CX9" s="372">
        <f t="shared" si="38"/>
        <v>855.94899999999996</v>
      </c>
      <c r="CZ9" s="1059" t="s">
        <v>965</v>
      </c>
      <c r="DA9" s="1060">
        <v>163035</v>
      </c>
      <c r="DB9" s="1060">
        <v>0</v>
      </c>
      <c r="DC9" s="1060">
        <v>0</v>
      </c>
      <c r="DD9" s="1060">
        <v>163035</v>
      </c>
      <c r="DE9" s="1060">
        <f t="shared" si="39"/>
        <v>163.035</v>
      </c>
      <c r="DF9" s="1060">
        <f t="shared" si="40"/>
        <v>0</v>
      </c>
      <c r="DG9" s="1060">
        <f t="shared" si="41"/>
        <v>0</v>
      </c>
      <c r="DH9" s="1060">
        <f t="shared" si="42"/>
        <v>163.035</v>
      </c>
    </row>
    <row r="10" spans="1:112" x14ac:dyDescent="0.25">
      <c r="A10" s="504" t="s">
        <v>518</v>
      </c>
      <c r="B10" s="504">
        <v>9786439</v>
      </c>
      <c r="C10" s="504">
        <v>850505</v>
      </c>
      <c r="D10" s="504">
        <v>850505</v>
      </c>
      <c r="E10" s="504">
        <v>8935934</v>
      </c>
      <c r="F10" s="504">
        <f t="shared" si="0"/>
        <v>9786.4390000000003</v>
      </c>
      <c r="G10" s="504">
        <f t="shared" si="1"/>
        <v>850.505</v>
      </c>
      <c r="H10" s="504">
        <f t="shared" si="2"/>
        <v>850.505</v>
      </c>
      <c r="I10" s="504">
        <f t="shared" si="3"/>
        <v>8935.9339999999993</v>
      </c>
      <c r="L10" s="371" t="s">
        <v>519</v>
      </c>
      <c r="M10" s="372">
        <v>185985</v>
      </c>
      <c r="N10" s="372">
        <f t="shared" si="4"/>
        <v>185.98500000000001</v>
      </c>
      <c r="P10" s="371" t="s">
        <v>518</v>
      </c>
      <c r="Q10" s="372">
        <v>9786439</v>
      </c>
      <c r="R10" s="372">
        <v>1701010</v>
      </c>
      <c r="S10" s="372">
        <v>1701010</v>
      </c>
      <c r="T10" s="372">
        <v>8085429</v>
      </c>
      <c r="U10" s="372">
        <f t="shared" si="5"/>
        <v>9786.4390000000003</v>
      </c>
      <c r="V10" s="505">
        <f t="shared" si="6"/>
        <v>1701.01</v>
      </c>
      <c r="W10" s="505">
        <f t="shared" si="7"/>
        <v>1701.01</v>
      </c>
      <c r="X10" s="505">
        <f t="shared" si="8"/>
        <v>8085.4290000000001</v>
      </c>
      <c r="AA10" s="371" t="s">
        <v>519</v>
      </c>
      <c r="AB10" s="372">
        <v>185985</v>
      </c>
      <c r="AC10" s="505">
        <f t="shared" si="9"/>
        <v>185.98500000000001</v>
      </c>
      <c r="AE10" s="373" t="s">
        <v>518</v>
      </c>
      <c r="AF10" s="504">
        <v>9786439</v>
      </c>
      <c r="AG10" s="504">
        <v>2551515</v>
      </c>
      <c r="AH10" s="504">
        <v>2551515</v>
      </c>
      <c r="AI10" s="504">
        <v>7234924</v>
      </c>
      <c r="AJ10" s="504">
        <f t="shared" si="10"/>
        <v>9786.4390000000003</v>
      </c>
      <c r="AK10" s="504">
        <f t="shared" si="11"/>
        <v>2551.5149999999999</v>
      </c>
      <c r="AL10" s="504">
        <f t="shared" si="12"/>
        <v>2551.5149999999999</v>
      </c>
      <c r="AM10" s="504">
        <f t="shared" si="13"/>
        <v>7234.924</v>
      </c>
      <c r="AP10" s="371" t="s">
        <v>519</v>
      </c>
      <c r="AQ10" s="372">
        <v>185985</v>
      </c>
      <c r="AR10" s="372">
        <f t="shared" si="18"/>
        <v>185.98500000000001</v>
      </c>
      <c r="AT10" s="371" t="s">
        <v>518</v>
      </c>
      <c r="AU10" s="372">
        <v>9786439</v>
      </c>
      <c r="AV10" s="372">
        <v>3402020</v>
      </c>
      <c r="AW10" s="372">
        <v>3402020</v>
      </c>
      <c r="AX10" s="372">
        <v>6384419</v>
      </c>
      <c r="AY10" s="504">
        <f t="shared" si="19"/>
        <v>9786.4390000000003</v>
      </c>
      <c r="AZ10" s="504">
        <f t="shared" si="20"/>
        <v>3402.02</v>
      </c>
      <c r="BA10" s="504">
        <f t="shared" si="21"/>
        <v>3402.02</v>
      </c>
      <c r="BB10" s="504">
        <f t="shared" si="22"/>
        <v>6384.4189999999999</v>
      </c>
      <c r="BD10" s="782" t="s">
        <v>519</v>
      </c>
      <c r="BE10" s="644">
        <v>185985</v>
      </c>
      <c r="BF10" s="650">
        <f t="shared" si="23"/>
        <v>185.98500000000001</v>
      </c>
      <c r="BH10" s="782" t="s">
        <v>518</v>
      </c>
      <c r="BI10" s="644">
        <v>9786439</v>
      </c>
      <c r="BJ10" s="644">
        <v>4252525</v>
      </c>
      <c r="BK10" s="644">
        <v>4252525</v>
      </c>
      <c r="BL10" s="644">
        <v>5533914</v>
      </c>
      <c r="BM10" s="548">
        <f t="shared" si="24"/>
        <v>9786.4390000000003</v>
      </c>
      <c r="BN10" s="548">
        <f t="shared" si="25"/>
        <v>4252.5249999999996</v>
      </c>
      <c r="BO10" s="548">
        <f t="shared" si="26"/>
        <v>4252.5249999999996</v>
      </c>
      <c r="BP10" s="650">
        <f t="shared" si="27"/>
        <v>5533.9139999999998</v>
      </c>
      <c r="BS10" s="373" t="s">
        <v>519</v>
      </c>
      <c r="BT10" s="597">
        <v>185985</v>
      </c>
      <c r="BU10" s="597">
        <f t="shared" si="28"/>
        <v>185.98500000000001</v>
      </c>
      <c r="BW10" s="597" t="s">
        <v>518</v>
      </c>
      <c r="BX10" s="597">
        <v>9786439</v>
      </c>
      <c r="BY10" s="597">
        <v>5108474</v>
      </c>
      <c r="BZ10" s="597">
        <v>4677965</v>
      </c>
      <c r="CA10" s="597">
        <v>5108474</v>
      </c>
      <c r="CB10" s="597">
        <f t="shared" si="29"/>
        <v>9786.4390000000003</v>
      </c>
      <c r="CC10" s="597">
        <f t="shared" si="30"/>
        <v>5108.4740000000002</v>
      </c>
      <c r="CD10" s="597">
        <f t="shared" si="31"/>
        <v>4677.9650000000001</v>
      </c>
      <c r="CE10" s="597">
        <f t="shared" si="32"/>
        <v>5108.4740000000002</v>
      </c>
      <c r="CG10" s="373" t="s">
        <v>519</v>
      </c>
      <c r="CH10" s="597">
        <v>185985</v>
      </c>
      <c r="CI10" s="597">
        <f t="shared" si="33"/>
        <v>185.98500000000001</v>
      </c>
      <c r="CK10" s="371" t="s">
        <v>518</v>
      </c>
      <c r="CL10" s="372">
        <v>9786439</v>
      </c>
      <c r="CM10" s="372">
        <v>5964423</v>
      </c>
      <c r="CN10" s="372">
        <v>5964423</v>
      </c>
      <c r="CO10" s="372">
        <v>3822016</v>
      </c>
      <c r="CP10" s="597">
        <f t="shared" si="34"/>
        <v>9786.4390000000003</v>
      </c>
      <c r="CQ10" s="597">
        <f t="shared" si="35"/>
        <v>5964.4229999999998</v>
      </c>
      <c r="CR10" s="597">
        <f t="shared" si="36"/>
        <v>5964.4229999999998</v>
      </c>
      <c r="CS10" s="597">
        <f t="shared" si="37"/>
        <v>3822.0160000000001</v>
      </c>
      <c r="CU10" s="548"/>
      <c r="CV10" s="371" t="s">
        <v>519</v>
      </c>
      <c r="CW10" s="372">
        <v>185985</v>
      </c>
      <c r="CX10" s="372">
        <f t="shared" si="38"/>
        <v>185.98500000000001</v>
      </c>
      <c r="CZ10" s="1059" t="s">
        <v>518</v>
      </c>
      <c r="DA10" s="1060">
        <v>9786439</v>
      </c>
      <c r="DB10" s="1060">
        <v>6820372</v>
      </c>
      <c r="DC10" s="1060">
        <v>6820372</v>
      </c>
      <c r="DD10" s="1060">
        <v>2966067</v>
      </c>
      <c r="DE10" s="1060">
        <f t="shared" si="39"/>
        <v>9786.4390000000003</v>
      </c>
      <c r="DF10" s="1060">
        <f t="shared" si="40"/>
        <v>6820.3720000000003</v>
      </c>
      <c r="DG10" s="1060">
        <f t="shared" si="41"/>
        <v>6820.3720000000003</v>
      </c>
      <c r="DH10" s="1060">
        <f t="shared" si="42"/>
        <v>2966.067</v>
      </c>
    </row>
    <row r="11" spans="1:112" x14ac:dyDescent="0.25">
      <c r="A11" s="504" t="s">
        <v>519</v>
      </c>
      <c r="B11" s="504">
        <v>2224879</v>
      </c>
      <c r="C11" s="504">
        <v>185985</v>
      </c>
      <c r="D11" s="504">
        <v>185985</v>
      </c>
      <c r="E11" s="504">
        <v>2038894</v>
      </c>
      <c r="F11" s="504">
        <f t="shared" si="0"/>
        <v>2224.8789999999999</v>
      </c>
      <c r="G11" s="504">
        <f t="shared" si="1"/>
        <v>185.98500000000001</v>
      </c>
      <c r="H11" s="504">
        <f t="shared" si="2"/>
        <v>185.98500000000001</v>
      </c>
      <c r="I11" s="504">
        <f t="shared" si="3"/>
        <v>2038.894</v>
      </c>
      <c r="L11" s="371" t="s">
        <v>520</v>
      </c>
      <c r="M11" s="372">
        <v>3869143</v>
      </c>
      <c r="N11" s="372">
        <f t="shared" si="4"/>
        <v>3869.143</v>
      </c>
      <c r="P11" s="371" t="s">
        <v>519</v>
      </c>
      <c r="Q11" s="372">
        <v>2224879</v>
      </c>
      <c r="R11" s="372">
        <v>371970</v>
      </c>
      <c r="S11" s="372">
        <v>371970</v>
      </c>
      <c r="T11" s="372">
        <v>1852909</v>
      </c>
      <c r="U11" s="372">
        <f t="shared" si="5"/>
        <v>2224.8789999999999</v>
      </c>
      <c r="V11" s="505">
        <f t="shared" si="6"/>
        <v>371.97</v>
      </c>
      <c r="W11" s="505">
        <f t="shared" si="7"/>
        <v>371.97</v>
      </c>
      <c r="X11" s="505">
        <f t="shared" si="8"/>
        <v>1852.9090000000001</v>
      </c>
      <c r="AA11" s="371" t="s">
        <v>520</v>
      </c>
      <c r="AB11" s="372">
        <v>5590138</v>
      </c>
      <c r="AC11" s="505">
        <f t="shared" si="9"/>
        <v>5590.1379999999999</v>
      </c>
      <c r="AE11" s="373" t="s">
        <v>519</v>
      </c>
      <c r="AF11" s="504">
        <v>2224879</v>
      </c>
      <c r="AG11" s="504">
        <v>557955</v>
      </c>
      <c r="AH11" s="504">
        <v>557955</v>
      </c>
      <c r="AI11" s="504">
        <v>1666924</v>
      </c>
      <c r="AJ11" s="504">
        <f t="shared" si="10"/>
        <v>2224.8789999999999</v>
      </c>
      <c r="AK11" s="504">
        <f t="shared" si="11"/>
        <v>557.95500000000004</v>
      </c>
      <c r="AL11" s="504">
        <f t="shared" si="12"/>
        <v>557.95500000000004</v>
      </c>
      <c r="AM11" s="504">
        <f t="shared" si="13"/>
        <v>1666.924</v>
      </c>
      <c r="AP11" s="371" t="s">
        <v>520</v>
      </c>
      <c r="AQ11" s="372">
        <v>3869143</v>
      </c>
      <c r="AR11" s="372">
        <f t="shared" si="18"/>
        <v>3869.143</v>
      </c>
      <c r="AT11" s="371" t="s">
        <v>519</v>
      </c>
      <c r="AU11" s="372">
        <v>2224879</v>
      </c>
      <c r="AV11" s="372">
        <v>743940</v>
      </c>
      <c r="AW11" s="372">
        <v>743940</v>
      </c>
      <c r="AX11" s="372">
        <v>1480939</v>
      </c>
      <c r="AY11" s="504">
        <f t="shared" si="19"/>
        <v>2224.8789999999999</v>
      </c>
      <c r="AZ11" s="504">
        <f t="shared" si="20"/>
        <v>743.94</v>
      </c>
      <c r="BA11" s="504">
        <f t="shared" si="21"/>
        <v>743.94</v>
      </c>
      <c r="BB11" s="504">
        <f t="shared" si="22"/>
        <v>1480.9390000000001</v>
      </c>
      <c r="BD11" s="782" t="s">
        <v>520</v>
      </c>
      <c r="BE11" s="644">
        <v>3869143</v>
      </c>
      <c r="BF11" s="650">
        <f t="shared" si="23"/>
        <v>3869.143</v>
      </c>
      <c r="BH11" s="782" t="s">
        <v>519</v>
      </c>
      <c r="BI11" s="644">
        <v>2224879</v>
      </c>
      <c r="BJ11" s="644">
        <v>929925</v>
      </c>
      <c r="BK11" s="644">
        <v>929925</v>
      </c>
      <c r="BL11" s="644">
        <v>1294954</v>
      </c>
      <c r="BM11" s="548">
        <f t="shared" si="24"/>
        <v>2224.8789999999999</v>
      </c>
      <c r="BN11" s="548">
        <f t="shared" si="25"/>
        <v>929.92499999999995</v>
      </c>
      <c r="BO11" s="548">
        <f t="shared" si="26"/>
        <v>929.92499999999995</v>
      </c>
      <c r="BP11" s="650">
        <f t="shared" si="27"/>
        <v>1294.954</v>
      </c>
      <c r="BS11" s="373" t="s">
        <v>520</v>
      </c>
      <c r="BT11" s="597">
        <v>5590138</v>
      </c>
      <c r="BU11" s="597">
        <f t="shared" si="28"/>
        <v>5590.1379999999999</v>
      </c>
      <c r="BW11" s="597" t="s">
        <v>519</v>
      </c>
      <c r="BX11" s="597">
        <v>2224879</v>
      </c>
      <c r="BY11" s="597">
        <v>1115910</v>
      </c>
      <c r="BZ11" s="597">
        <v>1108969</v>
      </c>
      <c r="CA11" s="597">
        <v>1115910</v>
      </c>
      <c r="CB11" s="597">
        <f t="shared" si="29"/>
        <v>2224.8789999999999</v>
      </c>
      <c r="CC11" s="597">
        <f t="shared" si="30"/>
        <v>1115.9100000000001</v>
      </c>
      <c r="CD11" s="597">
        <f t="shared" si="31"/>
        <v>1108.9690000000001</v>
      </c>
      <c r="CE11" s="597">
        <f t="shared" si="32"/>
        <v>1115.9100000000001</v>
      </c>
      <c r="CG11" s="373" t="s">
        <v>520</v>
      </c>
      <c r="CH11" s="597">
        <v>3869143</v>
      </c>
      <c r="CI11" s="597">
        <f t="shared" si="33"/>
        <v>3869.143</v>
      </c>
      <c r="CK11" s="371" t="s">
        <v>519</v>
      </c>
      <c r="CL11" s="372">
        <v>2224879</v>
      </c>
      <c r="CM11" s="372">
        <v>1301895</v>
      </c>
      <c r="CN11" s="372">
        <v>1301895</v>
      </c>
      <c r="CO11" s="372">
        <v>922984</v>
      </c>
      <c r="CP11" s="597">
        <f t="shared" si="34"/>
        <v>2224.8789999999999</v>
      </c>
      <c r="CQ11" s="597">
        <f t="shared" si="35"/>
        <v>1301.895</v>
      </c>
      <c r="CR11" s="597">
        <f t="shared" si="36"/>
        <v>1301.895</v>
      </c>
      <c r="CS11" s="597">
        <f t="shared" si="37"/>
        <v>922.98400000000004</v>
      </c>
      <c r="CU11" s="548"/>
      <c r="CV11" s="371" t="s">
        <v>520</v>
      </c>
      <c r="CW11" s="372">
        <v>3869143</v>
      </c>
      <c r="CX11" s="372">
        <f t="shared" si="38"/>
        <v>3869.143</v>
      </c>
      <c r="CZ11" s="1059" t="s">
        <v>519</v>
      </c>
      <c r="DA11" s="1060">
        <v>2224879</v>
      </c>
      <c r="DB11" s="1060">
        <v>1487880</v>
      </c>
      <c r="DC11" s="1060">
        <v>1487880</v>
      </c>
      <c r="DD11" s="1060">
        <v>736999</v>
      </c>
      <c r="DE11" s="1060">
        <f t="shared" si="39"/>
        <v>2224.8789999999999</v>
      </c>
      <c r="DF11" s="1060">
        <f t="shared" si="40"/>
        <v>1487.88</v>
      </c>
      <c r="DG11" s="1060">
        <f t="shared" si="41"/>
        <v>1487.88</v>
      </c>
      <c r="DH11" s="1060">
        <f t="shared" si="42"/>
        <v>736.99900000000002</v>
      </c>
    </row>
    <row r="12" spans="1:112" x14ac:dyDescent="0.25">
      <c r="A12" s="504" t="s">
        <v>520</v>
      </c>
      <c r="B12" s="504">
        <v>53254192</v>
      </c>
      <c r="C12" s="504">
        <v>3869143</v>
      </c>
      <c r="D12" s="504">
        <v>3869143</v>
      </c>
      <c r="E12" s="504">
        <v>49385049</v>
      </c>
      <c r="F12" s="504">
        <f t="shared" si="0"/>
        <v>53254.192000000003</v>
      </c>
      <c r="G12" s="504">
        <f t="shared" si="1"/>
        <v>3869.143</v>
      </c>
      <c r="H12" s="504">
        <f t="shared" si="2"/>
        <v>3869.143</v>
      </c>
      <c r="I12" s="504">
        <f t="shared" si="3"/>
        <v>49385.048999999999</v>
      </c>
      <c r="L12" s="371" t="s">
        <v>521</v>
      </c>
      <c r="M12" s="372">
        <v>5366349</v>
      </c>
      <c r="N12" s="372">
        <f t="shared" si="4"/>
        <v>5366.3490000000002</v>
      </c>
      <c r="P12" s="371" t="s">
        <v>520</v>
      </c>
      <c r="Q12" s="372">
        <v>53254192</v>
      </c>
      <c r="R12" s="372">
        <v>7738286</v>
      </c>
      <c r="S12" s="372">
        <v>7738286</v>
      </c>
      <c r="T12" s="372">
        <v>45515906</v>
      </c>
      <c r="U12" s="372">
        <f t="shared" si="5"/>
        <v>53254.192000000003</v>
      </c>
      <c r="V12" s="505">
        <f t="shared" si="6"/>
        <v>7738.2860000000001</v>
      </c>
      <c r="W12" s="505">
        <f t="shared" si="7"/>
        <v>7738.2860000000001</v>
      </c>
      <c r="X12" s="505">
        <f t="shared" si="8"/>
        <v>45515.906000000003</v>
      </c>
      <c r="AA12" s="371" t="s">
        <v>521</v>
      </c>
      <c r="AB12" s="372">
        <v>5543826</v>
      </c>
      <c r="AC12" s="505">
        <f t="shared" si="9"/>
        <v>5543.826</v>
      </c>
      <c r="AE12" s="373" t="s">
        <v>520</v>
      </c>
      <c r="AF12" s="504">
        <v>53254192</v>
      </c>
      <c r="AG12" s="504">
        <v>13328424</v>
      </c>
      <c r="AH12" s="504">
        <v>13328424</v>
      </c>
      <c r="AI12" s="504">
        <v>39925768</v>
      </c>
      <c r="AJ12" s="504">
        <f t="shared" si="10"/>
        <v>53254.192000000003</v>
      </c>
      <c r="AK12" s="504">
        <f t="shared" si="11"/>
        <v>13328.424000000001</v>
      </c>
      <c r="AL12" s="504">
        <f t="shared" si="12"/>
        <v>13328.424000000001</v>
      </c>
      <c r="AM12" s="504">
        <f t="shared" si="13"/>
        <v>39925.767999999996</v>
      </c>
      <c r="AP12" s="371" t="s">
        <v>521</v>
      </c>
      <c r="AQ12" s="372">
        <v>4784742</v>
      </c>
      <c r="AR12" s="372">
        <f t="shared" si="18"/>
        <v>4784.7420000000002</v>
      </c>
      <c r="AT12" s="371" t="s">
        <v>520</v>
      </c>
      <c r="AU12" s="372">
        <v>53254192</v>
      </c>
      <c r="AV12" s="372">
        <v>17197567</v>
      </c>
      <c r="AW12" s="372">
        <v>17197567</v>
      </c>
      <c r="AX12" s="372">
        <v>36056625</v>
      </c>
      <c r="AY12" s="504">
        <f t="shared" si="19"/>
        <v>53254.192000000003</v>
      </c>
      <c r="AZ12" s="504">
        <f t="shared" si="20"/>
        <v>17197.566999999999</v>
      </c>
      <c r="BA12" s="504">
        <f t="shared" si="21"/>
        <v>17197.566999999999</v>
      </c>
      <c r="BB12" s="504">
        <f t="shared" si="22"/>
        <v>36056.625</v>
      </c>
      <c r="BD12" s="782" t="s">
        <v>521</v>
      </c>
      <c r="BE12" s="644">
        <v>4585115</v>
      </c>
      <c r="BF12" s="650">
        <f t="shared" si="23"/>
        <v>4585.1149999999998</v>
      </c>
      <c r="BH12" s="782" t="s">
        <v>520</v>
      </c>
      <c r="BI12" s="644">
        <v>53254192</v>
      </c>
      <c r="BJ12" s="644">
        <v>21066710</v>
      </c>
      <c r="BK12" s="644">
        <v>21066710</v>
      </c>
      <c r="BL12" s="644">
        <v>32187482</v>
      </c>
      <c r="BM12" s="548">
        <f t="shared" si="24"/>
        <v>53254.192000000003</v>
      </c>
      <c r="BN12" s="548">
        <f t="shared" si="25"/>
        <v>21066.71</v>
      </c>
      <c r="BO12" s="548">
        <f t="shared" si="26"/>
        <v>21066.71</v>
      </c>
      <c r="BP12" s="650">
        <f t="shared" si="27"/>
        <v>32187.482</v>
      </c>
      <c r="BS12" s="373" t="s">
        <v>521</v>
      </c>
      <c r="BT12" s="597">
        <v>5702135</v>
      </c>
      <c r="BU12" s="597">
        <f t="shared" si="28"/>
        <v>5702.1350000000002</v>
      </c>
      <c r="BW12" s="597" t="s">
        <v>520</v>
      </c>
      <c r="BX12" s="597">
        <v>53254192</v>
      </c>
      <c r="BY12" s="597">
        <v>26656848</v>
      </c>
      <c r="BZ12" s="597">
        <v>26597344</v>
      </c>
      <c r="CA12" s="597">
        <v>26656848</v>
      </c>
      <c r="CB12" s="597">
        <f t="shared" si="29"/>
        <v>53254.192000000003</v>
      </c>
      <c r="CC12" s="597">
        <f t="shared" si="30"/>
        <v>26656.848000000002</v>
      </c>
      <c r="CD12" s="597">
        <f t="shared" si="31"/>
        <v>26597.344000000001</v>
      </c>
      <c r="CE12" s="597">
        <f t="shared" si="32"/>
        <v>26656.848000000002</v>
      </c>
      <c r="CG12" s="373" t="s">
        <v>521</v>
      </c>
      <c r="CH12" s="597">
        <v>4812994</v>
      </c>
      <c r="CI12" s="597">
        <f t="shared" si="33"/>
        <v>4812.9939999999997</v>
      </c>
      <c r="CK12" s="371" t="s">
        <v>520</v>
      </c>
      <c r="CL12" s="372">
        <v>53254192</v>
      </c>
      <c r="CM12" s="372">
        <v>30525991</v>
      </c>
      <c r="CN12" s="372">
        <v>30525991</v>
      </c>
      <c r="CO12" s="372">
        <v>22728201</v>
      </c>
      <c r="CP12" s="597">
        <f t="shared" si="34"/>
        <v>53254.192000000003</v>
      </c>
      <c r="CQ12" s="597">
        <f t="shared" si="35"/>
        <v>30525.991000000002</v>
      </c>
      <c r="CR12" s="597">
        <f t="shared" si="36"/>
        <v>30525.991000000002</v>
      </c>
      <c r="CS12" s="597">
        <f t="shared" si="37"/>
        <v>22728.201000000001</v>
      </c>
      <c r="CU12" s="548"/>
      <c r="CV12" s="371" t="s">
        <v>521</v>
      </c>
      <c r="CW12" s="372">
        <v>4831143</v>
      </c>
      <c r="CX12" s="372">
        <f t="shared" si="38"/>
        <v>4831.143</v>
      </c>
      <c r="CZ12" s="1059" t="s">
        <v>520</v>
      </c>
      <c r="DA12" s="1060">
        <v>53254192</v>
      </c>
      <c r="DB12" s="1060">
        <v>34395134</v>
      </c>
      <c r="DC12" s="1060">
        <v>34395134</v>
      </c>
      <c r="DD12" s="1060">
        <v>18859058</v>
      </c>
      <c r="DE12" s="1060">
        <f t="shared" si="39"/>
        <v>53254.192000000003</v>
      </c>
      <c r="DF12" s="1060">
        <f t="shared" si="40"/>
        <v>34395.133999999998</v>
      </c>
      <c r="DG12" s="1060">
        <f t="shared" si="41"/>
        <v>34395.133999999998</v>
      </c>
      <c r="DH12" s="1060">
        <f t="shared" si="42"/>
        <v>18859.058000000001</v>
      </c>
    </row>
    <row r="13" spans="1:112" x14ac:dyDescent="0.25">
      <c r="A13" s="504" t="s">
        <v>521</v>
      </c>
      <c r="B13" s="504">
        <v>78237199</v>
      </c>
      <c r="C13" s="504">
        <v>5366349</v>
      </c>
      <c r="D13" s="504">
        <v>5366349</v>
      </c>
      <c r="E13" s="504">
        <v>72870850</v>
      </c>
      <c r="F13" s="504">
        <f t="shared" si="0"/>
        <v>78237.198999999993</v>
      </c>
      <c r="G13" s="504">
        <f t="shared" si="1"/>
        <v>5366.3490000000002</v>
      </c>
      <c r="H13" s="504">
        <f t="shared" si="2"/>
        <v>5366.3490000000002</v>
      </c>
      <c r="I13" s="504">
        <f t="shared" si="3"/>
        <v>72870.850000000006</v>
      </c>
      <c r="L13" s="371" t="s">
        <v>522</v>
      </c>
      <c r="M13" s="372">
        <v>13942491</v>
      </c>
      <c r="N13" s="372">
        <f t="shared" si="4"/>
        <v>13942.491</v>
      </c>
      <c r="P13" s="371" t="s">
        <v>521</v>
      </c>
      <c r="Q13" s="372">
        <v>78237199</v>
      </c>
      <c r="R13" s="372">
        <v>10732698</v>
      </c>
      <c r="S13" s="372">
        <v>10732698</v>
      </c>
      <c r="T13" s="372">
        <v>67504501</v>
      </c>
      <c r="U13" s="372">
        <f t="shared" si="5"/>
        <v>78237.198999999993</v>
      </c>
      <c r="V13" s="505">
        <f t="shared" si="6"/>
        <v>10732.698</v>
      </c>
      <c r="W13" s="505">
        <f t="shared" si="7"/>
        <v>10732.698</v>
      </c>
      <c r="X13" s="505">
        <f t="shared" si="8"/>
        <v>67504.501000000004</v>
      </c>
      <c r="AA13" s="371" t="s">
        <v>522</v>
      </c>
      <c r="AB13" s="372">
        <v>12476725</v>
      </c>
      <c r="AC13" s="505">
        <f t="shared" si="9"/>
        <v>12476.725</v>
      </c>
      <c r="AE13" s="373" t="s">
        <v>521</v>
      </c>
      <c r="AF13" s="504">
        <v>78237199</v>
      </c>
      <c r="AG13" s="504">
        <v>16276524</v>
      </c>
      <c r="AH13" s="504">
        <v>16276524</v>
      </c>
      <c r="AI13" s="504">
        <v>61960675</v>
      </c>
      <c r="AJ13" s="504">
        <f t="shared" si="10"/>
        <v>78237.198999999993</v>
      </c>
      <c r="AK13" s="504">
        <f t="shared" si="11"/>
        <v>16276.523999999999</v>
      </c>
      <c r="AL13" s="504">
        <f t="shared" si="12"/>
        <v>16276.523999999999</v>
      </c>
      <c r="AM13" s="504">
        <f t="shared" si="13"/>
        <v>61960.675000000003</v>
      </c>
      <c r="AP13" s="371" t="s">
        <v>522</v>
      </c>
      <c r="AQ13" s="372">
        <v>12476725</v>
      </c>
      <c r="AR13" s="372">
        <f t="shared" si="18"/>
        <v>12476.725</v>
      </c>
      <c r="AT13" s="371" t="s">
        <v>521</v>
      </c>
      <c r="AU13" s="372">
        <v>78237199</v>
      </c>
      <c r="AV13" s="372">
        <v>21061266</v>
      </c>
      <c r="AW13" s="372">
        <v>21061266</v>
      </c>
      <c r="AX13" s="372">
        <v>57175933</v>
      </c>
      <c r="AY13" s="504">
        <f t="shared" si="19"/>
        <v>78237.198999999993</v>
      </c>
      <c r="AZ13" s="504">
        <f t="shared" si="20"/>
        <v>21061.266</v>
      </c>
      <c r="BA13" s="504">
        <f t="shared" si="21"/>
        <v>21061.266</v>
      </c>
      <c r="BB13" s="504">
        <f t="shared" si="22"/>
        <v>57175.932999999997</v>
      </c>
      <c r="BD13" s="782" t="s">
        <v>522</v>
      </c>
      <c r="BE13" s="644">
        <v>11880153</v>
      </c>
      <c r="BF13" s="650">
        <f t="shared" si="23"/>
        <v>11880.153</v>
      </c>
      <c r="BH13" s="782" t="s">
        <v>521</v>
      </c>
      <c r="BI13" s="644">
        <v>78237199</v>
      </c>
      <c r="BJ13" s="644">
        <v>25646381</v>
      </c>
      <c r="BK13" s="644">
        <v>25646381</v>
      </c>
      <c r="BL13" s="644">
        <v>52590818</v>
      </c>
      <c r="BM13" s="548">
        <f t="shared" si="24"/>
        <v>78237.198999999993</v>
      </c>
      <c r="BN13" s="548">
        <f t="shared" si="25"/>
        <v>25646.381000000001</v>
      </c>
      <c r="BO13" s="548">
        <f t="shared" si="26"/>
        <v>25646.381000000001</v>
      </c>
      <c r="BP13" s="650">
        <f t="shared" si="27"/>
        <v>52590.817999999999</v>
      </c>
      <c r="BS13" s="373" t="s">
        <v>522</v>
      </c>
      <c r="BT13" s="597">
        <v>12546721</v>
      </c>
      <c r="BU13" s="597">
        <f t="shared" si="28"/>
        <v>12546.721</v>
      </c>
      <c r="BW13" s="597" t="s">
        <v>521</v>
      </c>
      <c r="BX13" s="597">
        <v>78237199</v>
      </c>
      <c r="BY13" s="597">
        <v>31348516</v>
      </c>
      <c r="BZ13" s="597">
        <v>46888683</v>
      </c>
      <c r="CA13" s="597">
        <v>31348516</v>
      </c>
      <c r="CB13" s="597">
        <f t="shared" si="29"/>
        <v>78237.198999999993</v>
      </c>
      <c r="CC13" s="597">
        <f t="shared" si="30"/>
        <v>31348.516</v>
      </c>
      <c r="CD13" s="597">
        <f t="shared" si="31"/>
        <v>46888.682999999997</v>
      </c>
      <c r="CE13" s="597">
        <f t="shared" si="32"/>
        <v>31348.516</v>
      </c>
      <c r="CG13" s="373" t="s">
        <v>522</v>
      </c>
      <c r="CH13" s="597">
        <v>12546721</v>
      </c>
      <c r="CI13" s="597">
        <f t="shared" si="33"/>
        <v>12546.721</v>
      </c>
      <c r="CK13" s="371" t="s">
        <v>521</v>
      </c>
      <c r="CL13" s="372">
        <v>78237199</v>
      </c>
      <c r="CM13" s="372">
        <v>36161510</v>
      </c>
      <c r="CN13" s="372">
        <v>36161510</v>
      </c>
      <c r="CO13" s="372">
        <v>42075689</v>
      </c>
      <c r="CP13" s="597">
        <f t="shared" si="34"/>
        <v>78237.198999999993</v>
      </c>
      <c r="CQ13" s="597">
        <f t="shared" si="35"/>
        <v>36161.51</v>
      </c>
      <c r="CR13" s="597">
        <f t="shared" si="36"/>
        <v>36161.51</v>
      </c>
      <c r="CS13" s="597">
        <f t="shared" si="37"/>
        <v>42075.688999999998</v>
      </c>
      <c r="CU13" s="548"/>
      <c r="CV13" s="371" t="s">
        <v>522</v>
      </c>
      <c r="CW13" s="372">
        <v>12600955</v>
      </c>
      <c r="CX13" s="372">
        <f t="shared" si="38"/>
        <v>12600.955</v>
      </c>
      <c r="CZ13" s="1059" t="s">
        <v>521</v>
      </c>
      <c r="DA13" s="1060">
        <v>78237199</v>
      </c>
      <c r="DB13" s="1060">
        <v>40992653</v>
      </c>
      <c r="DC13" s="1060">
        <v>40992653</v>
      </c>
      <c r="DD13" s="1060">
        <v>37244546</v>
      </c>
      <c r="DE13" s="1060">
        <f t="shared" si="39"/>
        <v>78237.198999999993</v>
      </c>
      <c r="DF13" s="1060">
        <f t="shared" si="40"/>
        <v>40992.652999999998</v>
      </c>
      <c r="DG13" s="1060">
        <f t="shared" si="41"/>
        <v>40992.652999999998</v>
      </c>
      <c r="DH13" s="1060">
        <f t="shared" si="42"/>
        <v>37244.546000000002</v>
      </c>
    </row>
    <row r="14" spans="1:112" x14ac:dyDescent="0.25">
      <c r="A14" s="504" t="s">
        <v>522</v>
      </c>
      <c r="B14" s="504">
        <v>193572617</v>
      </c>
      <c r="C14" s="504">
        <v>13942491</v>
      </c>
      <c r="D14" s="504">
        <v>13942491</v>
      </c>
      <c r="E14" s="504">
        <v>179630126</v>
      </c>
      <c r="F14" s="504">
        <f t="shared" si="0"/>
        <v>193572.617</v>
      </c>
      <c r="G14" s="504">
        <f t="shared" si="1"/>
        <v>13942.491</v>
      </c>
      <c r="H14" s="504">
        <f t="shared" si="2"/>
        <v>13942.491</v>
      </c>
      <c r="I14" s="504">
        <f t="shared" si="3"/>
        <v>179630.12599999999</v>
      </c>
      <c r="L14" s="371" t="s">
        <v>524</v>
      </c>
      <c r="M14" s="372">
        <v>1045656</v>
      </c>
      <c r="N14" s="372">
        <f t="shared" si="4"/>
        <v>1045.6559999999999</v>
      </c>
      <c r="P14" s="371" t="s">
        <v>522</v>
      </c>
      <c r="Q14" s="372">
        <v>193572617</v>
      </c>
      <c r="R14" s="372">
        <v>27884982</v>
      </c>
      <c r="S14" s="372">
        <v>27884982</v>
      </c>
      <c r="T14" s="372">
        <v>165687635</v>
      </c>
      <c r="U14" s="372">
        <f t="shared" si="5"/>
        <v>193572.617</v>
      </c>
      <c r="V14" s="505">
        <f t="shared" si="6"/>
        <v>27884.982</v>
      </c>
      <c r="W14" s="505">
        <f t="shared" si="7"/>
        <v>27884.982</v>
      </c>
      <c r="X14" s="505">
        <f t="shared" si="8"/>
        <v>165687.63500000001</v>
      </c>
      <c r="AA14" s="371" t="s">
        <v>523</v>
      </c>
      <c r="AB14" s="372">
        <v>12309765</v>
      </c>
      <c r="AC14" s="505">
        <f t="shared" si="9"/>
        <v>12309.764999999999</v>
      </c>
      <c r="AE14" s="373" t="s">
        <v>522</v>
      </c>
      <c r="AF14" s="504">
        <v>193572617</v>
      </c>
      <c r="AG14" s="504">
        <v>40361707</v>
      </c>
      <c r="AH14" s="504">
        <v>40361707</v>
      </c>
      <c r="AI14" s="504">
        <v>153210910</v>
      </c>
      <c r="AJ14" s="504">
        <f t="shared" si="10"/>
        <v>193572.617</v>
      </c>
      <c r="AK14" s="504">
        <f t="shared" si="11"/>
        <v>40361.707000000002</v>
      </c>
      <c r="AL14" s="504">
        <f t="shared" si="12"/>
        <v>40361.707000000002</v>
      </c>
      <c r="AM14" s="504">
        <f t="shared" si="13"/>
        <v>153210.91</v>
      </c>
      <c r="AP14" s="371" t="s">
        <v>523</v>
      </c>
      <c r="AQ14" s="372">
        <v>441826</v>
      </c>
      <c r="AR14" s="372">
        <f t="shared" si="18"/>
        <v>441.82600000000002</v>
      </c>
      <c r="AT14" s="371" t="s">
        <v>522</v>
      </c>
      <c r="AU14" s="372">
        <v>193572617</v>
      </c>
      <c r="AV14" s="372">
        <v>52838432</v>
      </c>
      <c r="AW14" s="372">
        <v>52838432</v>
      </c>
      <c r="AX14" s="372">
        <v>140734185</v>
      </c>
      <c r="AY14" s="504">
        <f t="shared" si="19"/>
        <v>193572.617</v>
      </c>
      <c r="AZ14" s="504">
        <f t="shared" si="20"/>
        <v>52838.432000000001</v>
      </c>
      <c r="BA14" s="504">
        <f t="shared" si="21"/>
        <v>52838.432000000001</v>
      </c>
      <c r="BB14" s="504">
        <f t="shared" si="22"/>
        <v>140734.185</v>
      </c>
      <c r="BD14" s="782" t="s">
        <v>524</v>
      </c>
      <c r="BE14" s="644">
        <v>917854</v>
      </c>
      <c r="BF14" s="650">
        <f t="shared" si="23"/>
        <v>917.85400000000004</v>
      </c>
      <c r="BH14" s="782" t="s">
        <v>522</v>
      </c>
      <c r="BI14" s="644">
        <v>193572617</v>
      </c>
      <c r="BJ14" s="644">
        <v>64718585</v>
      </c>
      <c r="BK14" s="644">
        <v>64718585</v>
      </c>
      <c r="BL14" s="644">
        <v>128854032</v>
      </c>
      <c r="BM14" s="548">
        <f t="shared" si="24"/>
        <v>193572.617</v>
      </c>
      <c r="BN14" s="548">
        <f t="shared" si="25"/>
        <v>64718.584999999999</v>
      </c>
      <c r="BO14" s="548">
        <f t="shared" si="26"/>
        <v>64718.584999999999</v>
      </c>
      <c r="BP14" s="650">
        <f t="shared" si="27"/>
        <v>128854.03200000001</v>
      </c>
      <c r="BS14" s="373" t="s">
        <v>523</v>
      </c>
      <c r="BT14" s="597">
        <v>12138550</v>
      </c>
      <c r="BU14" s="597">
        <f t="shared" si="28"/>
        <v>12138.55</v>
      </c>
      <c r="BW14" s="597" t="s">
        <v>522</v>
      </c>
      <c r="BX14" s="597">
        <v>193572617</v>
      </c>
      <c r="BY14" s="597">
        <v>77265306</v>
      </c>
      <c r="BZ14" s="597">
        <v>116307311</v>
      </c>
      <c r="CA14" s="597">
        <v>77265306</v>
      </c>
      <c r="CB14" s="597">
        <f t="shared" si="29"/>
        <v>193572.617</v>
      </c>
      <c r="CC14" s="597">
        <f t="shared" si="30"/>
        <v>77265.305999999997</v>
      </c>
      <c r="CD14" s="597">
        <f t="shared" si="31"/>
        <v>116307.311</v>
      </c>
      <c r="CE14" s="597">
        <f t="shared" si="32"/>
        <v>77265.305999999997</v>
      </c>
      <c r="CG14" s="373" t="s">
        <v>524</v>
      </c>
      <c r="CH14" s="597">
        <v>1052349</v>
      </c>
      <c r="CI14" s="597">
        <f t="shared" si="33"/>
        <v>1052.3489999999999</v>
      </c>
      <c r="CK14" s="371" t="s">
        <v>522</v>
      </c>
      <c r="CL14" s="372">
        <v>193572617</v>
      </c>
      <c r="CM14" s="372">
        <v>89812027</v>
      </c>
      <c r="CN14" s="372">
        <v>89812027</v>
      </c>
      <c r="CO14" s="372">
        <v>103760590</v>
      </c>
      <c r="CP14" s="597">
        <f t="shared" si="34"/>
        <v>193572.617</v>
      </c>
      <c r="CQ14" s="597">
        <f t="shared" si="35"/>
        <v>89812.027000000002</v>
      </c>
      <c r="CR14" s="597">
        <f t="shared" si="36"/>
        <v>89812.027000000002</v>
      </c>
      <c r="CS14" s="597">
        <f t="shared" si="37"/>
        <v>103760.59</v>
      </c>
      <c r="CU14" s="548"/>
      <c r="CV14" s="371" t="s">
        <v>523</v>
      </c>
      <c r="CW14" s="372">
        <v>17720</v>
      </c>
      <c r="CX14" s="372">
        <f t="shared" si="38"/>
        <v>17.72</v>
      </c>
      <c r="CZ14" s="1059" t="s">
        <v>522</v>
      </c>
      <c r="DA14" s="1060">
        <v>193572617</v>
      </c>
      <c r="DB14" s="1060">
        <v>102412982</v>
      </c>
      <c r="DC14" s="1060">
        <v>102412982</v>
      </c>
      <c r="DD14" s="1060">
        <v>91159635</v>
      </c>
      <c r="DE14" s="1060">
        <f t="shared" si="39"/>
        <v>193572.617</v>
      </c>
      <c r="DF14" s="1060">
        <f t="shared" si="40"/>
        <v>102412.982</v>
      </c>
      <c r="DG14" s="1060">
        <f t="shared" si="41"/>
        <v>102412.982</v>
      </c>
      <c r="DH14" s="1060">
        <f t="shared" si="42"/>
        <v>91159.634999999995</v>
      </c>
    </row>
    <row r="15" spans="1:112" x14ac:dyDescent="0.25">
      <c r="A15" s="504" t="s">
        <v>523</v>
      </c>
      <c r="B15" s="504">
        <v>62483361</v>
      </c>
      <c r="C15" s="504">
        <v>0</v>
      </c>
      <c r="D15" s="504">
        <v>0</v>
      </c>
      <c r="E15" s="504">
        <v>62483361</v>
      </c>
      <c r="F15" s="504">
        <f t="shared" si="0"/>
        <v>62483.360999999997</v>
      </c>
      <c r="G15" s="504">
        <f t="shared" si="1"/>
        <v>0</v>
      </c>
      <c r="H15" s="504">
        <f t="shared" si="2"/>
        <v>0</v>
      </c>
      <c r="I15" s="504">
        <f t="shared" si="3"/>
        <v>62483.360999999997</v>
      </c>
      <c r="L15" s="371" t="s">
        <v>341</v>
      </c>
      <c r="M15" s="372">
        <v>1104197</v>
      </c>
      <c r="N15" s="372">
        <f t="shared" si="4"/>
        <v>1104.1969999999999</v>
      </c>
      <c r="P15" s="371" t="s">
        <v>523</v>
      </c>
      <c r="Q15" s="372">
        <v>62483361</v>
      </c>
      <c r="R15" s="372">
        <v>0</v>
      </c>
      <c r="S15" s="372">
        <v>0</v>
      </c>
      <c r="T15" s="372">
        <v>62483361</v>
      </c>
      <c r="U15" s="372">
        <f t="shared" si="5"/>
        <v>62483.360999999997</v>
      </c>
      <c r="V15" s="505">
        <f t="shared" si="6"/>
        <v>0</v>
      </c>
      <c r="W15" s="505">
        <f t="shared" si="7"/>
        <v>0</v>
      </c>
      <c r="X15" s="505">
        <f t="shared" si="8"/>
        <v>62483.360999999997</v>
      </c>
      <c r="AA15" s="371" t="s">
        <v>524</v>
      </c>
      <c r="AB15" s="372">
        <v>1045656</v>
      </c>
      <c r="AC15" s="505">
        <f t="shared" si="9"/>
        <v>1045.6559999999999</v>
      </c>
      <c r="AE15" s="373" t="s">
        <v>523</v>
      </c>
      <c r="AF15" s="504">
        <v>62483361</v>
      </c>
      <c r="AG15" s="504">
        <v>12309765</v>
      </c>
      <c r="AH15" s="504">
        <v>12309765</v>
      </c>
      <c r="AI15" s="504">
        <v>50173596</v>
      </c>
      <c r="AJ15" s="504">
        <f t="shared" si="10"/>
        <v>62483.360999999997</v>
      </c>
      <c r="AK15" s="504">
        <f t="shared" si="11"/>
        <v>12309.764999999999</v>
      </c>
      <c r="AL15" s="504">
        <f t="shared" si="12"/>
        <v>12309.764999999999</v>
      </c>
      <c r="AM15" s="504">
        <f t="shared" si="13"/>
        <v>50173.595999999998</v>
      </c>
      <c r="AP15" s="371" t="s">
        <v>524</v>
      </c>
      <c r="AQ15" s="372">
        <v>1045656</v>
      </c>
      <c r="AR15" s="372">
        <f t="shared" si="18"/>
        <v>1045.6559999999999</v>
      </c>
      <c r="AT15" s="371" t="s">
        <v>523</v>
      </c>
      <c r="AU15" s="372">
        <v>62483361</v>
      </c>
      <c r="AV15" s="372">
        <v>12751591</v>
      </c>
      <c r="AW15" s="372">
        <v>12751591</v>
      </c>
      <c r="AX15" s="372">
        <v>49731770</v>
      </c>
      <c r="AY15" s="504">
        <f t="shared" si="19"/>
        <v>62483.360999999997</v>
      </c>
      <c r="AZ15" s="504">
        <f t="shared" si="20"/>
        <v>12751.591</v>
      </c>
      <c r="BA15" s="504">
        <f t="shared" si="21"/>
        <v>12751.591</v>
      </c>
      <c r="BB15" s="504">
        <f t="shared" si="22"/>
        <v>49731.77</v>
      </c>
      <c r="BD15" s="782" t="s">
        <v>341</v>
      </c>
      <c r="BE15" s="644">
        <v>1084812</v>
      </c>
      <c r="BF15" s="650">
        <f t="shared" si="23"/>
        <v>1084.8119999999999</v>
      </c>
      <c r="BH15" s="782" t="s">
        <v>523</v>
      </c>
      <c r="BI15" s="644">
        <v>62483361</v>
      </c>
      <c r="BJ15" s="644">
        <v>12751591</v>
      </c>
      <c r="BK15" s="644">
        <v>12751591</v>
      </c>
      <c r="BL15" s="644">
        <v>49731770</v>
      </c>
      <c r="BM15" s="548">
        <f t="shared" si="24"/>
        <v>62483.360999999997</v>
      </c>
      <c r="BN15" s="548">
        <f t="shared" si="25"/>
        <v>12751.591</v>
      </c>
      <c r="BO15" s="548">
        <f t="shared" si="26"/>
        <v>12751.591</v>
      </c>
      <c r="BP15" s="650">
        <f t="shared" si="27"/>
        <v>49731.77</v>
      </c>
      <c r="BS15" s="373" t="s">
        <v>524</v>
      </c>
      <c r="BT15" s="597">
        <v>1052349</v>
      </c>
      <c r="BU15" s="597">
        <f t="shared" si="28"/>
        <v>1052.3489999999999</v>
      </c>
      <c r="BW15" s="597" t="s">
        <v>523</v>
      </c>
      <c r="BX15" s="597">
        <v>62483361</v>
      </c>
      <c r="BY15" s="597">
        <v>24890141</v>
      </c>
      <c r="BZ15" s="597">
        <v>37593220</v>
      </c>
      <c r="CA15" s="597">
        <v>24890141</v>
      </c>
      <c r="CB15" s="597">
        <f t="shared" si="29"/>
        <v>62483.360999999997</v>
      </c>
      <c r="CC15" s="597">
        <f t="shared" si="30"/>
        <v>24890.141</v>
      </c>
      <c r="CD15" s="597">
        <f t="shared" si="31"/>
        <v>37593.22</v>
      </c>
      <c r="CE15" s="597">
        <f t="shared" si="32"/>
        <v>24890.141</v>
      </c>
      <c r="CG15" s="373" t="s">
        <v>341</v>
      </c>
      <c r="CH15" s="597">
        <v>1256515</v>
      </c>
      <c r="CI15" s="597">
        <f t="shared" si="33"/>
        <v>1256.5150000000001</v>
      </c>
      <c r="CK15" s="371" t="s">
        <v>523</v>
      </c>
      <c r="CL15" s="372">
        <v>62483361</v>
      </c>
      <c r="CM15" s="372">
        <v>24890141</v>
      </c>
      <c r="CN15" s="372">
        <v>24890141</v>
      </c>
      <c r="CO15" s="372">
        <v>37593220</v>
      </c>
      <c r="CP15" s="597">
        <f t="shared" si="34"/>
        <v>62483.360999999997</v>
      </c>
      <c r="CQ15" s="597">
        <f t="shared" si="35"/>
        <v>24890.141</v>
      </c>
      <c r="CR15" s="597">
        <f t="shared" si="36"/>
        <v>24890.141</v>
      </c>
      <c r="CS15" s="597">
        <f t="shared" si="37"/>
        <v>37593.22</v>
      </c>
      <c r="CU15" s="548"/>
      <c r="CV15" s="371" t="s">
        <v>524</v>
      </c>
      <c r="CW15" s="372">
        <v>1063967</v>
      </c>
      <c r="CX15" s="372">
        <f t="shared" si="38"/>
        <v>1063.9670000000001</v>
      </c>
      <c r="CZ15" s="1059" t="s">
        <v>523</v>
      </c>
      <c r="DA15" s="1060">
        <v>62483361</v>
      </c>
      <c r="DB15" s="1060">
        <v>24907861</v>
      </c>
      <c r="DC15" s="1060">
        <v>24907861</v>
      </c>
      <c r="DD15" s="1060">
        <v>37575500</v>
      </c>
      <c r="DE15" s="1060">
        <f t="shared" si="39"/>
        <v>62483.360999999997</v>
      </c>
      <c r="DF15" s="1060">
        <f t="shared" si="40"/>
        <v>24907.861000000001</v>
      </c>
      <c r="DG15" s="1060">
        <f t="shared" si="41"/>
        <v>24907.861000000001</v>
      </c>
      <c r="DH15" s="1060">
        <f t="shared" si="42"/>
        <v>37575.5</v>
      </c>
    </row>
    <row r="16" spans="1:112" x14ac:dyDescent="0.25">
      <c r="A16" s="504" t="s">
        <v>524</v>
      </c>
      <c r="B16" s="504">
        <v>12034025</v>
      </c>
      <c r="C16" s="504">
        <v>1045656</v>
      </c>
      <c r="D16" s="504">
        <v>1045656</v>
      </c>
      <c r="E16" s="504">
        <v>10988369</v>
      </c>
      <c r="F16" s="504">
        <f t="shared" si="0"/>
        <v>12034.025</v>
      </c>
      <c r="G16" s="504">
        <f t="shared" si="1"/>
        <v>1045.6559999999999</v>
      </c>
      <c r="H16" s="504">
        <f t="shared" si="2"/>
        <v>1045.6559999999999</v>
      </c>
      <c r="I16" s="504">
        <f t="shared" si="3"/>
        <v>10988.369000000001</v>
      </c>
      <c r="L16" s="371" t="s">
        <v>526</v>
      </c>
      <c r="M16" s="372">
        <v>1104197</v>
      </c>
      <c r="N16" s="372">
        <f t="shared" si="4"/>
        <v>1104.1969999999999</v>
      </c>
      <c r="P16" s="371" t="s">
        <v>524</v>
      </c>
      <c r="Q16" s="372">
        <v>12034025</v>
      </c>
      <c r="R16" s="372">
        <v>2091312</v>
      </c>
      <c r="S16" s="372">
        <v>2091312</v>
      </c>
      <c r="T16" s="372">
        <v>9942713</v>
      </c>
      <c r="U16" s="372">
        <f t="shared" si="5"/>
        <v>12034.025</v>
      </c>
      <c r="V16" s="505">
        <f t="shared" si="6"/>
        <v>2091.3119999999999</v>
      </c>
      <c r="W16" s="505">
        <f t="shared" si="7"/>
        <v>2091.3119999999999</v>
      </c>
      <c r="X16" s="505">
        <f t="shared" si="8"/>
        <v>9942.7129999999997</v>
      </c>
      <c r="AA16" s="371" t="s">
        <v>341</v>
      </c>
      <c r="AB16" s="372">
        <v>1381649</v>
      </c>
      <c r="AC16" s="505">
        <f t="shared" si="9"/>
        <v>1381.6489999999999</v>
      </c>
      <c r="AE16" s="373" t="s">
        <v>524</v>
      </c>
      <c r="AF16" s="504">
        <v>12034025</v>
      </c>
      <c r="AG16" s="504">
        <v>3136968</v>
      </c>
      <c r="AH16" s="504">
        <v>3136968</v>
      </c>
      <c r="AI16" s="504">
        <v>8897057</v>
      </c>
      <c r="AJ16" s="504">
        <f t="shared" si="10"/>
        <v>12034.025</v>
      </c>
      <c r="AK16" s="504">
        <f t="shared" si="11"/>
        <v>3136.9679999999998</v>
      </c>
      <c r="AL16" s="504">
        <f t="shared" si="12"/>
        <v>3136.9679999999998</v>
      </c>
      <c r="AM16" s="504">
        <f t="shared" si="13"/>
        <v>8897.0570000000007</v>
      </c>
      <c r="AP16" s="371" t="s">
        <v>341</v>
      </c>
      <c r="AQ16" s="372">
        <v>1230508</v>
      </c>
      <c r="AR16" s="372">
        <f t="shared" si="18"/>
        <v>1230.508</v>
      </c>
      <c r="AT16" s="371" t="s">
        <v>524</v>
      </c>
      <c r="AU16" s="372">
        <v>12034025</v>
      </c>
      <c r="AV16" s="372">
        <v>4182624</v>
      </c>
      <c r="AW16" s="372">
        <v>4182624</v>
      </c>
      <c r="AX16" s="372">
        <v>7851401</v>
      </c>
      <c r="AY16" s="504">
        <f t="shared" si="19"/>
        <v>12034.025</v>
      </c>
      <c r="AZ16" s="504">
        <f t="shared" si="20"/>
        <v>4182.6239999999998</v>
      </c>
      <c r="BA16" s="504">
        <f t="shared" si="21"/>
        <v>4182.6239999999998</v>
      </c>
      <c r="BB16" s="504">
        <f t="shared" si="22"/>
        <v>7851.4009999999998</v>
      </c>
      <c r="BD16" s="782" t="s">
        <v>526</v>
      </c>
      <c r="BE16" s="644">
        <v>1084812</v>
      </c>
      <c r="BF16" s="650">
        <f t="shared" si="23"/>
        <v>1084.8119999999999</v>
      </c>
      <c r="BH16" s="782" t="s">
        <v>524</v>
      </c>
      <c r="BI16" s="644">
        <v>12034025</v>
      </c>
      <c r="BJ16" s="644">
        <v>5100478</v>
      </c>
      <c r="BK16" s="644">
        <v>5100478</v>
      </c>
      <c r="BL16" s="644">
        <v>6933547</v>
      </c>
      <c r="BM16" s="548">
        <f t="shared" si="24"/>
        <v>12034.025</v>
      </c>
      <c r="BN16" s="548">
        <f t="shared" si="25"/>
        <v>5100.4780000000001</v>
      </c>
      <c r="BO16" s="548">
        <f t="shared" si="26"/>
        <v>5100.4780000000001</v>
      </c>
      <c r="BP16" s="650">
        <f t="shared" si="27"/>
        <v>6933.5469999999996</v>
      </c>
      <c r="BS16" s="373" t="s">
        <v>341</v>
      </c>
      <c r="BT16" s="597">
        <v>1468118</v>
      </c>
      <c r="BU16" s="597">
        <f t="shared" si="28"/>
        <v>1468.1179999999999</v>
      </c>
      <c r="BW16" s="597" t="s">
        <v>524</v>
      </c>
      <c r="BX16" s="597">
        <v>12034025</v>
      </c>
      <c r="BY16" s="597">
        <v>6152827</v>
      </c>
      <c r="BZ16" s="597">
        <v>5881198</v>
      </c>
      <c r="CA16" s="597">
        <v>6152827</v>
      </c>
      <c r="CB16" s="597">
        <f t="shared" si="29"/>
        <v>12034.025</v>
      </c>
      <c r="CC16" s="597">
        <f t="shared" si="30"/>
        <v>6152.8270000000002</v>
      </c>
      <c r="CD16" s="597">
        <f t="shared" si="31"/>
        <v>5881.1980000000003</v>
      </c>
      <c r="CE16" s="597">
        <f t="shared" si="32"/>
        <v>6152.8270000000002</v>
      </c>
      <c r="CG16" s="373" t="s">
        <v>525</v>
      </c>
      <c r="CH16" s="597">
        <v>90660</v>
      </c>
      <c r="CI16" s="597">
        <f t="shared" si="33"/>
        <v>90.66</v>
      </c>
      <c r="CK16" s="371" t="s">
        <v>524</v>
      </c>
      <c r="CL16" s="372">
        <v>12034025</v>
      </c>
      <c r="CM16" s="372">
        <v>7205176</v>
      </c>
      <c r="CN16" s="372">
        <v>7205176</v>
      </c>
      <c r="CO16" s="372">
        <v>4828849</v>
      </c>
      <c r="CP16" s="597">
        <f t="shared" si="34"/>
        <v>12034.025</v>
      </c>
      <c r="CQ16" s="597">
        <f t="shared" si="35"/>
        <v>7205.1760000000004</v>
      </c>
      <c r="CR16" s="597">
        <f t="shared" si="36"/>
        <v>7205.1760000000004</v>
      </c>
      <c r="CS16" s="597">
        <f t="shared" si="37"/>
        <v>4828.8490000000002</v>
      </c>
      <c r="CU16" s="548"/>
      <c r="CV16" s="371" t="s">
        <v>341</v>
      </c>
      <c r="CW16" s="372">
        <v>1477447</v>
      </c>
      <c r="CX16" s="372">
        <f t="shared" si="38"/>
        <v>1477.4469999999999</v>
      </c>
      <c r="CZ16" s="1059" t="s">
        <v>524</v>
      </c>
      <c r="DA16" s="1060">
        <v>12034025</v>
      </c>
      <c r="DB16" s="1060">
        <v>8269143</v>
      </c>
      <c r="DC16" s="1060">
        <v>8269143</v>
      </c>
      <c r="DD16" s="1060">
        <v>3764882</v>
      </c>
      <c r="DE16" s="1060">
        <f t="shared" si="39"/>
        <v>12034.025</v>
      </c>
      <c r="DF16" s="1060">
        <f t="shared" si="40"/>
        <v>8269.143</v>
      </c>
      <c r="DG16" s="1060">
        <f t="shared" si="41"/>
        <v>8269.143</v>
      </c>
      <c r="DH16" s="1060">
        <f t="shared" si="42"/>
        <v>3764.8820000000001</v>
      </c>
    </row>
    <row r="17" spans="1:112" x14ac:dyDescent="0.25">
      <c r="A17" s="504" t="s">
        <v>341</v>
      </c>
      <c r="B17" s="504">
        <v>19540340</v>
      </c>
      <c r="C17" s="504">
        <v>1334019</v>
      </c>
      <c r="D17" s="504">
        <v>1334019</v>
      </c>
      <c r="E17" s="504">
        <v>18206321</v>
      </c>
      <c r="F17" s="504">
        <f t="shared" si="0"/>
        <v>19540.34</v>
      </c>
      <c r="G17" s="504">
        <f t="shared" si="1"/>
        <v>1334.019</v>
      </c>
      <c r="H17" s="504">
        <f t="shared" si="2"/>
        <v>1334.019</v>
      </c>
      <c r="I17" s="504">
        <f t="shared" si="3"/>
        <v>18206.321</v>
      </c>
      <c r="L17" s="371" t="s">
        <v>343</v>
      </c>
      <c r="M17" s="372">
        <v>7052308</v>
      </c>
      <c r="N17" s="372">
        <f t="shared" si="4"/>
        <v>7052.308</v>
      </c>
      <c r="P17" s="371" t="s">
        <v>341</v>
      </c>
      <c r="Q17" s="372">
        <v>19540340</v>
      </c>
      <c r="R17" s="372">
        <v>2438216</v>
      </c>
      <c r="S17" s="372">
        <v>2438216</v>
      </c>
      <c r="T17" s="372">
        <v>17102124</v>
      </c>
      <c r="U17" s="372">
        <f t="shared" si="5"/>
        <v>19540.34</v>
      </c>
      <c r="V17" s="505">
        <f t="shared" si="6"/>
        <v>2438.2159999999999</v>
      </c>
      <c r="W17" s="505">
        <f t="shared" si="7"/>
        <v>2438.2159999999999</v>
      </c>
      <c r="X17" s="505">
        <f t="shared" si="8"/>
        <v>17102.124</v>
      </c>
      <c r="AA17" s="371" t="s">
        <v>525</v>
      </c>
      <c r="AB17" s="372">
        <v>241760</v>
      </c>
      <c r="AC17" s="505">
        <f t="shared" si="9"/>
        <v>241.76</v>
      </c>
      <c r="AE17" s="373" t="s">
        <v>341</v>
      </c>
      <c r="AF17" s="504">
        <v>19540340</v>
      </c>
      <c r="AG17" s="504">
        <v>3819865</v>
      </c>
      <c r="AH17" s="504">
        <v>3819865</v>
      </c>
      <c r="AI17" s="504">
        <v>15720475</v>
      </c>
      <c r="AJ17" s="504">
        <f t="shared" si="10"/>
        <v>19540.34</v>
      </c>
      <c r="AK17" s="504">
        <f t="shared" si="11"/>
        <v>3819.8649999999998</v>
      </c>
      <c r="AL17" s="504">
        <f t="shared" si="12"/>
        <v>3819.8649999999998</v>
      </c>
      <c r="AM17" s="504">
        <f t="shared" si="13"/>
        <v>15720.475</v>
      </c>
      <c r="AP17" s="371" t="s">
        <v>525</v>
      </c>
      <c r="AQ17" s="372">
        <v>105770</v>
      </c>
      <c r="AR17" s="372">
        <f t="shared" si="18"/>
        <v>105.77</v>
      </c>
      <c r="AT17" s="371" t="s">
        <v>341</v>
      </c>
      <c r="AU17" s="372">
        <v>19540340</v>
      </c>
      <c r="AV17" s="372">
        <v>5050373</v>
      </c>
      <c r="AW17" s="372">
        <v>5050373</v>
      </c>
      <c r="AX17" s="372">
        <v>14489967</v>
      </c>
      <c r="AY17" s="504">
        <f t="shared" si="19"/>
        <v>19540.34</v>
      </c>
      <c r="AZ17" s="504">
        <f t="shared" si="20"/>
        <v>5050.3729999999996</v>
      </c>
      <c r="BA17" s="504">
        <f t="shared" si="21"/>
        <v>5050.3729999999996</v>
      </c>
      <c r="BB17" s="504">
        <f t="shared" si="22"/>
        <v>14489.967000000001</v>
      </c>
      <c r="BD17" s="782" t="s">
        <v>343</v>
      </c>
      <c r="BE17" s="644">
        <v>4649159</v>
      </c>
      <c r="BF17" s="650">
        <f t="shared" si="23"/>
        <v>4649.1589999999997</v>
      </c>
      <c r="BH17" s="782" t="s">
        <v>341</v>
      </c>
      <c r="BI17" s="644">
        <v>19540340</v>
      </c>
      <c r="BJ17" s="644">
        <v>6135185</v>
      </c>
      <c r="BK17" s="644">
        <v>6135185</v>
      </c>
      <c r="BL17" s="644">
        <v>13405155</v>
      </c>
      <c r="BM17" s="548">
        <f t="shared" si="24"/>
        <v>19540.34</v>
      </c>
      <c r="BN17" s="548">
        <f t="shared" si="25"/>
        <v>6135.1850000000004</v>
      </c>
      <c r="BO17" s="548">
        <f t="shared" si="26"/>
        <v>6135.1850000000004</v>
      </c>
      <c r="BP17" s="650">
        <f t="shared" si="27"/>
        <v>13405.155000000001</v>
      </c>
      <c r="BS17" s="373" t="s">
        <v>525</v>
      </c>
      <c r="BT17" s="597">
        <v>196430</v>
      </c>
      <c r="BU17" s="597">
        <f t="shared" si="28"/>
        <v>196.43</v>
      </c>
      <c r="BW17" s="597" t="s">
        <v>341</v>
      </c>
      <c r="BX17" s="597">
        <v>19540340</v>
      </c>
      <c r="BY17" s="597">
        <v>7603303</v>
      </c>
      <c r="BZ17" s="597">
        <v>11937037</v>
      </c>
      <c r="CA17" s="597">
        <v>7603303</v>
      </c>
      <c r="CB17" s="597">
        <f t="shared" si="29"/>
        <v>19540.34</v>
      </c>
      <c r="CC17" s="597">
        <f t="shared" si="30"/>
        <v>7603.3029999999999</v>
      </c>
      <c r="CD17" s="597">
        <f t="shared" si="31"/>
        <v>11937.037</v>
      </c>
      <c r="CE17" s="597">
        <f t="shared" si="32"/>
        <v>7603.3029999999999</v>
      </c>
      <c r="CG17" s="373" t="s">
        <v>526</v>
      </c>
      <c r="CH17" s="597">
        <v>1165855</v>
      </c>
      <c r="CI17" s="597">
        <f t="shared" si="33"/>
        <v>1165.855</v>
      </c>
      <c r="CK17" s="371" t="s">
        <v>341</v>
      </c>
      <c r="CL17" s="372">
        <v>19540340</v>
      </c>
      <c r="CM17" s="372">
        <v>8859818</v>
      </c>
      <c r="CN17" s="372">
        <v>8859818</v>
      </c>
      <c r="CO17" s="372">
        <v>10680522</v>
      </c>
      <c r="CP17" s="597">
        <f t="shared" si="34"/>
        <v>19540.34</v>
      </c>
      <c r="CQ17" s="597">
        <f t="shared" si="35"/>
        <v>8859.8179999999993</v>
      </c>
      <c r="CR17" s="597">
        <f t="shared" si="36"/>
        <v>8859.8179999999993</v>
      </c>
      <c r="CS17" s="597">
        <f t="shared" si="37"/>
        <v>10680.522000000001</v>
      </c>
      <c r="CU17" s="548"/>
      <c r="CV17" s="371" t="s">
        <v>525</v>
      </c>
      <c r="CW17" s="372">
        <v>90660</v>
      </c>
      <c r="CX17" s="372">
        <f t="shared" si="38"/>
        <v>90.66</v>
      </c>
      <c r="CZ17" s="1059" t="s">
        <v>341</v>
      </c>
      <c r="DA17" s="1060">
        <v>19540340</v>
      </c>
      <c r="DB17" s="1060">
        <v>10337265</v>
      </c>
      <c r="DC17" s="1060">
        <v>10337265</v>
      </c>
      <c r="DD17" s="1060">
        <v>9203075</v>
      </c>
      <c r="DE17" s="1060">
        <f t="shared" si="39"/>
        <v>19540.34</v>
      </c>
      <c r="DF17" s="1060">
        <f t="shared" si="40"/>
        <v>10337.264999999999</v>
      </c>
      <c r="DG17" s="1060">
        <f t="shared" si="41"/>
        <v>10337.264999999999</v>
      </c>
      <c r="DH17" s="1060">
        <f t="shared" si="42"/>
        <v>9203.0750000000007</v>
      </c>
    </row>
    <row r="18" spans="1:112" x14ac:dyDescent="0.25">
      <c r="A18" s="504" t="s">
        <v>525</v>
      </c>
      <c r="B18" s="504">
        <v>1667615</v>
      </c>
      <c r="C18" s="504">
        <v>130509</v>
      </c>
      <c r="D18" s="504">
        <v>130509</v>
      </c>
      <c r="E18" s="504">
        <v>1537106</v>
      </c>
      <c r="F18" s="504">
        <f t="shared" si="0"/>
        <v>1667.615</v>
      </c>
      <c r="G18" s="504">
        <f t="shared" si="1"/>
        <v>130.50899999999999</v>
      </c>
      <c r="H18" s="504">
        <f t="shared" si="2"/>
        <v>130.50899999999999</v>
      </c>
      <c r="I18" s="504">
        <f t="shared" si="3"/>
        <v>1537.106</v>
      </c>
      <c r="L18" s="371" t="s">
        <v>529</v>
      </c>
      <c r="M18" s="372">
        <v>6519711</v>
      </c>
      <c r="N18" s="372">
        <f t="shared" si="4"/>
        <v>6519.7110000000002</v>
      </c>
      <c r="P18" s="371" t="s">
        <v>525</v>
      </c>
      <c r="Q18" s="372">
        <v>1667615</v>
      </c>
      <c r="R18" s="372">
        <v>130509</v>
      </c>
      <c r="S18" s="372">
        <v>130509</v>
      </c>
      <c r="T18" s="372">
        <v>1537106</v>
      </c>
      <c r="U18" s="372">
        <f t="shared" si="5"/>
        <v>1667.615</v>
      </c>
      <c r="V18" s="505">
        <f t="shared" si="6"/>
        <v>130.50899999999999</v>
      </c>
      <c r="W18" s="505">
        <f t="shared" si="7"/>
        <v>130.50899999999999</v>
      </c>
      <c r="X18" s="505">
        <f t="shared" si="8"/>
        <v>1537.106</v>
      </c>
      <c r="AA18" s="371" t="s">
        <v>526</v>
      </c>
      <c r="AB18" s="372">
        <v>1139889</v>
      </c>
      <c r="AC18" s="505">
        <f t="shared" si="9"/>
        <v>1139.8889999999999</v>
      </c>
      <c r="AE18" s="373" t="s">
        <v>525</v>
      </c>
      <c r="AF18" s="504">
        <v>1667615</v>
      </c>
      <c r="AG18" s="504">
        <v>372269</v>
      </c>
      <c r="AH18" s="504">
        <v>372269</v>
      </c>
      <c r="AI18" s="504">
        <v>1295346</v>
      </c>
      <c r="AJ18" s="504">
        <f t="shared" si="10"/>
        <v>1667.615</v>
      </c>
      <c r="AK18" s="504">
        <f t="shared" si="11"/>
        <v>372.26900000000001</v>
      </c>
      <c r="AL18" s="504">
        <f t="shared" si="12"/>
        <v>372.26900000000001</v>
      </c>
      <c r="AM18" s="504">
        <f t="shared" si="13"/>
        <v>1295.346</v>
      </c>
      <c r="AP18" s="371" t="s">
        <v>526</v>
      </c>
      <c r="AQ18" s="372">
        <v>1124738</v>
      </c>
      <c r="AR18" s="372">
        <f t="shared" si="18"/>
        <v>1124.7380000000001</v>
      </c>
      <c r="AT18" s="371" t="s">
        <v>525</v>
      </c>
      <c r="AU18" s="372">
        <v>1667615</v>
      </c>
      <c r="AV18" s="372">
        <v>478039</v>
      </c>
      <c r="AW18" s="372">
        <v>478039</v>
      </c>
      <c r="AX18" s="372">
        <v>1189576</v>
      </c>
      <c r="AY18" s="504">
        <f t="shared" si="19"/>
        <v>1667.615</v>
      </c>
      <c r="AZ18" s="504">
        <f t="shared" si="20"/>
        <v>478.03899999999999</v>
      </c>
      <c r="BA18" s="504">
        <f t="shared" si="21"/>
        <v>478.03899999999999</v>
      </c>
      <c r="BB18" s="504">
        <f t="shared" si="22"/>
        <v>1189.576</v>
      </c>
      <c r="BD18" s="782" t="s">
        <v>529</v>
      </c>
      <c r="BE18" s="644">
        <v>4339909</v>
      </c>
      <c r="BF18" s="650">
        <f t="shared" si="23"/>
        <v>4339.9089999999997</v>
      </c>
      <c r="BH18" s="782" t="s">
        <v>525</v>
      </c>
      <c r="BI18" s="644">
        <v>1667615</v>
      </c>
      <c r="BJ18" s="644">
        <v>478039</v>
      </c>
      <c r="BK18" s="644">
        <v>478039</v>
      </c>
      <c r="BL18" s="644">
        <v>1189576</v>
      </c>
      <c r="BM18" s="548">
        <f t="shared" si="24"/>
        <v>1667.615</v>
      </c>
      <c r="BN18" s="548">
        <f t="shared" si="25"/>
        <v>478.03899999999999</v>
      </c>
      <c r="BO18" s="548">
        <f t="shared" si="26"/>
        <v>478.03899999999999</v>
      </c>
      <c r="BP18" s="650">
        <f t="shared" si="27"/>
        <v>1189.576</v>
      </c>
      <c r="BS18" s="373" t="s">
        <v>526</v>
      </c>
      <c r="BT18" s="597">
        <v>1271688</v>
      </c>
      <c r="BU18" s="597">
        <f t="shared" si="28"/>
        <v>1271.6880000000001</v>
      </c>
      <c r="BW18" s="597" t="s">
        <v>525</v>
      </c>
      <c r="BX18" s="597">
        <v>1667615</v>
      </c>
      <c r="BY18" s="597">
        <v>674469</v>
      </c>
      <c r="BZ18" s="597">
        <v>993146</v>
      </c>
      <c r="CA18" s="597">
        <v>674469</v>
      </c>
      <c r="CB18" s="597">
        <f t="shared" si="29"/>
        <v>1667.615</v>
      </c>
      <c r="CC18" s="597">
        <f t="shared" si="30"/>
        <v>674.46900000000005</v>
      </c>
      <c r="CD18" s="597">
        <f t="shared" si="31"/>
        <v>993.14599999999996</v>
      </c>
      <c r="CE18" s="597">
        <f t="shared" si="32"/>
        <v>674.46900000000005</v>
      </c>
      <c r="CG18" s="373" t="s">
        <v>343</v>
      </c>
      <c r="CH18" s="597">
        <v>11054354</v>
      </c>
      <c r="CI18" s="597">
        <f t="shared" si="33"/>
        <v>11054.353999999999</v>
      </c>
      <c r="CK18" s="371" t="s">
        <v>525</v>
      </c>
      <c r="CL18" s="372">
        <v>1667615</v>
      </c>
      <c r="CM18" s="372">
        <v>765129</v>
      </c>
      <c r="CN18" s="372">
        <v>765129</v>
      </c>
      <c r="CO18" s="372">
        <v>902486</v>
      </c>
      <c r="CP18" s="597">
        <f t="shared" si="34"/>
        <v>1667.615</v>
      </c>
      <c r="CQ18" s="597">
        <f t="shared" si="35"/>
        <v>765.12900000000002</v>
      </c>
      <c r="CR18" s="597">
        <f t="shared" si="36"/>
        <v>765.12900000000002</v>
      </c>
      <c r="CS18" s="597">
        <f t="shared" si="37"/>
        <v>902.48599999999999</v>
      </c>
      <c r="CU18" s="548"/>
      <c r="CV18" s="371" t="s">
        <v>526</v>
      </c>
      <c r="CW18" s="372">
        <v>1386787</v>
      </c>
      <c r="CX18" s="372">
        <f t="shared" si="38"/>
        <v>1386.787</v>
      </c>
      <c r="CZ18" s="1059" t="s">
        <v>525</v>
      </c>
      <c r="DA18" s="1060">
        <v>1667615</v>
      </c>
      <c r="DB18" s="1060">
        <v>855789</v>
      </c>
      <c r="DC18" s="1060">
        <v>855789</v>
      </c>
      <c r="DD18" s="1060">
        <v>811826</v>
      </c>
      <c r="DE18" s="1060">
        <f t="shared" si="39"/>
        <v>1667.615</v>
      </c>
      <c r="DF18" s="1060">
        <f t="shared" si="40"/>
        <v>855.78899999999999</v>
      </c>
      <c r="DG18" s="1060">
        <f t="shared" si="41"/>
        <v>855.78899999999999</v>
      </c>
      <c r="DH18" s="1060">
        <f t="shared" si="42"/>
        <v>811.82600000000002</v>
      </c>
    </row>
    <row r="19" spans="1:112" x14ac:dyDescent="0.25">
      <c r="A19" s="504" t="s">
        <v>526</v>
      </c>
      <c r="B19" s="504">
        <v>17872725</v>
      </c>
      <c r="C19" s="504">
        <v>1203510</v>
      </c>
      <c r="D19" s="504">
        <v>1203510</v>
      </c>
      <c r="E19" s="504">
        <v>16669215</v>
      </c>
      <c r="F19" s="504">
        <f t="shared" si="0"/>
        <v>17872.724999999999</v>
      </c>
      <c r="G19" s="504">
        <f t="shared" si="1"/>
        <v>1203.51</v>
      </c>
      <c r="H19" s="504">
        <f t="shared" si="2"/>
        <v>1203.51</v>
      </c>
      <c r="I19" s="504">
        <f t="shared" si="3"/>
        <v>16669.215</v>
      </c>
      <c r="L19" s="371" t="s">
        <v>581</v>
      </c>
      <c r="M19" s="372">
        <v>532597</v>
      </c>
      <c r="N19" s="372">
        <f t="shared" si="4"/>
        <v>532.59699999999998</v>
      </c>
      <c r="P19" s="371" t="s">
        <v>526</v>
      </c>
      <c r="Q19" s="372">
        <v>17872725</v>
      </c>
      <c r="R19" s="372">
        <v>2307707</v>
      </c>
      <c r="S19" s="372">
        <v>2307707</v>
      </c>
      <c r="T19" s="372">
        <v>15565018</v>
      </c>
      <c r="U19" s="372">
        <f t="shared" si="5"/>
        <v>17872.724999999999</v>
      </c>
      <c r="V19" s="505">
        <f t="shared" si="6"/>
        <v>2307.7069999999999</v>
      </c>
      <c r="W19" s="505">
        <f t="shared" si="7"/>
        <v>2307.7069999999999</v>
      </c>
      <c r="X19" s="505">
        <f t="shared" si="8"/>
        <v>15565.018</v>
      </c>
      <c r="AA19" s="371" t="s">
        <v>527</v>
      </c>
      <c r="AB19" s="372">
        <v>11798235</v>
      </c>
      <c r="AC19" s="505">
        <f t="shared" si="9"/>
        <v>11798.235000000001</v>
      </c>
      <c r="AE19" s="373" t="s">
        <v>526</v>
      </c>
      <c r="AF19" s="504">
        <v>17872725</v>
      </c>
      <c r="AG19" s="504">
        <v>3447596</v>
      </c>
      <c r="AH19" s="504">
        <v>3447596</v>
      </c>
      <c r="AI19" s="504">
        <v>14425129</v>
      </c>
      <c r="AJ19" s="504">
        <f t="shared" si="10"/>
        <v>17872.724999999999</v>
      </c>
      <c r="AK19" s="504">
        <f t="shared" si="11"/>
        <v>3447.596</v>
      </c>
      <c r="AL19" s="504">
        <f t="shared" si="12"/>
        <v>3447.596</v>
      </c>
      <c r="AM19" s="504">
        <f t="shared" si="13"/>
        <v>14425.129000000001</v>
      </c>
      <c r="AP19" s="371" t="s">
        <v>527</v>
      </c>
      <c r="AQ19" s="372">
        <v>459498</v>
      </c>
      <c r="AR19" s="372">
        <f t="shared" si="18"/>
        <v>459.49799999999999</v>
      </c>
      <c r="AT19" s="371" t="s">
        <v>526</v>
      </c>
      <c r="AU19" s="372">
        <v>17872725</v>
      </c>
      <c r="AV19" s="372">
        <v>4572334</v>
      </c>
      <c r="AW19" s="372">
        <v>4572334</v>
      </c>
      <c r="AX19" s="372">
        <v>13300391</v>
      </c>
      <c r="AY19" s="504">
        <f t="shared" si="19"/>
        <v>17872.724999999999</v>
      </c>
      <c r="AZ19" s="504">
        <f t="shared" si="20"/>
        <v>4572.3339999999998</v>
      </c>
      <c r="BA19" s="504">
        <f t="shared" si="21"/>
        <v>4572.3339999999998</v>
      </c>
      <c r="BB19" s="504">
        <f t="shared" si="22"/>
        <v>13300.391</v>
      </c>
      <c r="BD19" s="782" t="s">
        <v>581</v>
      </c>
      <c r="BE19" s="644">
        <v>309250</v>
      </c>
      <c r="BF19" s="650">
        <f t="shared" si="23"/>
        <v>309.25</v>
      </c>
      <c r="BH19" s="782" t="s">
        <v>526</v>
      </c>
      <c r="BI19" s="644">
        <v>17872725</v>
      </c>
      <c r="BJ19" s="644">
        <v>5657146</v>
      </c>
      <c r="BK19" s="644">
        <v>5657146</v>
      </c>
      <c r="BL19" s="644">
        <v>12215579</v>
      </c>
      <c r="BM19" s="548">
        <f t="shared" si="24"/>
        <v>17872.724999999999</v>
      </c>
      <c r="BN19" s="548">
        <f t="shared" si="25"/>
        <v>5657.1459999999997</v>
      </c>
      <c r="BO19" s="548">
        <f t="shared" si="26"/>
        <v>5657.1459999999997</v>
      </c>
      <c r="BP19" s="650">
        <f t="shared" si="27"/>
        <v>12215.579</v>
      </c>
      <c r="BS19" s="373" t="s">
        <v>527</v>
      </c>
      <c r="BT19" s="597">
        <v>11155268</v>
      </c>
      <c r="BU19" s="597">
        <f t="shared" si="28"/>
        <v>11155.268</v>
      </c>
      <c r="BW19" s="597" t="s">
        <v>526</v>
      </c>
      <c r="BX19" s="597">
        <v>17872725</v>
      </c>
      <c r="BY19" s="597">
        <v>6928834</v>
      </c>
      <c r="BZ19" s="597">
        <v>10943891</v>
      </c>
      <c r="CA19" s="597">
        <v>6928834</v>
      </c>
      <c r="CB19" s="597">
        <f t="shared" si="29"/>
        <v>17872.724999999999</v>
      </c>
      <c r="CC19" s="597">
        <f t="shared" si="30"/>
        <v>6928.8339999999998</v>
      </c>
      <c r="CD19" s="597">
        <f t="shared" si="31"/>
        <v>10943.891</v>
      </c>
      <c r="CE19" s="597">
        <f t="shared" si="32"/>
        <v>6928.8339999999998</v>
      </c>
      <c r="CG19" s="373" t="s">
        <v>529</v>
      </c>
      <c r="CH19" s="597">
        <v>10152714</v>
      </c>
      <c r="CI19" s="597">
        <f t="shared" si="33"/>
        <v>10152.714</v>
      </c>
      <c r="CK19" s="371" t="s">
        <v>526</v>
      </c>
      <c r="CL19" s="372">
        <v>17872725</v>
      </c>
      <c r="CM19" s="372">
        <v>8094689</v>
      </c>
      <c r="CN19" s="372">
        <v>8094689</v>
      </c>
      <c r="CO19" s="372">
        <v>9778036</v>
      </c>
      <c r="CP19" s="597">
        <f t="shared" si="34"/>
        <v>17872.724999999999</v>
      </c>
      <c r="CQ19" s="597">
        <f t="shared" si="35"/>
        <v>8094.6890000000003</v>
      </c>
      <c r="CR19" s="597">
        <f t="shared" si="36"/>
        <v>8094.6890000000003</v>
      </c>
      <c r="CS19" s="597">
        <f t="shared" si="37"/>
        <v>9778.0360000000001</v>
      </c>
      <c r="CU19" s="548"/>
      <c r="CV19" s="371" t="s">
        <v>527</v>
      </c>
      <c r="CW19" s="372">
        <v>8978</v>
      </c>
      <c r="CX19" s="372">
        <f t="shared" si="38"/>
        <v>8.9779999999999998</v>
      </c>
      <c r="CZ19" s="1059" t="s">
        <v>526</v>
      </c>
      <c r="DA19" s="1060">
        <v>17872725</v>
      </c>
      <c r="DB19" s="1060">
        <v>9481476</v>
      </c>
      <c r="DC19" s="1060">
        <v>9481476</v>
      </c>
      <c r="DD19" s="1060">
        <v>8391249</v>
      </c>
      <c r="DE19" s="1060">
        <f t="shared" si="39"/>
        <v>17872.724999999999</v>
      </c>
      <c r="DF19" s="1060">
        <f t="shared" si="40"/>
        <v>9481.4760000000006</v>
      </c>
      <c r="DG19" s="1060">
        <f t="shared" si="41"/>
        <v>9481.4760000000006</v>
      </c>
      <c r="DH19" s="1060">
        <f t="shared" si="42"/>
        <v>8391.2489999999998</v>
      </c>
    </row>
    <row r="20" spans="1:112" x14ac:dyDescent="0.25">
      <c r="A20" s="504" t="s">
        <v>527</v>
      </c>
      <c r="B20" s="504">
        <v>56619780</v>
      </c>
      <c r="C20" s="504">
        <v>0</v>
      </c>
      <c r="D20" s="504">
        <v>0</v>
      </c>
      <c r="E20" s="504">
        <v>56619780</v>
      </c>
      <c r="F20" s="504">
        <f t="shared" si="0"/>
        <v>56619.78</v>
      </c>
      <c r="G20" s="504">
        <f t="shared" si="1"/>
        <v>0</v>
      </c>
      <c r="H20" s="504">
        <f t="shared" si="2"/>
        <v>0</v>
      </c>
      <c r="I20" s="504">
        <f t="shared" si="3"/>
        <v>56619.78</v>
      </c>
      <c r="L20" s="371" t="s">
        <v>347</v>
      </c>
      <c r="M20" s="372">
        <v>1216706960</v>
      </c>
      <c r="N20" s="372">
        <f t="shared" si="4"/>
        <v>1216706.96</v>
      </c>
      <c r="P20" s="371" t="s">
        <v>527</v>
      </c>
      <c r="Q20" s="372">
        <v>56619780</v>
      </c>
      <c r="R20" s="372">
        <v>0</v>
      </c>
      <c r="S20" s="372">
        <v>0</v>
      </c>
      <c r="T20" s="372">
        <v>56619780</v>
      </c>
      <c r="U20" s="372">
        <f t="shared" si="5"/>
        <v>56619.78</v>
      </c>
      <c r="V20" s="505">
        <f t="shared" si="6"/>
        <v>0</v>
      </c>
      <c r="W20" s="505">
        <f t="shared" si="7"/>
        <v>0</v>
      </c>
      <c r="X20" s="505">
        <f t="shared" si="8"/>
        <v>56619.78</v>
      </c>
      <c r="AA20" s="371" t="s">
        <v>528</v>
      </c>
      <c r="AB20" s="372">
        <v>5870433</v>
      </c>
      <c r="AC20" s="505">
        <f t="shared" si="9"/>
        <v>5870.433</v>
      </c>
      <c r="AE20" s="373" t="s">
        <v>527</v>
      </c>
      <c r="AF20" s="504">
        <v>56619780</v>
      </c>
      <c r="AG20" s="504">
        <v>11798235</v>
      </c>
      <c r="AH20" s="504">
        <v>11798235</v>
      </c>
      <c r="AI20" s="504">
        <v>44821545</v>
      </c>
      <c r="AJ20" s="504">
        <f t="shared" si="10"/>
        <v>56619.78</v>
      </c>
      <c r="AK20" s="504">
        <f t="shared" si="11"/>
        <v>11798.235000000001</v>
      </c>
      <c r="AL20" s="504">
        <f t="shared" si="12"/>
        <v>11798.235000000001</v>
      </c>
      <c r="AM20" s="504">
        <f t="shared" si="13"/>
        <v>44821.544999999998</v>
      </c>
      <c r="AP20" s="371" t="s">
        <v>528</v>
      </c>
      <c r="AQ20" s="372">
        <v>223858</v>
      </c>
      <c r="AR20" s="372">
        <f t="shared" si="18"/>
        <v>223.858</v>
      </c>
      <c r="AT20" s="371" t="s">
        <v>527</v>
      </c>
      <c r="AU20" s="372">
        <v>56619780</v>
      </c>
      <c r="AV20" s="372">
        <v>12257733</v>
      </c>
      <c r="AW20" s="372">
        <v>12257733</v>
      </c>
      <c r="AX20" s="372">
        <v>44362047</v>
      </c>
      <c r="AY20" s="504">
        <f t="shared" si="19"/>
        <v>56619.78</v>
      </c>
      <c r="AZ20" s="504">
        <f t="shared" si="20"/>
        <v>12257.733</v>
      </c>
      <c r="BA20" s="504">
        <f t="shared" si="21"/>
        <v>12257.733</v>
      </c>
      <c r="BB20" s="504">
        <f t="shared" si="22"/>
        <v>44362.046999999999</v>
      </c>
      <c r="BD20" s="782" t="s">
        <v>347</v>
      </c>
      <c r="BE20" s="644">
        <v>1223104551</v>
      </c>
      <c r="BF20" s="650">
        <f t="shared" si="23"/>
        <v>1223104.551</v>
      </c>
      <c r="BH20" s="782" t="s">
        <v>527</v>
      </c>
      <c r="BI20" s="644">
        <v>56619780</v>
      </c>
      <c r="BJ20" s="644">
        <v>12257733</v>
      </c>
      <c r="BK20" s="644">
        <v>12257733</v>
      </c>
      <c r="BL20" s="644">
        <v>44362047</v>
      </c>
      <c r="BM20" s="548">
        <f t="shared" si="24"/>
        <v>56619.78</v>
      </c>
      <c r="BN20" s="548">
        <f t="shared" si="25"/>
        <v>12257.733</v>
      </c>
      <c r="BO20" s="548">
        <f t="shared" si="26"/>
        <v>12257.733</v>
      </c>
      <c r="BP20" s="650">
        <f t="shared" si="27"/>
        <v>44362.046999999999</v>
      </c>
      <c r="BS20" s="373" t="s">
        <v>528</v>
      </c>
      <c r="BT20" s="597">
        <v>5783686</v>
      </c>
      <c r="BU20" s="597">
        <f t="shared" si="28"/>
        <v>5783.6859999999997</v>
      </c>
      <c r="BW20" s="597" t="s">
        <v>527</v>
      </c>
      <c r="BX20" s="597">
        <v>56619780</v>
      </c>
      <c r="BY20" s="597">
        <v>23413001</v>
      </c>
      <c r="BZ20" s="597">
        <v>33206779</v>
      </c>
      <c r="CA20" s="597">
        <v>23413001</v>
      </c>
      <c r="CB20" s="597">
        <f t="shared" si="29"/>
        <v>56619.78</v>
      </c>
      <c r="CC20" s="597">
        <f t="shared" si="30"/>
        <v>23413.001</v>
      </c>
      <c r="CD20" s="597">
        <f t="shared" si="31"/>
        <v>33206.779000000002</v>
      </c>
      <c r="CE20" s="597">
        <f t="shared" si="32"/>
        <v>23413.001</v>
      </c>
      <c r="CG20" s="373" t="s">
        <v>581</v>
      </c>
      <c r="CH20" s="597">
        <v>901640</v>
      </c>
      <c r="CI20" s="597">
        <f t="shared" si="33"/>
        <v>901.64</v>
      </c>
      <c r="CK20" s="371" t="s">
        <v>527</v>
      </c>
      <c r="CL20" s="372">
        <v>56619780</v>
      </c>
      <c r="CM20" s="372">
        <v>23413001</v>
      </c>
      <c r="CN20" s="372">
        <v>23413001</v>
      </c>
      <c r="CO20" s="372">
        <v>33206779</v>
      </c>
      <c r="CP20" s="597">
        <f t="shared" si="34"/>
        <v>56619.78</v>
      </c>
      <c r="CQ20" s="597">
        <f t="shared" si="35"/>
        <v>23413.001</v>
      </c>
      <c r="CR20" s="597">
        <f t="shared" si="36"/>
        <v>23413.001</v>
      </c>
      <c r="CS20" s="597">
        <f t="shared" si="37"/>
        <v>33206.779000000002</v>
      </c>
      <c r="CU20" s="548"/>
      <c r="CV20" s="371" t="s">
        <v>528</v>
      </c>
      <c r="CW20" s="372">
        <v>8978</v>
      </c>
      <c r="CX20" s="372">
        <f t="shared" si="38"/>
        <v>8.9779999999999998</v>
      </c>
      <c r="CZ20" s="1059" t="s">
        <v>527</v>
      </c>
      <c r="DA20" s="1060">
        <v>56619780</v>
      </c>
      <c r="DB20" s="1060">
        <v>23421979</v>
      </c>
      <c r="DC20" s="1060">
        <v>23421979</v>
      </c>
      <c r="DD20" s="1060">
        <v>33197801</v>
      </c>
      <c r="DE20" s="1060">
        <f t="shared" si="39"/>
        <v>56619.78</v>
      </c>
      <c r="DF20" s="1060">
        <f t="shared" si="40"/>
        <v>23421.978999999999</v>
      </c>
      <c r="DG20" s="1060">
        <f t="shared" si="41"/>
        <v>23421.978999999999</v>
      </c>
      <c r="DH20" s="1060">
        <f t="shared" si="42"/>
        <v>33197.800999999999</v>
      </c>
    </row>
    <row r="21" spans="1:112" x14ac:dyDescent="0.25">
      <c r="A21" s="504" t="s">
        <v>528</v>
      </c>
      <c r="B21" s="504">
        <v>30187928</v>
      </c>
      <c r="C21" s="504">
        <v>0</v>
      </c>
      <c r="D21" s="504">
        <v>0</v>
      </c>
      <c r="E21" s="504">
        <v>30187928</v>
      </c>
      <c r="F21" s="504">
        <f t="shared" si="0"/>
        <v>30187.928</v>
      </c>
      <c r="G21" s="504">
        <f t="shared" si="1"/>
        <v>0</v>
      </c>
      <c r="H21" s="504">
        <f t="shared" si="2"/>
        <v>0</v>
      </c>
      <c r="I21" s="504">
        <f t="shared" si="3"/>
        <v>30187.928</v>
      </c>
      <c r="L21" s="371" t="s">
        <v>348</v>
      </c>
      <c r="M21" s="372">
        <v>1146159471</v>
      </c>
      <c r="N21" s="372">
        <f t="shared" si="4"/>
        <v>1146159.4709999999</v>
      </c>
      <c r="P21" s="371" t="s">
        <v>528</v>
      </c>
      <c r="Q21" s="372">
        <v>30187928</v>
      </c>
      <c r="R21" s="372">
        <v>0</v>
      </c>
      <c r="S21" s="372">
        <v>0</v>
      </c>
      <c r="T21" s="372">
        <v>30187928</v>
      </c>
      <c r="U21" s="372">
        <f t="shared" si="5"/>
        <v>30187.928</v>
      </c>
      <c r="V21" s="505">
        <f t="shared" si="6"/>
        <v>0</v>
      </c>
      <c r="W21" s="505">
        <f t="shared" si="7"/>
        <v>0</v>
      </c>
      <c r="X21" s="505">
        <f t="shared" si="8"/>
        <v>30187.928</v>
      </c>
      <c r="AA21" s="371" t="s">
        <v>342</v>
      </c>
      <c r="AB21" s="372">
        <v>5927802</v>
      </c>
      <c r="AC21" s="505">
        <f t="shared" si="9"/>
        <v>5927.8019999999997</v>
      </c>
      <c r="AE21" s="373" t="s">
        <v>528</v>
      </c>
      <c r="AF21" s="504">
        <v>30187928</v>
      </c>
      <c r="AG21" s="504">
        <v>5870433</v>
      </c>
      <c r="AH21" s="504">
        <v>5870433</v>
      </c>
      <c r="AI21" s="504">
        <v>24317495</v>
      </c>
      <c r="AJ21" s="504">
        <f t="shared" si="10"/>
        <v>30187.928</v>
      </c>
      <c r="AK21" s="504">
        <f t="shared" si="11"/>
        <v>5870.433</v>
      </c>
      <c r="AL21" s="504">
        <f t="shared" si="12"/>
        <v>5870.433</v>
      </c>
      <c r="AM21" s="504">
        <f t="shared" si="13"/>
        <v>24317.494999999999</v>
      </c>
      <c r="AP21" s="371" t="s">
        <v>342</v>
      </c>
      <c r="AQ21" s="372">
        <v>235640</v>
      </c>
      <c r="AR21" s="372">
        <f t="shared" si="18"/>
        <v>235.64</v>
      </c>
      <c r="AT21" s="371" t="s">
        <v>528</v>
      </c>
      <c r="AU21" s="372">
        <v>30187928</v>
      </c>
      <c r="AV21" s="372">
        <v>6094291</v>
      </c>
      <c r="AW21" s="372">
        <v>6094291</v>
      </c>
      <c r="AX21" s="372">
        <v>24093637</v>
      </c>
      <c r="AY21" s="504">
        <f t="shared" si="19"/>
        <v>30187.928</v>
      </c>
      <c r="AZ21" s="504">
        <f t="shared" si="20"/>
        <v>6094.2910000000002</v>
      </c>
      <c r="BA21" s="504">
        <f t="shared" si="21"/>
        <v>6094.2910000000002</v>
      </c>
      <c r="BB21" s="504">
        <f t="shared" si="22"/>
        <v>24093.636999999999</v>
      </c>
      <c r="BD21" s="782" t="s">
        <v>348</v>
      </c>
      <c r="BE21" s="644">
        <v>1146233534</v>
      </c>
      <c r="BF21" s="650">
        <f t="shared" si="23"/>
        <v>1146233.534</v>
      </c>
      <c r="BH21" s="782" t="s">
        <v>528</v>
      </c>
      <c r="BI21" s="644">
        <v>30187928</v>
      </c>
      <c r="BJ21" s="644">
        <v>6094291</v>
      </c>
      <c r="BK21" s="644">
        <v>6094291</v>
      </c>
      <c r="BL21" s="644">
        <v>24093637</v>
      </c>
      <c r="BM21" s="548">
        <f t="shared" si="24"/>
        <v>30187.928</v>
      </c>
      <c r="BN21" s="548">
        <f t="shared" si="25"/>
        <v>6094.2910000000002</v>
      </c>
      <c r="BO21" s="548">
        <f t="shared" si="26"/>
        <v>6094.2910000000002</v>
      </c>
      <c r="BP21" s="650">
        <f t="shared" si="27"/>
        <v>24093.636999999999</v>
      </c>
      <c r="BS21" s="373" t="s">
        <v>342</v>
      </c>
      <c r="BT21" s="597">
        <v>5371582</v>
      </c>
      <c r="BU21" s="597">
        <f t="shared" si="28"/>
        <v>5371.5820000000003</v>
      </c>
      <c r="BW21" s="597" t="s">
        <v>528</v>
      </c>
      <c r="BX21" s="597">
        <v>30187928</v>
      </c>
      <c r="BY21" s="597">
        <v>11877977</v>
      </c>
      <c r="BZ21" s="597">
        <v>18309951</v>
      </c>
      <c r="CA21" s="597">
        <v>11877977</v>
      </c>
      <c r="CB21" s="597">
        <f t="shared" si="29"/>
        <v>30187.928</v>
      </c>
      <c r="CC21" s="597">
        <f t="shared" si="30"/>
        <v>11877.977000000001</v>
      </c>
      <c r="CD21" s="597">
        <f t="shared" si="31"/>
        <v>18309.951000000001</v>
      </c>
      <c r="CE21" s="597">
        <f t="shared" si="32"/>
        <v>11877.977000000001</v>
      </c>
      <c r="CG21" s="373" t="s">
        <v>347</v>
      </c>
      <c r="CH21" s="597">
        <v>1249779342</v>
      </c>
      <c r="CI21" s="597">
        <f t="shared" si="33"/>
        <v>1249779.3419999999</v>
      </c>
      <c r="CK21" s="371" t="s">
        <v>528</v>
      </c>
      <c r="CL21" s="372">
        <v>30187928</v>
      </c>
      <c r="CM21" s="372">
        <v>11877977</v>
      </c>
      <c r="CN21" s="372">
        <v>11877977</v>
      </c>
      <c r="CO21" s="372">
        <v>18309951</v>
      </c>
      <c r="CP21" s="597">
        <f t="shared" si="34"/>
        <v>30187.928</v>
      </c>
      <c r="CQ21" s="597">
        <f t="shared" si="35"/>
        <v>11877.977000000001</v>
      </c>
      <c r="CR21" s="597">
        <f t="shared" si="36"/>
        <v>11877.977000000001</v>
      </c>
      <c r="CS21" s="597">
        <f t="shared" si="37"/>
        <v>18309.951000000001</v>
      </c>
      <c r="CU21" s="548"/>
      <c r="CV21" s="371" t="s">
        <v>343</v>
      </c>
      <c r="CW21" s="372">
        <v>7609016</v>
      </c>
      <c r="CX21" s="372">
        <f t="shared" si="38"/>
        <v>7609.0159999999996</v>
      </c>
      <c r="CZ21" s="1059" t="s">
        <v>528</v>
      </c>
      <c r="DA21" s="1060">
        <v>30187928</v>
      </c>
      <c r="DB21" s="1060">
        <v>11886955</v>
      </c>
      <c r="DC21" s="1060">
        <v>11886955</v>
      </c>
      <c r="DD21" s="1060">
        <v>18300973</v>
      </c>
      <c r="DE21" s="1060">
        <f t="shared" si="39"/>
        <v>30187.928</v>
      </c>
      <c r="DF21" s="1060">
        <f t="shared" si="40"/>
        <v>11886.955</v>
      </c>
      <c r="DG21" s="1060">
        <f t="shared" si="41"/>
        <v>11886.955</v>
      </c>
      <c r="DH21" s="1060">
        <f t="shared" si="42"/>
        <v>18300.973000000002</v>
      </c>
    </row>
    <row r="22" spans="1:112" x14ac:dyDescent="0.25">
      <c r="A22" s="504" t="s">
        <v>342</v>
      </c>
      <c r="B22" s="504">
        <v>26431852</v>
      </c>
      <c r="C22" s="504">
        <v>0</v>
      </c>
      <c r="D22" s="504">
        <v>0</v>
      </c>
      <c r="E22" s="504">
        <v>26431852</v>
      </c>
      <c r="F22" s="504">
        <f t="shared" si="0"/>
        <v>26431.851999999999</v>
      </c>
      <c r="G22" s="504">
        <f t="shared" si="1"/>
        <v>0</v>
      </c>
      <c r="H22" s="504">
        <f t="shared" si="2"/>
        <v>0</v>
      </c>
      <c r="I22" s="504">
        <f t="shared" si="3"/>
        <v>26431.851999999999</v>
      </c>
      <c r="L22" s="371" t="s">
        <v>349</v>
      </c>
      <c r="M22" s="372">
        <v>274451923</v>
      </c>
      <c r="N22" s="372">
        <f t="shared" si="4"/>
        <v>274451.92300000001</v>
      </c>
      <c r="P22" s="371" t="s">
        <v>342</v>
      </c>
      <c r="Q22" s="372">
        <v>26431852</v>
      </c>
      <c r="R22" s="372">
        <v>0</v>
      </c>
      <c r="S22" s="372">
        <v>0</v>
      </c>
      <c r="T22" s="372">
        <v>26431852</v>
      </c>
      <c r="U22" s="372">
        <f t="shared" si="5"/>
        <v>26431.851999999999</v>
      </c>
      <c r="V22" s="505">
        <f t="shared" si="6"/>
        <v>0</v>
      </c>
      <c r="W22" s="505">
        <f t="shared" si="7"/>
        <v>0</v>
      </c>
      <c r="X22" s="505">
        <f t="shared" si="8"/>
        <v>26431.851999999999</v>
      </c>
      <c r="AA22" s="371" t="s">
        <v>343</v>
      </c>
      <c r="AB22" s="372">
        <v>7103849</v>
      </c>
      <c r="AC22" s="505">
        <f t="shared" si="9"/>
        <v>7103.8490000000002</v>
      </c>
      <c r="AE22" s="373" t="s">
        <v>342</v>
      </c>
      <c r="AF22" s="504">
        <v>26431852</v>
      </c>
      <c r="AG22" s="504">
        <v>5927802</v>
      </c>
      <c r="AH22" s="504">
        <v>5927802</v>
      </c>
      <c r="AI22" s="504">
        <v>20504050</v>
      </c>
      <c r="AJ22" s="504">
        <f t="shared" si="10"/>
        <v>26431.851999999999</v>
      </c>
      <c r="AK22" s="504">
        <f t="shared" si="11"/>
        <v>5927.8019999999997</v>
      </c>
      <c r="AL22" s="504">
        <f t="shared" si="12"/>
        <v>5927.8019999999997</v>
      </c>
      <c r="AM22" s="504">
        <f t="shared" si="13"/>
        <v>20504.05</v>
      </c>
      <c r="AP22" s="371" t="s">
        <v>343</v>
      </c>
      <c r="AQ22" s="372">
        <v>7310017</v>
      </c>
      <c r="AR22" s="372">
        <f t="shared" si="18"/>
        <v>7310.0169999999998</v>
      </c>
      <c r="AT22" s="371" t="s">
        <v>342</v>
      </c>
      <c r="AU22" s="372">
        <v>26431852</v>
      </c>
      <c r="AV22" s="372">
        <v>6163442</v>
      </c>
      <c r="AW22" s="372">
        <v>6163442</v>
      </c>
      <c r="AX22" s="372">
        <v>20268410</v>
      </c>
      <c r="AY22" s="504">
        <f t="shared" si="19"/>
        <v>26431.851999999999</v>
      </c>
      <c r="AZ22" s="504">
        <f t="shared" si="20"/>
        <v>6163.442</v>
      </c>
      <c r="BA22" s="504">
        <f t="shared" si="21"/>
        <v>6163.442</v>
      </c>
      <c r="BB22" s="504">
        <f t="shared" si="22"/>
        <v>20268.41</v>
      </c>
      <c r="BD22" s="782" t="s">
        <v>349</v>
      </c>
      <c r="BE22" s="644">
        <v>274372697</v>
      </c>
      <c r="BF22" s="650">
        <f t="shared" si="23"/>
        <v>274372.69699999999</v>
      </c>
      <c r="BH22" s="782" t="s">
        <v>342</v>
      </c>
      <c r="BI22" s="644">
        <v>26431852</v>
      </c>
      <c r="BJ22" s="644">
        <v>6163442</v>
      </c>
      <c r="BK22" s="644">
        <v>6163442</v>
      </c>
      <c r="BL22" s="644">
        <v>20268410</v>
      </c>
      <c r="BM22" s="548">
        <f t="shared" si="24"/>
        <v>26431.851999999999</v>
      </c>
      <c r="BN22" s="548">
        <f t="shared" si="25"/>
        <v>6163.442</v>
      </c>
      <c r="BO22" s="548">
        <f t="shared" si="26"/>
        <v>6163.442</v>
      </c>
      <c r="BP22" s="650">
        <f t="shared" si="27"/>
        <v>20268.41</v>
      </c>
      <c r="BS22" s="373" t="s">
        <v>343</v>
      </c>
      <c r="BT22" s="597">
        <v>4959839</v>
      </c>
      <c r="BU22" s="597">
        <f t="shared" si="28"/>
        <v>4959.8389999999999</v>
      </c>
      <c r="BW22" s="597" t="s">
        <v>342</v>
      </c>
      <c r="BX22" s="597">
        <v>26431852</v>
      </c>
      <c r="BY22" s="597">
        <v>11535024</v>
      </c>
      <c r="BZ22" s="597">
        <v>14896828</v>
      </c>
      <c r="CA22" s="597">
        <v>11535024</v>
      </c>
      <c r="CB22" s="597">
        <f t="shared" si="29"/>
        <v>26431.851999999999</v>
      </c>
      <c r="CC22" s="597">
        <f t="shared" si="30"/>
        <v>11535.023999999999</v>
      </c>
      <c r="CD22" s="597">
        <f t="shared" si="31"/>
        <v>14896.828</v>
      </c>
      <c r="CE22" s="597">
        <f t="shared" si="32"/>
        <v>11535.023999999999</v>
      </c>
      <c r="CG22" s="373" t="s">
        <v>348</v>
      </c>
      <c r="CH22" s="597">
        <v>1167572366</v>
      </c>
      <c r="CI22" s="597">
        <f t="shared" si="33"/>
        <v>1167572.3659999999</v>
      </c>
      <c r="CK22" s="371" t="s">
        <v>342</v>
      </c>
      <c r="CL22" s="372">
        <v>26431852</v>
      </c>
      <c r="CM22" s="372">
        <v>11535024</v>
      </c>
      <c r="CN22" s="372">
        <v>11535024</v>
      </c>
      <c r="CO22" s="372">
        <v>14896828</v>
      </c>
      <c r="CP22" s="597">
        <f t="shared" si="34"/>
        <v>26431.851999999999</v>
      </c>
      <c r="CQ22" s="597">
        <f t="shared" si="35"/>
        <v>11535.023999999999</v>
      </c>
      <c r="CR22" s="597">
        <f t="shared" si="36"/>
        <v>11535.023999999999</v>
      </c>
      <c r="CS22" s="597">
        <f t="shared" si="37"/>
        <v>14896.828</v>
      </c>
      <c r="CU22" s="548"/>
      <c r="CV22" s="371" t="s">
        <v>529</v>
      </c>
      <c r="CW22" s="372">
        <v>6519711</v>
      </c>
      <c r="CX22" s="372">
        <f t="shared" si="38"/>
        <v>6519.7110000000002</v>
      </c>
      <c r="CZ22" s="1059" t="s">
        <v>342</v>
      </c>
      <c r="DA22" s="1060">
        <v>26431852</v>
      </c>
      <c r="DB22" s="1060">
        <v>11535024</v>
      </c>
      <c r="DC22" s="1060">
        <v>11535024</v>
      </c>
      <c r="DD22" s="1060">
        <v>14896828</v>
      </c>
      <c r="DE22" s="1060">
        <f t="shared" si="39"/>
        <v>26431.851999999999</v>
      </c>
      <c r="DF22" s="1060">
        <f t="shared" si="40"/>
        <v>11535.023999999999</v>
      </c>
      <c r="DG22" s="1060">
        <f t="shared" si="41"/>
        <v>11535.023999999999</v>
      </c>
      <c r="DH22" s="1060">
        <f t="shared" si="42"/>
        <v>14896.828</v>
      </c>
    </row>
    <row r="23" spans="1:112" x14ac:dyDescent="0.25">
      <c r="A23" s="504" t="s">
        <v>343</v>
      </c>
      <c r="B23" s="504">
        <v>97527416</v>
      </c>
      <c r="C23" s="504">
        <v>7092505</v>
      </c>
      <c r="D23" s="504">
        <v>7092505</v>
      </c>
      <c r="E23" s="504">
        <v>90434911</v>
      </c>
      <c r="F23" s="504">
        <f t="shared" si="0"/>
        <v>97527.415999999997</v>
      </c>
      <c r="G23" s="504">
        <f t="shared" si="1"/>
        <v>7092.5050000000001</v>
      </c>
      <c r="H23" s="504">
        <f t="shared" si="2"/>
        <v>7092.5050000000001</v>
      </c>
      <c r="I23" s="504">
        <f t="shared" si="3"/>
        <v>90434.910999999993</v>
      </c>
      <c r="L23" s="371" t="s">
        <v>532</v>
      </c>
      <c r="M23" s="372">
        <v>12734592</v>
      </c>
      <c r="N23" s="372">
        <f t="shared" si="4"/>
        <v>12734.592000000001</v>
      </c>
      <c r="P23" s="371" t="s">
        <v>343</v>
      </c>
      <c r="Q23" s="372">
        <v>97527416</v>
      </c>
      <c r="R23" s="372">
        <v>14144813</v>
      </c>
      <c r="S23" s="372">
        <v>14144813</v>
      </c>
      <c r="T23" s="372">
        <v>83382603</v>
      </c>
      <c r="U23" s="372">
        <f t="shared" si="5"/>
        <v>97527.415999999997</v>
      </c>
      <c r="V23" s="505">
        <f t="shared" si="6"/>
        <v>14144.813</v>
      </c>
      <c r="W23" s="505">
        <f t="shared" si="7"/>
        <v>14144.813</v>
      </c>
      <c r="X23" s="505">
        <f t="shared" si="8"/>
        <v>83382.603000000003</v>
      </c>
      <c r="AA23" s="371" t="s">
        <v>529</v>
      </c>
      <c r="AB23" s="372">
        <v>6519711</v>
      </c>
      <c r="AC23" s="505">
        <f t="shared" si="9"/>
        <v>6519.7110000000002</v>
      </c>
      <c r="AE23" s="373" t="s">
        <v>343</v>
      </c>
      <c r="AF23" s="504">
        <v>97527416</v>
      </c>
      <c r="AG23" s="504">
        <v>21248662</v>
      </c>
      <c r="AH23" s="504">
        <v>21248662</v>
      </c>
      <c r="AI23" s="504">
        <v>76278754</v>
      </c>
      <c r="AJ23" s="504">
        <f t="shared" si="10"/>
        <v>97527.415999999997</v>
      </c>
      <c r="AK23" s="504">
        <f t="shared" si="11"/>
        <v>21248.662</v>
      </c>
      <c r="AL23" s="504">
        <f t="shared" si="12"/>
        <v>21248.662</v>
      </c>
      <c r="AM23" s="504">
        <f t="shared" si="13"/>
        <v>76278.754000000001</v>
      </c>
      <c r="AP23" s="371" t="s">
        <v>529</v>
      </c>
      <c r="AQ23" s="372">
        <v>6519711</v>
      </c>
      <c r="AR23" s="372">
        <f t="shared" si="18"/>
        <v>6519.7110000000002</v>
      </c>
      <c r="AT23" s="371" t="s">
        <v>343</v>
      </c>
      <c r="AU23" s="372">
        <v>97527416</v>
      </c>
      <c r="AV23" s="372">
        <v>28558679</v>
      </c>
      <c r="AW23" s="372">
        <v>28558679</v>
      </c>
      <c r="AX23" s="372">
        <v>68968737</v>
      </c>
      <c r="AY23" s="504">
        <f t="shared" si="19"/>
        <v>97527.415999999997</v>
      </c>
      <c r="AZ23" s="504">
        <f t="shared" si="20"/>
        <v>28558.679</v>
      </c>
      <c r="BA23" s="504">
        <f t="shared" si="21"/>
        <v>28558.679</v>
      </c>
      <c r="BB23" s="504">
        <f t="shared" si="22"/>
        <v>68968.736999999994</v>
      </c>
      <c r="BD23" s="782" t="s">
        <v>532</v>
      </c>
      <c r="BE23" s="644">
        <v>13050011</v>
      </c>
      <c r="BF23" s="650">
        <f t="shared" si="23"/>
        <v>13050.011</v>
      </c>
      <c r="BH23" s="782" t="s">
        <v>343</v>
      </c>
      <c r="BI23" s="644">
        <v>98027416</v>
      </c>
      <c r="BJ23" s="644">
        <v>33207838</v>
      </c>
      <c r="BK23" s="644">
        <v>33207838</v>
      </c>
      <c r="BL23" s="644">
        <v>64819578</v>
      </c>
      <c r="BM23" s="548">
        <f t="shared" si="24"/>
        <v>98027.415999999997</v>
      </c>
      <c r="BN23" s="548">
        <f t="shared" si="25"/>
        <v>33207.838000000003</v>
      </c>
      <c r="BO23" s="548">
        <f t="shared" si="26"/>
        <v>33207.838000000003</v>
      </c>
      <c r="BP23" s="650">
        <f t="shared" si="27"/>
        <v>64819.578000000001</v>
      </c>
      <c r="BS23" s="373" t="s">
        <v>529</v>
      </c>
      <c r="BT23" s="597">
        <v>4339909</v>
      </c>
      <c r="BU23" s="597">
        <f t="shared" si="28"/>
        <v>4339.9089999999997</v>
      </c>
      <c r="BW23" s="597" t="s">
        <v>343</v>
      </c>
      <c r="BX23" s="597">
        <v>98027416</v>
      </c>
      <c r="BY23" s="597">
        <v>38167677</v>
      </c>
      <c r="BZ23" s="597">
        <v>59859739</v>
      </c>
      <c r="CA23" s="597">
        <v>38167677</v>
      </c>
      <c r="CB23" s="597">
        <f t="shared" si="29"/>
        <v>98027.415999999997</v>
      </c>
      <c r="CC23" s="597">
        <f t="shared" si="30"/>
        <v>38167.677000000003</v>
      </c>
      <c r="CD23" s="597">
        <f t="shared" si="31"/>
        <v>59859.739000000001</v>
      </c>
      <c r="CE23" s="597">
        <f t="shared" si="32"/>
        <v>38167.677000000003</v>
      </c>
      <c r="CG23" s="373" t="s">
        <v>349</v>
      </c>
      <c r="CH23" s="597">
        <v>277503873</v>
      </c>
      <c r="CI23" s="597">
        <f t="shared" si="33"/>
        <v>277503.87300000002</v>
      </c>
      <c r="CK23" s="371" t="s">
        <v>343</v>
      </c>
      <c r="CL23" s="372">
        <v>97027416</v>
      </c>
      <c r="CM23" s="372">
        <v>49222031</v>
      </c>
      <c r="CN23" s="372">
        <v>49222031</v>
      </c>
      <c r="CO23" s="372">
        <v>47805385</v>
      </c>
      <c r="CP23" s="597">
        <f t="shared" si="34"/>
        <v>97027.415999999997</v>
      </c>
      <c r="CQ23" s="597">
        <f t="shared" si="35"/>
        <v>49222.031000000003</v>
      </c>
      <c r="CR23" s="597">
        <f t="shared" si="36"/>
        <v>49222.031000000003</v>
      </c>
      <c r="CS23" s="597">
        <f t="shared" si="37"/>
        <v>47805.385000000002</v>
      </c>
      <c r="CU23" s="548"/>
      <c r="CV23" s="371" t="s">
        <v>581</v>
      </c>
      <c r="CW23" s="372">
        <v>1089305</v>
      </c>
      <c r="CX23" s="372">
        <f t="shared" si="38"/>
        <v>1089.3050000000001</v>
      </c>
      <c r="CZ23" s="1059" t="s">
        <v>343</v>
      </c>
      <c r="DA23" s="1060">
        <v>97150422</v>
      </c>
      <c r="DB23" s="1060">
        <v>56831047</v>
      </c>
      <c r="DC23" s="1060">
        <v>56831047</v>
      </c>
      <c r="DD23" s="1060">
        <v>40319375</v>
      </c>
      <c r="DE23" s="1060">
        <f t="shared" si="39"/>
        <v>97150.422000000006</v>
      </c>
      <c r="DF23" s="1060">
        <f t="shared" si="40"/>
        <v>56831.046999999999</v>
      </c>
      <c r="DG23" s="1060">
        <f t="shared" si="41"/>
        <v>56831.046999999999</v>
      </c>
      <c r="DH23" s="1060">
        <f t="shared" si="42"/>
        <v>40319.375</v>
      </c>
    </row>
    <row r="24" spans="1:112" x14ac:dyDescent="0.25">
      <c r="A24" s="504" t="s">
        <v>529</v>
      </c>
      <c r="B24" s="504">
        <v>89789216</v>
      </c>
      <c r="C24" s="504">
        <v>6519711</v>
      </c>
      <c r="D24" s="504">
        <v>6519711</v>
      </c>
      <c r="E24" s="504">
        <v>83269505</v>
      </c>
      <c r="F24" s="504">
        <f t="shared" si="0"/>
        <v>89789.216</v>
      </c>
      <c r="G24" s="504">
        <f t="shared" si="1"/>
        <v>6519.7110000000002</v>
      </c>
      <c r="H24" s="504">
        <f t="shared" si="2"/>
        <v>6519.7110000000002</v>
      </c>
      <c r="I24" s="504">
        <f t="shared" si="3"/>
        <v>83269.505000000005</v>
      </c>
      <c r="L24" s="371" t="s">
        <v>350</v>
      </c>
      <c r="M24" s="372">
        <v>195129001</v>
      </c>
      <c r="N24" s="372">
        <f t="shared" si="4"/>
        <v>195129.00099999999</v>
      </c>
      <c r="P24" s="371" t="s">
        <v>529</v>
      </c>
      <c r="Q24" s="372">
        <v>89789216</v>
      </c>
      <c r="R24" s="372">
        <v>13039422</v>
      </c>
      <c r="S24" s="372">
        <v>13039422</v>
      </c>
      <c r="T24" s="372">
        <v>76749794</v>
      </c>
      <c r="U24" s="372">
        <f t="shared" si="5"/>
        <v>89789.216</v>
      </c>
      <c r="V24" s="505">
        <f t="shared" si="6"/>
        <v>13039.422</v>
      </c>
      <c r="W24" s="505">
        <f t="shared" si="7"/>
        <v>13039.422</v>
      </c>
      <c r="X24" s="505">
        <f t="shared" si="8"/>
        <v>76749.793999999994</v>
      </c>
      <c r="AA24" s="371" t="s">
        <v>581</v>
      </c>
      <c r="AB24" s="372">
        <v>584138</v>
      </c>
      <c r="AC24" s="505">
        <f t="shared" si="9"/>
        <v>584.13800000000003</v>
      </c>
      <c r="AE24" s="373" t="s">
        <v>529</v>
      </c>
      <c r="AF24" s="504">
        <v>89789216</v>
      </c>
      <c r="AG24" s="504">
        <v>19559133</v>
      </c>
      <c r="AH24" s="504">
        <v>19559133</v>
      </c>
      <c r="AI24" s="504">
        <v>70230083</v>
      </c>
      <c r="AJ24" s="504">
        <f t="shared" si="10"/>
        <v>89789.216</v>
      </c>
      <c r="AK24" s="504">
        <f t="shared" si="11"/>
        <v>19559.133000000002</v>
      </c>
      <c r="AL24" s="504">
        <f t="shared" si="12"/>
        <v>19559.133000000002</v>
      </c>
      <c r="AM24" s="504">
        <f t="shared" si="13"/>
        <v>70230.082999999999</v>
      </c>
      <c r="AP24" s="371" t="s">
        <v>581</v>
      </c>
      <c r="AQ24" s="372">
        <v>790306</v>
      </c>
      <c r="AR24" s="372">
        <f t="shared" si="18"/>
        <v>790.30600000000004</v>
      </c>
      <c r="AT24" s="371" t="s">
        <v>529</v>
      </c>
      <c r="AU24" s="372">
        <v>89789216</v>
      </c>
      <c r="AV24" s="372">
        <v>26078844</v>
      </c>
      <c r="AW24" s="372">
        <v>26078844</v>
      </c>
      <c r="AX24" s="372">
        <v>63710372</v>
      </c>
      <c r="AY24" s="504">
        <f t="shared" si="19"/>
        <v>89789.216</v>
      </c>
      <c r="AZ24" s="504">
        <f t="shared" si="20"/>
        <v>26078.844000000001</v>
      </c>
      <c r="BA24" s="504">
        <f t="shared" si="21"/>
        <v>26078.844000000001</v>
      </c>
      <c r="BB24" s="504">
        <f t="shared" si="22"/>
        <v>63710.372000000003</v>
      </c>
      <c r="BD24" s="782" t="s">
        <v>350</v>
      </c>
      <c r="BE24" s="644">
        <v>194965711</v>
      </c>
      <c r="BF24" s="650">
        <f t="shared" si="23"/>
        <v>194965.71100000001</v>
      </c>
      <c r="BH24" s="782" t="s">
        <v>529</v>
      </c>
      <c r="BI24" s="644">
        <v>89789216</v>
      </c>
      <c r="BJ24" s="644">
        <v>30418753</v>
      </c>
      <c r="BK24" s="644">
        <v>30418753</v>
      </c>
      <c r="BL24" s="644">
        <v>59370463</v>
      </c>
      <c r="BM24" s="548">
        <f t="shared" si="24"/>
        <v>89789.216</v>
      </c>
      <c r="BN24" s="548">
        <f t="shared" si="25"/>
        <v>30418.753000000001</v>
      </c>
      <c r="BO24" s="548">
        <f t="shared" si="26"/>
        <v>30418.753000000001</v>
      </c>
      <c r="BP24" s="650">
        <f t="shared" si="27"/>
        <v>59370.463000000003</v>
      </c>
      <c r="BS24" s="373" t="s">
        <v>581</v>
      </c>
      <c r="BT24" s="597">
        <v>619930</v>
      </c>
      <c r="BU24" s="597">
        <f t="shared" si="28"/>
        <v>619.92999999999995</v>
      </c>
      <c r="BW24" s="597" t="s">
        <v>529</v>
      </c>
      <c r="BX24" s="597">
        <v>89789216</v>
      </c>
      <c r="BY24" s="597">
        <v>34758662</v>
      </c>
      <c r="BZ24" s="597">
        <v>55030554</v>
      </c>
      <c r="CA24" s="597">
        <v>34758662</v>
      </c>
      <c r="CB24" s="597">
        <f t="shared" si="29"/>
        <v>89789.216</v>
      </c>
      <c r="CC24" s="597">
        <f t="shared" si="30"/>
        <v>34758.661999999997</v>
      </c>
      <c r="CD24" s="597">
        <f t="shared" si="31"/>
        <v>55030.553999999996</v>
      </c>
      <c r="CE24" s="597">
        <f t="shared" si="32"/>
        <v>34758.661999999997</v>
      </c>
      <c r="CG24" s="373" t="s">
        <v>532</v>
      </c>
      <c r="CH24" s="597">
        <v>17927380</v>
      </c>
      <c r="CI24" s="597">
        <f t="shared" si="33"/>
        <v>17927.38</v>
      </c>
      <c r="CK24" s="371" t="s">
        <v>529</v>
      </c>
      <c r="CL24" s="372">
        <v>89789216</v>
      </c>
      <c r="CM24" s="372">
        <v>44911376</v>
      </c>
      <c r="CN24" s="372">
        <v>44911376</v>
      </c>
      <c r="CO24" s="372">
        <v>44877840</v>
      </c>
      <c r="CP24" s="597">
        <f t="shared" si="34"/>
        <v>89789.216</v>
      </c>
      <c r="CQ24" s="597">
        <f t="shared" si="35"/>
        <v>44911.375999999997</v>
      </c>
      <c r="CR24" s="597">
        <f t="shared" si="36"/>
        <v>44911.375999999997</v>
      </c>
      <c r="CS24" s="597">
        <f t="shared" si="37"/>
        <v>44877.84</v>
      </c>
      <c r="CU24" s="548"/>
      <c r="CV24" s="371" t="s">
        <v>347</v>
      </c>
      <c r="CW24" s="372">
        <v>1253922905</v>
      </c>
      <c r="CX24" s="372">
        <f t="shared" si="38"/>
        <v>1253922.905</v>
      </c>
      <c r="CZ24" s="1059" t="s">
        <v>529</v>
      </c>
      <c r="DA24" s="1060">
        <v>89789216</v>
      </c>
      <c r="DB24" s="1060">
        <v>51431087</v>
      </c>
      <c r="DC24" s="1060">
        <v>51431087</v>
      </c>
      <c r="DD24" s="1060">
        <v>38358129</v>
      </c>
      <c r="DE24" s="1060">
        <f t="shared" si="39"/>
        <v>89789.216</v>
      </c>
      <c r="DF24" s="1060">
        <f t="shared" si="40"/>
        <v>51431.087</v>
      </c>
      <c r="DG24" s="1060">
        <f t="shared" si="41"/>
        <v>51431.087</v>
      </c>
      <c r="DH24" s="1060">
        <f t="shared" si="42"/>
        <v>38358.129000000001</v>
      </c>
    </row>
    <row r="25" spans="1:112" x14ac:dyDescent="0.25">
      <c r="A25" s="504" t="s">
        <v>530</v>
      </c>
      <c r="B25" s="504">
        <v>138200</v>
      </c>
      <c r="C25" s="504">
        <v>48972</v>
      </c>
      <c r="D25" s="504">
        <v>48972</v>
      </c>
      <c r="E25" s="504">
        <v>89228</v>
      </c>
      <c r="F25" s="504">
        <f t="shared" si="0"/>
        <v>138.19999999999999</v>
      </c>
      <c r="G25" s="504">
        <f t="shared" si="1"/>
        <v>48.972000000000001</v>
      </c>
      <c r="H25" s="504">
        <f t="shared" si="2"/>
        <v>48.972000000000001</v>
      </c>
      <c r="I25" s="504">
        <f t="shared" si="3"/>
        <v>89.227999999999994</v>
      </c>
      <c r="L25" s="371" t="s">
        <v>351</v>
      </c>
      <c r="M25" s="372">
        <v>24582067</v>
      </c>
      <c r="N25" s="372">
        <f t="shared" si="4"/>
        <v>24582.066999999999</v>
      </c>
      <c r="P25" s="371" t="s">
        <v>530</v>
      </c>
      <c r="Q25" s="372">
        <v>138200</v>
      </c>
      <c r="R25" s="372">
        <v>48972</v>
      </c>
      <c r="S25" s="372">
        <v>48972</v>
      </c>
      <c r="T25" s="372">
        <v>89228</v>
      </c>
      <c r="U25" s="372">
        <f t="shared" si="5"/>
        <v>138.19999999999999</v>
      </c>
      <c r="V25" s="505">
        <f t="shared" si="6"/>
        <v>48.972000000000001</v>
      </c>
      <c r="W25" s="505">
        <f t="shared" si="7"/>
        <v>48.972000000000001</v>
      </c>
      <c r="X25" s="505">
        <f t="shared" si="8"/>
        <v>89.227999999999994</v>
      </c>
      <c r="AA25" s="371" t="s">
        <v>344</v>
      </c>
      <c r="AB25" s="372">
        <v>172464</v>
      </c>
      <c r="AC25" s="505">
        <f t="shared" si="9"/>
        <v>172.464</v>
      </c>
      <c r="AE25" s="373" t="s">
        <v>530</v>
      </c>
      <c r="AF25" s="504">
        <v>138200</v>
      </c>
      <c r="AG25" s="504">
        <v>48972</v>
      </c>
      <c r="AH25" s="504">
        <v>48972</v>
      </c>
      <c r="AI25" s="504">
        <v>89228</v>
      </c>
      <c r="AJ25" s="504">
        <f t="shared" si="10"/>
        <v>138.19999999999999</v>
      </c>
      <c r="AK25" s="504">
        <f t="shared" si="11"/>
        <v>48.972000000000001</v>
      </c>
      <c r="AL25" s="504">
        <f t="shared" si="12"/>
        <v>48.972000000000001</v>
      </c>
      <c r="AM25" s="504">
        <f t="shared" si="13"/>
        <v>89.227999999999994</v>
      </c>
      <c r="AP25" s="371" t="s">
        <v>347</v>
      </c>
      <c r="AQ25" s="372">
        <v>1244271849</v>
      </c>
      <c r="AR25" s="372">
        <f t="shared" si="18"/>
        <v>1244271.8489999999</v>
      </c>
      <c r="AT25" s="371" t="s">
        <v>530</v>
      </c>
      <c r="AU25" s="372">
        <v>138200</v>
      </c>
      <c r="AV25" s="372">
        <v>48972</v>
      </c>
      <c r="AW25" s="372">
        <v>48972</v>
      </c>
      <c r="AX25" s="372">
        <v>89228</v>
      </c>
      <c r="AY25" s="504">
        <f t="shared" si="19"/>
        <v>138.19999999999999</v>
      </c>
      <c r="AZ25" s="504">
        <f t="shared" si="20"/>
        <v>48.972000000000001</v>
      </c>
      <c r="BA25" s="504">
        <f t="shared" si="21"/>
        <v>48.972000000000001</v>
      </c>
      <c r="BB25" s="504">
        <f t="shared" si="22"/>
        <v>89.227999999999994</v>
      </c>
      <c r="BD25" s="782" t="s">
        <v>351</v>
      </c>
      <c r="BE25" s="644">
        <v>24716987</v>
      </c>
      <c r="BF25" s="650">
        <f t="shared" si="23"/>
        <v>24716.987000000001</v>
      </c>
      <c r="BH25" s="782" t="s">
        <v>530</v>
      </c>
      <c r="BI25" s="644">
        <v>138200</v>
      </c>
      <c r="BJ25" s="644">
        <v>48972</v>
      </c>
      <c r="BK25" s="644">
        <v>48972</v>
      </c>
      <c r="BL25" s="644">
        <v>89228</v>
      </c>
      <c r="BM25" s="548">
        <f t="shared" si="24"/>
        <v>138.19999999999999</v>
      </c>
      <c r="BN25" s="548">
        <f t="shared" si="25"/>
        <v>48.972000000000001</v>
      </c>
      <c r="BO25" s="548">
        <f t="shared" si="26"/>
        <v>48.972000000000001</v>
      </c>
      <c r="BP25" s="650">
        <f t="shared" si="27"/>
        <v>89.227999999999994</v>
      </c>
      <c r="BS25" s="373" t="s">
        <v>344</v>
      </c>
      <c r="BT25" s="597">
        <v>172464</v>
      </c>
      <c r="BU25" s="597">
        <f t="shared" si="28"/>
        <v>172.464</v>
      </c>
      <c r="BW25" s="597" t="s">
        <v>530</v>
      </c>
      <c r="BX25" s="597">
        <v>138200</v>
      </c>
      <c r="BY25" s="597">
        <v>48972</v>
      </c>
      <c r="BZ25" s="597">
        <v>89228</v>
      </c>
      <c r="CA25" s="597">
        <v>48972</v>
      </c>
      <c r="CB25" s="597">
        <f t="shared" si="29"/>
        <v>138.19999999999999</v>
      </c>
      <c r="CC25" s="597">
        <f t="shared" si="30"/>
        <v>48.972000000000001</v>
      </c>
      <c r="CD25" s="597">
        <f t="shared" si="31"/>
        <v>89.227999999999994</v>
      </c>
      <c r="CE25" s="597">
        <f t="shared" si="32"/>
        <v>48.972000000000001</v>
      </c>
      <c r="CG25" s="373" t="s">
        <v>350</v>
      </c>
      <c r="CH25" s="597">
        <v>197967109</v>
      </c>
      <c r="CI25" s="597">
        <f t="shared" si="33"/>
        <v>197967.109</v>
      </c>
      <c r="CK25" s="371" t="s">
        <v>530</v>
      </c>
      <c r="CL25" s="372">
        <v>138200</v>
      </c>
      <c r="CM25" s="372">
        <v>48972</v>
      </c>
      <c r="CN25" s="372">
        <v>48972</v>
      </c>
      <c r="CO25" s="372">
        <v>89228</v>
      </c>
      <c r="CP25" s="597">
        <f t="shared" si="34"/>
        <v>138.19999999999999</v>
      </c>
      <c r="CQ25" s="597">
        <f t="shared" si="35"/>
        <v>48.972000000000001</v>
      </c>
      <c r="CR25" s="597">
        <f t="shared" si="36"/>
        <v>48.972000000000001</v>
      </c>
      <c r="CS25" s="597">
        <f t="shared" si="37"/>
        <v>89.227999999999994</v>
      </c>
      <c r="CU25" s="548"/>
      <c r="CV25" s="371" t="s">
        <v>348</v>
      </c>
      <c r="CW25" s="372">
        <v>1158782787</v>
      </c>
      <c r="CX25" s="372">
        <f t="shared" si="38"/>
        <v>1158782.787</v>
      </c>
      <c r="CZ25" s="1059" t="s">
        <v>530</v>
      </c>
      <c r="DA25" s="1060">
        <v>138200</v>
      </c>
      <c r="DB25" s="1060">
        <v>48972</v>
      </c>
      <c r="DC25" s="1060">
        <v>48972</v>
      </c>
      <c r="DD25" s="1060">
        <v>89228</v>
      </c>
      <c r="DE25" s="1060">
        <f t="shared" si="39"/>
        <v>138.19999999999999</v>
      </c>
      <c r="DF25" s="1060">
        <f t="shared" si="40"/>
        <v>48.972000000000001</v>
      </c>
      <c r="DG25" s="1060">
        <f t="shared" si="41"/>
        <v>48.972000000000001</v>
      </c>
      <c r="DH25" s="1060">
        <f t="shared" si="42"/>
        <v>89.227999999999994</v>
      </c>
    </row>
    <row r="26" spans="1:112" x14ac:dyDescent="0.25">
      <c r="A26" s="504" t="s">
        <v>581</v>
      </c>
      <c r="B26" s="504">
        <v>5600000</v>
      </c>
      <c r="C26" s="504">
        <v>523822</v>
      </c>
      <c r="D26" s="504">
        <v>523822</v>
      </c>
      <c r="E26" s="504">
        <v>5076178</v>
      </c>
      <c r="F26" s="504">
        <f t="shared" si="0"/>
        <v>5600</v>
      </c>
      <c r="G26" s="504">
        <f t="shared" si="1"/>
        <v>523.822</v>
      </c>
      <c r="H26" s="504">
        <f t="shared" si="2"/>
        <v>523.822</v>
      </c>
      <c r="I26" s="504">
        <f t="shared" si="3"/>
        <v>5076.1779999999999</v>
      </c>
      <c r="L26" s="371" t="s">
        <v>534</v>
      </c>
      <c r="M26" s="372">
        <v>9492859</v>
      </c>
      <c r="N26" s="372">
        <f t="shared" si="4"/>
        <v>9492.8590000000004</v>
      </c>
      <c r="P26" s="371" t="s">
        <v>581</v>
      </c>
      <c r="Q26" s="372">
        <v>5600000</v>
      </c>
      <c r="R26" s="372">
        <v>1056419</v>
      </c>
      <c r="S26" s="372">
        <v>1056419</v>
      </c>
      <c r="T26" s="372">
        <v>4543581</v>
      </c>
      <c r="U26" s="372">
        <f t="shared" si="5"/>
        <v>5600</v>
      </c>
      <c r="V26" s="505">
        <f t="shared" si="6"/>
        <v>1056.4190000000001</v>
      </c>
      <c r="W26" s="505">
        <f t="shared" si="7"/>
        <v>1056.4190000000001</v>
      </c>
      <c r="X26" s="505">
        <f t="shared" si="8"/>
        <v>4543.5810000000001</v>
      </c>
      <c r="AA26" s="371" t="s">
        <v>457</v>
      </c>
      <c r="AB26" s="372">
        <v>172464</v>
      </c>
      <c r="AC26" s="505">
        <f t="shared" si="9"/>
        <v>172.464</v>
      </c>
      <c r="AE26" s="373" t="s">
        <v>581</v>
      </c>
      <c r="AF26" s="504">
        <v>5600000</v>
      </c>
      <c r="AG26" s="504">
        <v>1640557</v>
      </c>
      <c r="AH26" s="504">
        <v>1640557</v>
      </c>
      <c r="AI26" s="504">
        <v>3959443</v>
      </c>
      <c r="AJ26" s="504">
        <f t="shared" si="10"/>
        <v>5600</v>
      </c>
      <c r="AK26" s="504">
        <f t="shared" si="11"/>
        <v>1640.557</v>
      </c>
      <c r="AL26" s="504">
        <f t="shared" si="12"/>
        <v>1640.557</v>
      </c>
      <c r="AM26" s="504">
        <f t="shared" si="13"/>
        <v>3959.4430000000002</v>
      </c>
      <c r="AP26" s="371" t="s">
        <v>348</v>
      </c>
      <c r="AQ26" s="372">
        <v>1155305396</v>
      </c>
      <c r="AR26" s="372">
        <f t="shared" si="18"/>
        <v>1155305.3959999999</v>
      </c>
      <c r="AT26" s="371" t="s">
        <v>581</v>
      </c>
      <c r="AU26" s="372">
        <v>5600000</v>
      </c>
      <c r="AV26" s="372">
        <v>2430863</v>
      </c>
      <c r="AW26" s="372">
        <v>2430863</v>
      </c>
      <c r="AX26" s="372">
        <v>3169137</v>
      </c>
      <c r="AY26" s="504">
        <f t="shared" si="19"/>
        <v>5600</v>
      </c>
      <c r="AZ26" s="504">
        <f t="shared" si="20"/>
        <v>2430.8629999999998</v>
      </c>
      <c r="BA26" s="504">
        <f t="shared" si="21"/>
        <v>2430.8629999999998</v>
      </c>
      <c r="BB26" s="504">
        <f t="shared" si="22"/>
        <v>3169.1370000000002</v>
      </c>
      <c r="BD26" s="782" t="s">
        <v>534</v>
      </c>
      <c r="BE26" s="644">
        <v>9796155</v>
      </c>
      <c r="BF26" s="650">
        <f t="shared" si="23"/>
        <v>9796.1550000000007</v>
      </c>
      <c r="BH26" s="782" t="s">
        <v>581</v>
      </c>
      <c r="BI26" s="644">
        <v>5600000</v>
      </c>
      <c r="BJ26" s="644">
        <v>2740113</v>
      </c>
      <c r="BK26" s="644">
        <v>2740113</v>
      </c>
      <c r="BL26" s="644">
        <v>2859887</v>
      </c>
      <c r="BM26" s="548">
        <f t="shared" si="24"/>
        <v>5600</v>
      </c>
      <c r="BN26" s="548">
        <f t="shared" si="25"/>
        <v>2740.1129999999998</v>
      </c>
      <c r="BO26" s="548">
        <f t="shared" si="26"/>
        <v>2740.1129999999998</v>
      </c>
      <c r="BP26" s="650">
        <f t="shared" si="27"/>
        <v>2859.8870000000002</v>
      </c>
      <c r="BS26" s="373" t="s">
        <v>457</v>
      </c>
      <c r="BT26" s="597">
        <v>172464</v>
      </c>
      <c r="BU26" s="597">
        <f t="shared" si="28"/>
        <v>172.464</v>
      </c>
      <c r="BW26" s="597" t="s">
        <v>581</v>
      </c>
      <c r="BX26" s="597">
        <v>5600000</v>
      </c>
      <c r="BY26" s="597">
        <v>3360043</v>
      </c>
      <c r="BZ26" s="597">
        <v>2239957</v>
      </c>
      <c r="CA26" s="597">
        <v>3360043</v>
      </c>
      <c r="CB26" s="597">
        <f t="shared" si="29"/>
        <v>5600</v>
      </c>
      <c r="CC26" s="597">
        <f t="shared" si="30"/>
        <v>3360.0430000000001</v>
      </c>
      <c r="CD26" s="597">
        <f t="shared" si="31"/>
        <v>2239.9569999999999</v>
      </c>
      <c r="CE26" s="597">
        <f t="shared" si="32"/>
        <v>3360.0430000000001</v>
      </c>
      <c r="CG26" s="373" t="s">
        <v>351</v>
      </c>
      <c r="CH26" s="597">
        <v>25840341</v>
      </c>
      <c r="CI26" s="597">
        <f t="shared" si="33"/>
        <v>25840.341</v>
      </c>
      <c r="CK26" s="371" t="s">
        <v>581</v>
      </c>
      <c r="CL26" s="372">
        <v>5600000</v>
      </c>
      <c r="CM26" s="372">
        <v>4261683</v>
      </c>
      <c r="CN26" s="372">
        <v>4261683</v>
      </c>
      <c r="CO26" s="372">
        <v>1338317</v>
      </c>
      <c r="CP26" s="597">
        <f t="shared" si="34"/>
        <v>5600</v>
      </c>
      <c r="CQ26" s="597">
        <f t="shared" si="35"/>
        <v>4261.683</v>
      </c>
      <c r="CR26" s="597">
        <f t="shared" si="36"/>
        <v>4261.683</v>
      </c>
      <c r="CS26" s="597">
        <f t="shared" si="37"/>
        <v>1338.317</v>
      </c>
      <c r="CU26" s="548"/>
      <c r="CV26" s="371" t="s">
        <v>349</v>
      </c>
      <c r="CW26" s="372">
        <v>276566503</v>
      </c>
      <c r="CX26" s="372">
        <f t="shared" si="38"/>
        <v>276566.50300000003</v>
      </c>
      <c r="CZ26" s="1059" t="s">
        <v>581</v>
      </c>
      <c r="DA26" s="1060">
        <v>5723006</v>
      </c>
      <c r="DB26" s="1060">
        <v>5350988</v>
      </c>
      <c r="DC26" s="1060">
        <v>5350988</v>
      </c>
      <c r="DD26" s="1060">
        <v>372018</v>
      </c>
      <c r="DE26" s="1060">
        <f t="shared" si="39"/>
        <v>5723.0060000000003</v>
      </c>
      <c r="DF26" s="1060">
        <f t="shared" si="40"/>
        <v>5350.9880000000003</v>
      </c>
      <c r="DG26" s="1060">
        <f t="shared" si="41"/>
        <v>5350.9880000000003</v>
      </c>
      <c r="DH26" s="1060">
        <f t="shared" si="42"/>
        <v>372.01799999999997</v>
      </c>
    </row>
    <row r="27" spans="1:112" x14ac:dyDescent="0.25">
      <c r="A27" s="504" t="s">
        <v>531</v>
      </c>
      <c r="B27" s="504">
        <v>2000000</v>
      </c>
      <c r="C27" s="504">
        <v>0</v>
      </c>
      <c r="D27" s="504">
        <v>0</v>
      </c>
      <c r="E27" s="504">
        <v>2000000</v>
      </c>
      <c r="F27" s="504">
        <f t="shared" si="0"/>
        <v>2000</v>
      </c>
      <c r="G27" s="504">
        <f t="shared" si="1"/>
        <v>0</v>
      </c>
      <c r="H27" s="504">
        <f t="shared" si="2"/>
        <v>0</v>
      </c>
      <c r="I27" s="504">
        <f t="shared" si="3"/>
        <v>2000</v>
      </c>
      <c r="L27" s="371" t="s">
        <v>535</v>
      </c>
      <c r="M27" s="372">
        <v>186027320</v>
      </c>
      <c r="N27" s="372">
        <f t="shared" si="4"/>
        <v>186027.32</v>
      </c>
      <c r="P27" s="371" t="s">
        <v>531</v>
      </c>
      <c r="Q27" s="372">
        <v>2000000</v>
      </c>
      <c r="R27" s="372">
        <v>0</v>
      </c>
      <c r="S27" s="372">
        <v>0</v>
      </c>
      <c r="T27" s="372">
        <v>2000000</v>
      </c>
      <c r="U27" s="372">
        <f t="shared" si="5"/>
        <v>2000</v>
      </c>
      <c r="V27" s="505">
        <f t="shared" si="6"/>
        <v>0</v>
      </c>
      <c r="W27" s="505">
        <f t="shared" si="7"/>
        <v>0</v>
      </c>
      <c r="X27" s="505">
        <f t="shared" si="8"/>
        <v>2000</v>
      </c>
      <c r="AA27" s="371" t="s">
        <v>347</v>
      </c>
      <c r="AB27" s="372">
        <v>2194493864</v>
      </c>
      <c r="AC27" s="505">
        <f t="shared" si="9"/>
        <v>2194493.8640000001</v>
      </c>
      <c r="AE27" s="373" t="s">
        <v>531</v>
      </c>
      <c r="AF27" s="504">
        <v>2000000</v>
      </c>
      <c r="AG27" s="504">
        <v>0</v>
      </c>
      <c r="AH27" s="504">
        <v>0</v>
      </c>
      <c r="AI27" s="504">
        <v>2000000</v>
      </c>
      <c r="AJ27" s="504">
        <f t="shared" si="10"/>
        <v>2000</v>
      </c>
      <c r="AK27" s="504">
        <f t="shared" si="11"/>
        <v>0</v>
      </c>
      <c r="AL27" s="504">
        <f t="shared" si="12"/>
        <v>0</v>
      </c>
      <c r="AM27" s="504">
        <f t="shared" si="13"/>
        <v>2000</v>
      </c>
      <c r="AP27" s="371" t="s">
        <v>349</v>
      </c>
      <c r="AQ27" s="372">
        <v>275135128</v>
      </c>
      <c r="AR27" s="372">
        <f t="shared" si="18"/>
        <v>275135.12800000003</v>
      </c>
      <c r="AT27" s="371" t="s">
        <v>531</v>
      </c>
      <c r="AU27" s="372">
        <v>2000000</v>
      </c>
      <c r="AV27" s="372">
        <v>0</v>
      </c>
      <c r="AW27" s="372">
        <v>0</v>
      </c>
      <c r="AX27" s="372">
        <v>2000000</v>
      </c>
      <c r="AY27" s="504">
        <f t="shared" si="19"/>
        <v>2000</v>
      </c>
      <c r="AZ27" s="504">
        <f t="shared" si="20"/>
        <v>0</v>
      </c>
      <c r="BA27" s="504">
        <f t="shared" si="21"/>
        <v>0</v>
      </c>
      <c r="BB27" s="504">
        <f t="shared" si="22"/>
        <v>2000</v>
      </c>
      <c r="BD27" s="782" t="s">
        <v>535</v>
      </c>
      <c r="BE27" s="644">
        <v>186039575</v>
      </c>
      <c r="BF27" s="650">
        <f t="shared" si="23"/>
        <v>186039.57500000001</v>
      </c>
      <c r="BH27" s="782" t="s">
        <v>531</v>
      </c>
      <c r="BI27" s="644">
        <v>2500000</v>
      </c>
      <c r="BJ27" s="644">
        <v>0</v>
      </c>
      <c r="BK27" s="644">
        <v>0</v>
      </c>
      <c r="BL27" s="644">
        <v>2500000</v>
      </c>
      <c r="BM27" s="548">
        <f t="shared" si="24"/>
        <v>2500</v>
      </c>
      <c r="BN27" s="548">
        <f t="shared" si="25"/>
        <v>0</v>
      </c>
      <c r="BO27" s="548">
        <f t="shared" si="26"/>
        <v>0</v>
      </c>
      <c r="BP27" s="650">
        <f t="shared" si="27"/>
        <v>2500</v>
      </c>
      <c r="BS27" s="373" t="s">
        <v>347</v>
      </c>
      <c r="BT27" s="597">
        <v>2226166964</v>
      </c>
      <c r="BU27" s="597">
        <f t="shared" si="28"/>
        <v>2226166.9640000002</v>
      </c>
      <c r="BW27" s="597" t="s">
        <v>531</v>
      </c>
      <c r="BX27" s="597">
        <v>2500000</v>
      </c>
      <c r="BY27" s="597">
        <v>0</v>
      </c>
      <c r="BZ27" s="597">
        <v>2500000</v>
      </c>
      <c r="CA27" s="597">
        <v>0</v>
      </c>
      <c r="CB27" s="597">
        <f t="shared" si="29"/>
        <v>2500</v>
      </c>
      <c r="CC27" s="597">
        <f t="shared" si="30"/>
        <v>0</v>
      </c>
      <c r="CD27" s="597">
        <f t="shared" si="31"/>
        <v>2500</v>
      </c>
      <c r="CE27" s="597">
        <f t="shared" si="32"/>
        <v>0</v>
      </c>
      <c r="CG27" s="373" t="s">
        <v>534</v>
      </c>
      <c r="CH27" s="597">
        <v>11434784</v>
      </c>
      <c r="CI27" s="597">
        <f t="shared" si="33"/>
        <v>11434.784</v>
      </c>
      <c r="CK27" s="371" t="s">
        <v>531</v>
      </c>
      <c r="CL27" s="372">
        <v>1500000</v>
      </c>
      <c r="CM27" s="372">
        <v>0</v>
      </c>
      <c r="CN27" s="372">
        <v>0</v>
      </c>
      <c r="CO27" s="372">
        <v>1500000</v>
      </c>
      <c r="CP27" s="597">
        <f t="shared" si="34"/>
        <v>1500</v>
      </c>
      <c r="CQ27" s="597">
        <f t="shared" si="35"/>
        <v>0</v>
      </c>
      <c r="CR27" s="597">
        <f t="shared" si="36"/>
        <v>0</v>
      </c>
      <c r="CS27" s="597">
        <f t="shared" si="37"/>
        <v>1500</v>
      </c>
      <c r="CU27" s="548"/>
      <c r="CV27" s="371" t="s">
        <v>532</v>
      </c>
      <c r="CW27" s="372">
        <v>12761774</v>
      </c>
      <c r="CX27" s="372">
        <f t="shared" si="38"/>
        <v>12761.773999999999</v>
      </c>
      <c r="CZ27" s="1059" t="s">
        <v>531</v>
      </c>
      <c r="DA27" s="1060">
        <v>1500000</v>
      </c>
      <c r="DB27" s="1060">
        <v>0</v>
      </c>
      <c r="DC27" s="1060">
        <v>0</v>
      </c>
      <c r="DD27" s="1060">
        <v>1500000</v>
      </c>
      <c r="DE27" s="1060">
        <f t="shared" si="39"/>
        <v>1500</v>
      </c>
      <c r="DF27" s="1060">
        <f t="shared" si="40"/>
        <v>0</v>
      </c>
      <c r="DG27" s="1060">
        <f t="shared" si="41"/>
        <v>0</v>
      </c>
      <c r="DH27" s="1060">
        <f t="shared" si="42"/>
        <v>1500</v>
      </c>
    </row>
    <row r="28" spans="1:112" x14ac:dyDescent="0.25">
      <c r="A28" s="504" t="s">
        <v>344</v>
      </c>
      <c r="B28" s="504">
        <v>1210551</v>
      </c>
      <c r="C28" s="504">
        <v>218404</v>
      </c>
      <c r="D28" s="504">
        <v>218404</v>
      </c>
      <c r="E28" s="504">
        <v>992147</v>
      </c>
      <c r="F28" s="504">
        <f t="shared" si="0"/>
        <v>1210.5509999999999</v>
      </c>
      <c r="G28" s="504">
        <f t="shared" si="1"/>
        <v>218.404</v>
      </c>
      <c r="H28" s="504">
        <f t="shared" si="2"/>
        <v>218.404</v>
      </c>
      <c r="I28" s="504">
        <f t="shared" si="3"/>
        <v>992.14700000000005</v>
      </c>
      <c r="L28" s="371" t="s">
        <v>536</v>
      </c>
      <c r="M28" s="372">
        <v>443012881</v>
      </c>
      <c r="N28" s="372">
        <f t="shared" si="4"/>
        <v>443012.88099999999</v>
      </c>
      <c r="P28" s="371" t="s">
        <v>344</v>
      </c>
      <c r="Q28" s="372">
        <v>1210551</v>
      </c>
      <c r="R28" s="372">
        <v>218404</v>
      </c>
      <c r="S28" s="372">
        <v>218404</v>
      </c>
      <c r="T28" s="372">
        <v>992147</v>
      </c>
      <c r="U28" s="372">
        <f t="shared" si="5"/>
        <v>1210.5509999999999</v>
      </c>
      <c r="V28" s="505">
        <f t="shared" si="6"/>
        <v>218.404</v>
      </c>
      <c r="W28" s="505">
        <f t="shared" si="7"/>
        <v>218.404</v>
      </c>
      <c r="X28" s="505">
        <f t="shared" si="8"/>
        <v>992.14700000000005</v>
      </c>
      <c r="AA28" s="371" t="s">
        <v>348</v>
      </c>
      <c r="AB28" s="372">
        <v>1671590953</v>
      </c>
      <c r="AC28" s="505">
        <f t="shared" si="9"/>
        <v>1671590.953</v>
      </c>
      <c r="AE28" s="373" t="s">
        <v>344</v>
      </c>
      <c r="AF28" s="504">
        <v>1210551</v>
      </c>
      <c r="AG28" s="504">
        <v>390868</v>
      </c>
      <c r="AH28" s="504">
        <v>390868</v>
      </c>
      <c r="AI28" s="504">
        <v>819683</v>
      </c>
      <c r="AJ28" s="504">
        <f t="shared" si="10"/>
        <v>1210.5509999999999</v>
      </c>
      <c r="AK28" s="504">
        <f t="shared" si="11"/>
        <v>390.86799999999999</v>
      </c>
      <c r="AL28" s="504">
        <f t="shared" si="12"/>
        <v>390.86799999999999</v>
      </c>
      <c r="AM28" s="504">
        <f t="shared" si="13"/>
        <v>819.68299999999999</v>
      </c>
      <c r="AP28" s="371" t="s">
        <v>532</v>
      </c>
      <c r="AQ28" s="372">
        <v>12999513</v>
      </c>
      <c r="AR28" s="372">
        <f t="shared" si="18"/>
        <v>12999.513000000001</v>
      </c>
      <c r="AT28" s="371" t="s">
        <v>344</v>
      </c>
      <c r="AU28" s="372">
        <v>1210551</v>
      </c>
      <c r="AV28" s="372">
        <v>390868</v>
      </c>
      <c r="AW28" s="372">
        <v>390868</v>
      </c>
      <c r="AX28" s="372">
        <v>819683</v>
      </c>
      <c r="AY28" s="504">
        <f t="shared" si="19"/>
        <v>1210.5509999999999</v>
      </c>
      <c r="AZ28" s="504">
        <f t="shared" si="20"/>
        <v>390.86799999999999</v>
      </c>
      <c r="BA28" s="504">
        <f t="shared" si="21"/>
        <v>390.86799999999999</v>
      </c>
      <c r="BB28" s="504">
        <f t="shared" si="22"/>
        <v>819.68299999999999</v>
      </c>
      <c r="BD28" s="782" t="s">
        <v>536</v>
      </c>
      <c r="BE28" s="644">
        <v>442563570</v>
      </c>
      <c r="BF28" s="650">
        <f t="shared" si="23"/>
        <v>442563.57</v>
      </c>
      <c r="BH28" s="782" t="s">
        <v>344</v>
      </c>
      <c r="BI28" s="644">
        <v>1210551</v>
      </c>
      <c r="BJ28" s="644">
        <v>390868</v>
      </c>
      <c r="BK28" s="644">
        <v>390868</v>
      </c>
      <c r="BL28" s="644">
        <v>819683</v>
      </c>
      <c r="BM28" s="548">
        <f t="shared" si="24"/>
        <v>1210.5509999999999</v>
      </c>
      <c r="BN28" s="548">
        <f t="shared" si="25"/>
        <v>390.86799999999999</v>
      </c>
      <c r="BO28" s="548">
        <f t="shared" si="26"/>
        <v>390.86799999999999</v>
      </c>
      <c r="BP28" s="650">
        <f t="shared" si="27"/>
        <v>819.68299999999999</v>
      </c>
      <c r="BS28" s="373" t="s">
        <v>348</v>
      </c>
      <c r="BT28" s="597">
        <v>1693369788</v>
      </c>
      <c r="BU28" s="597">
        <f t="shared" si="28"/>
        <v>1693369.7879999999</v>
      </c>
      <c r="BW28" s="597" t="s">
        <v>344</v>
      </c>
      <c r="BX28" s="597">
        <v>1230551</v>
      </c>
      <c r="BY28" s="597">
        <v>563332</v>
      </c>
      <c r="BZ28" s="597">
        <v>667219</v>
      </c>
      <c r="CA28" s="597">
        <v>563332</v>
      </c>
      <c r="CB28" s="597">
        <f t="shared" si="29"/>
        <v>1230.5509999999999</v>
      </c>
      <c r="CC28" s="597">
        <f t="shared" si="30"/>
        <v>563.33199999999999</v>
      </c>
      <c r="CD28" s="597">
        <f t="shared" si="31"/>
        <v>667.21900000000005</v>
      </c>
      <c r="CE28" s="597">
        <f t="shared" si="32"/>
        <v>563.33199999999999</v>
      </c>
      <c r="CG28" s="373" t="s">
        <v>535</v>
      </c>
      <c r="CH28" s="597">
        <v>189239595</v>
      </c>
      <c r="CI28" s="597">
        <f t="shared" si="33"/>
        <v>189239.595</v>
      </c>
      <c r="CK28" s="371" t="s">
        <v>344</v>
      </c>
      <c r="CL28" s="372">
        <v>1230551</v>
      </c>
      <c r="CM28" s="372">
        <v>563332</v>
      </c>
      <c r="CN28" s="372">
        <v>563332</v>
      </c>
      <c r="CO28" s="372">
        <v>667219</v>
      </c>
      <c r="CP28" s="597">
        <f t="shared" si="34"/>
        <v>1230.5509999999999</v>
      </c>
      <c r="CQ28" s="597">
        <f t="shared" si="35"/>
        <v>563.33199999999999</v>
      </c>
      <c r="CR28" s="597">
        <f t="shared" si="36"/>
        <v>563.33199999999999</v>
      </c>
      <c r="CS28" s="597">
        <f t="shared" si="37"/>
        <v>667.21900000000005</v>
      </c>
      <c r="CU28" s="548"/>
      <c r="CV28" s="371" t="s">
        <v>350</v>
      </c>
      <c r="CW28" s="372">
        <v>197594112</v>
      </c>
      <c r="CX28" s="372">
        <f t="shared" si="38"/>
        <v>197594.11199999999</v>
      </c>
      <c r="CZ28" s="1059" t="s">
        <v>344</v>
      </c>
      <c r="DA28" s="1060">
        <v>1230551</v>
      </c>
      <c r="DB28" s="1060">
        <v>563332</v>
      </c>
      <c r="DC28" s="1060">
        <v>563332</v>
      </c>
      <c r="DD28" s="1060">
        <v>667219</v>
      </c>
      <c r="DE28" s="1060">
        <f t="shared" si="39"/>
        <v>1230.5509999999999</v>
      </c>
      <c r="DF28" s="1060">
        <f t="shared" si="40"/>
        <v>563.33199999999999</v>
      </c>
      <c r="DG28" s="1060">
        <f t="shared" si="41"/>
        <v>563.33199999999999</v>
      </c>
      <c r="DH28" s="1060">
        <f t="shared" si="42"/>
        <v>667.21900000000005</v>
      </c>
    </row>
    <row r="29" spans="1:112" x14ac:dyDescent="0.25">
      <c r="A29" s="504" t="s">
        <v>345</v>
      </c>
      <c r="B29" s="504">
        <v>344954</v>
      </c>
      <c r="C29" s="504">
        <v>0</v>
      </c>
      <c r="D29" s="504">
        <v>0</v>
      </c>
      <c r="E29" s="504">
        <v>344954</v>
      </c>
      <c r="F29" s="504">
        <f t="shared" si="0"/>
        <v>344.95400000000001</v>
      </c>
      <c r="G29" s="504">
        <f t="shared" si="1"/>
        <v>0</v>
      </c>
      <c r="H29" s="504">
        <f t="shared" si="2"/>
        <v>0</v>
      </c>
      <c r="I29" s="504">
        <f t="shared" si="3"/>
        <v>344.95400000000001</v>
      </c>
      <c r="L29" s="371" t="s">
        <v>539</v>
      </c>
      <c r="M29" s="372">
        <v>728828</v>
      </c>
      <c r="N29" s="372">
        <f t="shared" si="4"/>
        <v>728.82799999999997</v>
      </c>
      <c r="P29" s="371" t="s">
        <v>345</v>
      </c>
      <c r="Q29" s="372">
        <v>344954</v>
      </c>
      <c r="R29" s="372">
        <v>0</v>
      </c>
      <c r="S29" s="372">
        <v>0</v>
      </c>
      <c r="T29" s="372">
        <v>344954</v>
      </c>
      <c r="U29" s="372">
        <f t="shared" si="5"/>
        <v>344.95400000000001</v>
      </c>
      <c r="V29" s="505">
        <f t="shared" si="6"/>
        <v>0</v>
      </c>
      <c r="W29" s="505">
        <f t="shared" si="7"/>
        <v>0</v>
      </c>
      <c r="X29" s="505">
        <f t="shared" si="8"/>
        <v>344.95400000000001</v>
      </c>
      <c r="AA29" s="371" t="s">
        <v>349</v>
      </c>
      <c r="AB29" s="372">
        <v>271832748</v>
      </c>
      <c r="AC29" s="505">
        <f t="shared" si="9"/>
        <v>271832.74800000002</v>
      </c>
      <c r="AE29" s="373" t="s">
        <v>345</v>
      </c>
      <c r="AF29" s="504">
        <v>344954</v>
      </c>
      <c r="AG29" s="504">
        <v>0</v>
      </c>
      <c r="AH29" s="504">
        <v>0</v>
      </c>
      <c r="AI29" s="504">
        <v>344954</v>
      </c>
      <c r="AJ29" s="504">
        <f t="shared" si="10"/>
        <v>344.95400000000001</v>
      </c>
      <c r="AK29" s="504">
        <f t="shared" si="11"/>
        <v>0</v>
      </c>
      <c r="AL29" s="504">
        <f t="shared" si="12"/>
        <v>0</v>
      </c>
      <c r="AM29" s="504">
        <f t="shared" si="13"/>
        <v>344.95400000000001</v>
      </c>
      <c r="AP29" s="371" t="s">
        <v>350</v>
      </c>
      <c r="AQ29" s="372">
        <v>195746611</v>
      </c>
      <c r="AR29" s="372">
        <f t="shared" si="18"/>
        <v>195746.611</v>
      </c>
      <c r="AT29" s="371" t="s">
        <v>345</v>
      </c>
      <c r="AU29" s="372">
        <v>344954</v>
      </c>
      <c r="AV29" s="372">
        <v>0</v>
      </c>
      <c r="AW29" s="372">
        <v>0</v>
      </c>
      <c r="AX29" s="372">
        <v>344954</v>
      </c>
      <c r="AY29" s="504">
        <f t="shared" si="19"/>
        <v>344.95400000000001</v>
      </c>
      <c r="AZ29" s="504">
        <f t="shared" si="20"/>
        <v>0</v>
      </c>
      <c r="BA29" s="504">
        <f t="shared" si="21"/>
        <v>0</v>
      </c>
      <c r="BB29" s="504">
        <f t="shared" si="22"/>
        <v>344.95400000000001</v>
      </c>
      <c r="BD29" s="782" t="s">
        <v>539</v>
      </c>
      <c r="BE29" s="644">
        <v>728828</v>
      </c>
      <c r="BF29" s="650">
        <f t="shared" si="23"/>
        <v>728.82799999999997</v>
      </c>
      <c r="BH29" s="782" t="s">
        <v>345</v>
      </c>
      <c r="BI29" s="644">
        <v>344954</v>
      </c>
      <c r="BJ29" s="644">
        <v>0</v>
      </c>
      <c r="BK29" s="644">
        <v>0</v>
      </c>
      <c r="BL29" s="644">
        <v>344954</v>
      </c>
      <c r="BM29" s="548">
        <f t="shared" si="24"/>
        <v>344.95400000000001</v>
      </c>
      <c r="BN29" s="548">
        <f t="shared" si="25"/>
        <v>0</v>
      </c>
      <c r="BO29" s="548">
        <f t="shared" si="26"/>
        <v>0</v>
      </c>
      <c r="BP29" s="650">
        <f t="shared" si="27"/>
        <v>344.95400000000001</v>
      </c>
      <c r="BS29" s="373" t="s">
        <v>349</v>
      </c>
      <c r="BT29" s="597">
        <v>275505691</v>
      </c>
      <c r="BU29" s="597">
        <f t="shared" si="28"/>
        <v>275505.69099999999</v>
      </c>
      <c r="BW29" s="597" t="s">
        <v>345</v>
      </c>
      <c r="BX29" s="597">
        <v>344954</v>
      </c>
      <c r="BY29" s="597">
        <v>0</v>
      </c>
      <c r="BZ29" s="597">
        <v>344954</v>
      </c>
      <c r="CA29" s="597">
        <v>0</v>
      </c>
      <c r="CB29" s="597">
        <f t="shared" si="29"/>
        <v>344.95400000000001</v>
      </c>
      <c r="CC29" s="597">
        <f t="shared" si="30"/>
        <v>0</v>
      </c>
      <c r="CD29" s="597">
        <f t="shared" si="31"/>
        <v>344.95400000000001</v>
      </c>
      <c r="CE29" s="597">
        <f t="shared" si="32"/>
        <v>0</v>
      </c>
      <c r="CG29" s="373" t="s">
        <v>536</v>
      </c>
      <c r="CH29" s="597">
        <v>446925790</v>
      </c>
      <c r="CI29" s="597">
        <f t="shared" si="33"/>
        <v>446925.79</v>
      </c>
      <c r="CK29" s="371" t="s">
        <v>345</v>
      </c>
      <c r="CL29" s="372">
        <v>344954</v>
      </c>
      <c r="CM29" s="372">
        <v>0</v>
      </c>
      <c r="CN29" s="372">
        <v>0</v>
      </c>
      <c r="CO29" s="372">
        <v>344954</v>
      </c>
      <c r="CP29" s="597">
        <f t="shared" si="34"/>
        <v>344.95400000000001</v>
      </c>
      <c r="CQ29" s="597">
        <f t="shared" si="35"/>
        <v>0</v>
      </c>
      <c r="CR29" s="597">
        <f t="shared" si="36"/>
        <v>0</v>
      </c>
      <c r="CS29" s="597">
        <f t="shared" si="37"/>
        <v>344.95400000000001</v>
      </c>
      <c r="CU29" s="548"/>
      <c r="CV29" s="371" t="s">
        <v>351</v>
      </c>
      <c r="CW29" s="372">
        <v>25876460</v>
      </c>
      <c r="CX29" s="372">
        <f t="shared" si="38"/>
        <v>25876.46</v>
      </c>
      <c r="CZ29" s="1059" t="s">
        <v>345</v>
      </c>
      <c r="DA29" s="1060">
        <v>344954</v>
      </c>
      <c r="DB29" s="1060">
        <v>0</v>
      </c>
      <c r="DC29" s="1060">
        <v>0</v>
      </c>
      <c r="DD29" s="1060">
        <v>344954</v>
      </c>
      <c r="DE29" s="1060">
        <f t="shared" si="39"/>
        <v>344.95400000000001</v>
      </c>
      <c r="DF29" s="1060">
        <f t="shared" si="40"/>
        <v>0</v>
      </c>
      <c r="DG29" s="1060">
        <f t="shared" si="41"/>
        <v>0</v>
      </c>
      <c r="DH29" s="1060">
        <f t="shared" si="42"/>
        <v>344.95400000000001</v>
      </c>
    </row>
    <row r="30" spans="1:112" x14ac:dyDescent="0.25">
      <c r="A30" s="504" t="s">
        <v>457</v>
      </c>
      <c r="B30" s="504">
        <v>326529</v>
      </c>
      <c r="C30" s="504">
        <v>0</v>
      </c>
      <c r="D30" s="504">
        <v>0</v>
      </c>
      <c r="E30" s="504">
        <v>326529</v>
      </c>
      <c r="F30" s="504">
        <f t="shared" si="0"/>
        <v>326.529</v>
      </c>
      <c r="G30" s="504">
        <f t="shared" si="1"/>
        <v>0</v>
      </c>
      <c r="H30" s="504">
        <f t="shared" si="2"/>
        <v>0</v>
      </c>
      <c r="I30" s="504">
        <f t="shared" si="3"/>
        <v>326.529</v>
      </c>
      <c r="L30" s="371" t="s">
        <v>352</v>
      </c>
      <c r="M30" s="372">
        <v>40988816</v>
      </c>
      <c r="N30" s="372">
        <f t="shared" si="4"/>
        <v>40988.815999999999</v>
      </c>
      <c r="P30" s="371" t="s">
        <v>457</v>
      </c>
      <c r="Q30" s="372">
        <v>326529</v>
      </c>
      <c r="R30" s="372">
        <v>0</v>
      </c>
      <c r="S30" s="372">
        <v>0</v>
      </c>
      <c r="T30" s="372">
        <v>326529</v>
      </c>
      <c r="U30" s="372">
        <f t="shared" si="5"/>
        <v>326.529</v>
      </c>
      <c r="V30" s="505">
        <f t="shared" si="6"/>
        <v>0</v>
      </c>
      <c r="W30" s="505">
        <f t="shared" si="7"/>
        <v>0</v>
      </c>
      <c r="X30" s="505">
        <f t="shared" si="8"/>
        <v>326.529</v>
      </c>
      <c r="AA30" s="371" t="s">
        <v>532</v>
      </c>
      <c r="AB30" s="372">
        <v>12933252</v>
      </c>
      <c r="AC30" s="505">
        <f t="shared" si="9"/>
        <v>12933.252</v>
      </c>
      <c r="AE30" s="373" t="s">
        <v>457</v>
      </c>
      <c r="AF30" s="504">
        <v>326529</v>
      </c>
      <c r="AG30" s="504">
        <v>172464</v>
      </c>
      <c r="AH30" s="504">
        <v>172464</v>
      </c>
      <c r="AI30" s="504">
        <v>154065</v>
      </c>
      <c r="AJ30" s="504">
        <f t="shared" si="10"/>
        <v>326.529</v>
      </c>
      <c r="AK30" s="504">
        <f t="shared" si="11"/>
        <v>172.464</v>
      </c>
      <c r="AL30" s="504">
        <f t="shared" si="12"/>
        <v>172.464</v>
      </c>
      <c r="AM30" s="504">
        <f t="shared" si="13"/>
        <v>154.065</v>
      </c>
      <c r="AP30" s="371" t="s">
        <v>351</v>
      </c>
      <c r="AQ30" s="372">
        <v>24695777</v>
      </c>
      <c r="AR30" s="372">
        <f t="shared" si="18"/>
        <v>24695.776999999998</v>
      </c>
      <c r="AT30" s="371" t="s">
        <v>457</v>
      </c>
      <c r="AU30" s="372">
        <v>326529</v>
      </c>
      <c r="AV30" s="372">
        <v>172464</v>
      </c>
      <c r="AW30" s="372">
        <v>172464</v>
      </c>
      <c r="AX30" s="372">
        <v>154065</v>
      </c>
      <c r="AY30" s="504">
        <f t="shared" si="19"/>
        <v>326.529</v>
      </c>
      <c r="AZ30" s="504">
        <f t="shared" si="20"/>
        <v>172.464</v>
      </c>
      <c r="BA30" s="504">
        <f t="shared" si="21"/>
        <v>172.464</v>
      </c>
      <c r="BB30" s="504">
        <f t="shared" si="22"/>
        <v>154.065</v>
      </c>
      <c r="BD30" s="782" t="s">
        <v>352</v>
      </c>
      <c r="BE30" s="644">
        <v>45404146</v>
      </c>
      <c r="BF30" s="650">
        <f t="shared" si="23"/>
        <v>45404.146000000001</v>
      </c>
      <c r="BH30" s="782" t="s">
        <v>457</v>
      </c>
      <c r="BI30" s="644">
        <v>326529</v>
      </c>
      <c r="BJ30" s="644">
        <v>172464</v>
      </c>
      <c r="BK30" s="644">
        <v>172464</v>
      </c>
      <c r="BL30" s="644">
        <v>154065</v>
      </c>
      <c r="BM30" s="548">
        <f t="shared" si="24"/>
        <v>326.529</v>
      </c>
      <c r="BN30" s="548">
        <f t="shared" si="25"/>
        <v>172.464</v>
      </c>
      <c r="BO30" s="548">
        <f t="shared" si="26"/>
        <v>172.464</v>
      </c>
      <c r="BP30" s="650">
        <f t="shared" si="27"/>
        <v>154.065</v>
      </c>
      <c r="BS30" s="373" t="s">
        <v>532</v>
      </c>
      <c r="BT30" s="597">
        <v>13120012</v>
      </c>
      <c r="BU30" s="597">
        <f t="shared" si="28"/>
        <v>13120.012000000001</v>
      </c>
      <c r="BW30" s="597" t="s">
        <v>457</v>
      </c>
      <c r="BX30" s="597">
        <v>346529</v>
      </c>
      <c r="BY30" s="597">
        <v>344928</v>
      </c>
      <c r="BZ30" s="597">
        <v>1601</v>
      </c>
      <c r="CA30" s="597">
        <v>344928</v>
      </c>
      <c r="CB30" s="597">
        <f t="shared" si="29"/>
        <v>346.529</v>
      </c>
      <c r="CC30" s="597">
        <f t="shared" si="30"/>
        <v>344.928</v>
      </c>
      <c r="CD30" s="597">
        <f t="shared" si="31"/>
        <v>1.601</v>
      </c>
      <c r="CE30" s="597">
        <f t="shared" si="32"/>
        <v>344.928</v>
      </c>
      <c r="CG30" s="373" t="s">
        <v>539</v>
      </c>
      <c r="CH30" s="597">
        <v>733494</v>
      </c>
      <c r="CI30" s="597">
        <f t="shared" si="33"/>
        <v>733.49400000000003</v>
      </c>
      <c r="CK30" s="371" t="s">
        <v>457</v>
      </c>
      <c r="CL30" s="372">
        <v>346529</v>
      </c>
      <c r="CM30" s="372">
        <v>344928</v>
      </c>
      <c r="CN30" s="372">
        <v>344928</v>
      </c>
      <c r="CO30" s="372">
        <v>1601</v>
      </c>
      <c r="CP30" s="597">
        <f t="shared" si="34"/>
        <v>346.529</v>
      </c>
      <c r="CQ30" s="597">
        <f t="shared" si="35"/>
        <v>344.928</v>
      </c>
      <c r="CR30" s="597">
        <f t="shared" si="36"/>
        <v>344.928</v>
      </c>
      <c r="CS30" s="597">
        <f t="shared" si="37"/>
        <v>1.601</v>
      </c>
      <c r="CU30" s="548"/>
      <c r="CV30" s="371" t="s">
        <v>534</v>
      </c>
      <c r="CW30" s="372">
        <v>11434784</v>
      </c>
      <c r="CX30" s="372">
        <f t="shared" si="38"/>
        <v>11434.784</v>
      </c>
      <c r="CZ30" s="1059" t="s">
        <v>457</v>
      </c>
      <c r="DA30" s="1060">
        <v>346529</v>
      </c>
      <c r="DB30" s="1060">
        <v>344928</v>
      </c>
      <c r="DC30" s="1060">
        <v>344928</v>
      </c>
      <c r="DD30" s="1060">
        <v>1601</v>
      </c>
      <c r="DE30" s="1060">
        <f t="shared" si="39"/>
        <v>346.529</v>
      </c>
      <c r="DF30" s="1060">
        <f t="shared" si="40"/>
        <v>344.928</v>
      </c>
      <c r="DG30" s="1060">
        <f t="shared" si="41"/>
        <v>344.928</v>
      </c>
      <c r="DH30" s="1060">
        <f t="shared" si="42"/>
        <v>1.601</v>
      </c>
    </row>
    <row r="31" spans="1:112" x14ac:dyDescent="0.25">
      <c r="A31" s="504" t="s">
        <v>346</v>
      </c>
      <c r="B31" s="504">
        <v>539068</v>
      </c>
      <c r="C31" s="504">
        <v>218404</v>
      </c>
      <c r="D31" s="504">
        <v>218404</v>
      </c>
      <c r="E31" s="504">
        <v>320664</v>
      </c>
      <c r="F31" s="504">
        <f t="shared" si="0"/>
        <v>539.06799999999998</v>
      </c>
      <c r="G31" s="504">
        <f t="shared" si="1"/>
        <v>218.404</v>
      </c>
      <c r="H31" s="504">
        <f t="shared" si="2"/>
        <v>218.404</v>
      </c>
      <c r="I31" s="504">
        <f t="shared" si="3"/>
        <v>320.66399999999999</v>
      </c>
      <c r="L31" s="371" t="s">
        <v>541</v>
      </c>
      <c r="M31" s="372">
        <v>40988816</v>
      </c>
      <c r="N31" s="372">
        <f t="shared" si="4"/>
        <v>40988.815999999999</v>
      </c>
      <c r="P31" s="371" t="s">
        <v>346</v>
      </c>
      <c r="Q31" s="372">
        <v>539068</v>
      </c>
      <c r="R31" s="372">
        <v>218404</v>
      </c>
      <c r="S31" s="372">
        <v>218404</v>
      </c>
      <c r="T31" s="372">
        <v>320664</v>
      </c>
      <c r="U31" s="372">
        <f t="shared" si="5"/>
        <v>539.06799999999998</v>
      </c>
      <c r="V31" s="505">
        <f t="shared" si="6"/>
        <v>218.404</v>
      </c>
      <c r="W31" s="505">
        <f t="shared" si="7"/>
        <v>218.404</v>
      </c>
      <c r="X31" s="505">
        <f t="shared" si="8"/>
        <v>320.66399999999999</v>
      </c>
      <c r="AA31" s="371" t="s">
        <v>350</v>
      </c>
      <c r="AB31" s="372">
        <v>194460593</v>
      </c>
      <c r="AC31" s="505">
        <f t="shared" si="9"/>
        <v>194460.59299999999</v>
      </c>
      <c r="AE31" s="373" t="s">
        <v>346</v>
      </c>
      <c r="AF31" s="504">
        <v>539068</v>
      </c>
      <c r="AG31" s="504">
        <v>218404</v>
      </c>
      <c r="AH31" s="504">
        <v>218404</v>
      </c>
      <c r="AI31" s="504">
        <v>320664</v>
      </c>
      <c r="AJ31" s="504">
        <f t="shared" si="10"/>
        <v>539.06799999999998</v>
      </c>
      <c r="AK31" s="504">
        <f t="shared" si="11"/>
        <v>218.404</v>
      </c>
      <c r="AL31" s="504">
        <f t="shared" si="12"/>
        <v>218.404</v>
      </c>
      <c r="AM31" s="504">
        <f t="shared" si="13"/>
        <v>320.66399999999999</v>
      </c>
      <c r="AP31" s="371" t="s">
        <v>534</v>
      </c>
      <c r="AQ31" s="372">
        <v>10343364</v>
      </c>
      <c r="AR31" s="372">
        <f t="shared" si="18"/>
        <v>10343.364</v>
      </c>
      <c r="AT31" s="371" t="s">
        <v>346</v>
      </c>
      <c r="AU31" s="372">
        <v>539068</v>
      </c>
      <c r="AV31" s="372">
        <v>218404</v>
      </c>
      <c r="AW31" s="372">
        <v>218404</v>
      </c>
      <c r="AX31" s="372">
        <v>320664</v>
      </c>
      <c r="AY31" s="504">
        <f t="shared" si="19"/>
        <v>539.06799999999998</v>
      </c>
      <c r="AZ31" s="504">
        <f t="shared" si="20"/>
        <v>218.404</v>
      </c>
      <c r="BA31" s="504">
        <f t="shared" si="21"/>
        <v>218.404</v>
      </c>
      <c r="BB31" s="504">
        <f t="shared" si="22"/>
        <v>320.66399999999999</v>
      </c>
      <c r="BD31" s="782" t="s">
        <v>541</v>
      </c>
      <c r="BE31" s="644">
        <v>45404146</v>
      </c>
      <c r="BF31" s="650">
        <f t="shared" si="23"/>
        <v>45404.146000000001</v>
      </c>
      <c r="BH31" s="782" t="s">
        <v>346</v>
      </c>
      <c r="BI31" s="644">
        <v>539068</v>
      </c>
      <c r="BJ31" s="644">
        <v>218404</v>
      </c>
      <c r="BK31" s="644">
        <v>218404</v>
      </c>
      <c r="BL31" s="644">
        <v>320664</v>
      </c>
      <c r="BM31" s="548">
        <f t="shared" si="24"/>
        <v>539.06799999999998</v>
      </c>
      <c r="BN31" s="548">
        <f t="shared" si="25"/>
        <v>218.404</v>
      </c>
      <c r="BO31" s="548">
        <f t="shared" si="26"/>
        <v>218.404</v>
      </c>
      <c r="BP31" s="650">
        <f t="shared" si="27"/>
        <v>320.66399999999999</v>
      </c>
      <c r="BS31" s="373" t="s">
        <v>350</v>
      </c>
      <c r="BT31" s="597">
        <v>196614927</v>
      </c>
      <c r="BU31" s="597">
        <f t="shared" si="28"/>
        <v>196614.927</v>
      </c>
      <c r="BW31" s="597" t="s">
        <v>346</v>
      </c>
      <c r="BX31" s="597">
        <v>539068</v>
      </c>
      <c r="BY31" s="597">
        <v>218404</v>
      </c>
      <c r="BZ31" s="597">
        <v>320664</v>
      </c>
      <c r="CA31" s="597">
        <v>218404</v>
      </c>
      <c r="CB31" s="597">
        <f t="shared" si="29"/>
        <v>539.06799999999998</v>
      </c>
      <c r="CC31" s="597">
        <f t="shared" si="30"/>
        <v>218.404</v>
      </c>
      <c r="CD31" s="597">
        <f t="shared" si="31"/>
        <v>320.66399999999999</v>
      </c>
      <c r="CE31" s="597">
        <f t="shared" si="32"/>
        <v>218.404</v>
      </c>
      <c r="CG31" s="373" t="s">
        <v>352</v>
      </c>
      <c r="CH31" s="597">
        <v>51558483</v>
      </c>
      <c r="CI31" s="597">
        <f t="shared" si="33"/>
        <v>51558.483</v>
      </c>
      <c r="CK31" s="371" t="s">
        <v>346</v>
      </c>
      <c r="CL31" s="372">
        <v>539068</v>
      </c>
      <c r="CM31" s="372">
        <v>218404</v>
      </c>
      <c r="CN31" s="372">
        <v>218404</v>
      </c>
      <c r="CO31" s="372">
        <v>320664</v>
      </c>
      <c r="CP31" s="597">
        <f t="shared" si="34"/>
        <v>539.06799999999998</v>
      </c>
      <c r="CQ31" s="597">
        <f t="shared" si="35"/>
        <v>218.404</v>
      </c>
      <c r="CR31" s="597">
        <f t="shared" si="36"/>
        <v>218.404</v>
      </c>
      <c r="CS31" s="597">
        <f t="shared" si="37"/>
        <v>320.66399999999999</v>
      </c>
      <c r="CU31" s="548"/>
      <c r="CV31" s="371" t="s">
        <v>535</v>
      </c>
      <c r="CW31" s="372">
        <v>188458002</v>
      </c>
      <c r="CX31" s="372">
        <f t="shared" si="38"/>
        <v>188458.00200000001</v>
      </c>
      <c r="CZ31" s="1059" t="s">
        <v>346</v>
      </c>
      <c r="DA31" s="1060">
        <v>539068</v>
      </c>
      <c r="DB31" s="1060">
        <v>218404</v>
      </c>
      <c r="DC31" s="1060">
        <v>218404</v>
      </c>
      <c r="DD31" s="1060">
        <v>320664</v>
      </c>
      <c r="DE31" s="1060">
        <f t="shared" si="39"/>
        <v>539.06799999999998</v>
      </c>
      <c r="DF31" s="1060">
        <f t="shared" si="40"/>
        <v>218.404</v>
      </c>
      <c r="DG31" s="1060">
        <f t="shared" si="41"/>
        <v>218.404</v>
      </c>
      <c r="DH31" s="1060">
        <f t="shared" si="42"/>
        <v>320.66399999999999</v>
      </c>
    </row>
    <row r="32" spans="1:112" x14ac:dyDescent="0.25">
      <c r="A32" s="504" t="s">
        <v>347</v>
      </c>
      <c r="B32" s="504">
        <v>17887240325</v>
      </c>
      <c r="C32" s="504">
        <v>1228669421</v>
      </c>
      <c r="D32" s="504">
        <v>1228669421</v>
      </c>
      <c r="E32" s="504">
        <v>16658570904</v>
      </c>
      <c r="F32" s="504">
        <f t="shared" si="0"/>
        <v>17887240.324999999</v>
      </c>
      <c r="G32" s="504">
        <f t="shared" si="1"/>
        <v>1228669.4210000001</v>
      </c>
      <c r="H32" s="504">
        <f t="shared" si="2"/>
        <v>1228669.4210000001</v>
      </c>
      <c r="I32" s="504">
        <f t="shared" si="3"/>
        <v>16658570.903999999</v>
      </c>
      <c r="L32" s="371" t="s">
        <v>354</v>
      </c>
      <c r="M32" s="372">
        <v>29558673</v>
      </c>
      <c r="N32" s="372">
        <f t="shared" si="4"/>
        <v>29558.672999999999</v>
      </c>
      <c r="P32" s="371" t="s">
        <v>347</v>
      </c>
      <c r="Q32" s="372">
        <v>17887240325</v>
      </c>
      <c r="R32" s="372">
        <v>2445376381</v>
      </c>
      <c r="S32" s="372">
        <v>2445376381</v>
      </c>
      <c r="T32" s="372">
        <v>15441863944</v>
      </c>
      <c r="U32" s="372">
        <f t="shared" si="5"/>
        <v>17887240.324999999</v>
      </c>
      <c r="V32" s="505">
        <f t="shared" si="6"/>
        <v>2445376.3810000001</v>
      </c>
      <c r="W32" s="505">
        <f t="shared" si="7"/>
        <v>2445376.3810000001</v>
      </c>
      <c r="X32" s="505">
        <f t="shared" si="8"/>
        <v>15441863.944</v>
      </c>
      <c r="AA32" s="371" t="s">
        <v>351</v>
      </c>
      <c r="AB32" s="372">
        <v>24524521</v>
      </c>
      <c r="AC32" s="505">
        <f t="shared" si="9"/>
        <v>24524.521000000001</v>
      </c>
      <c r="AE32" s="373" t="s">
        <v>347</v>
      </c>
      <c r="AF32" s="504">
        <v>17887240325</v>
      </c>
      <c r="AG32" s="504">
        <v>4639870245</v>
      </c>
      <c r="AH32" s="504">
        <v>4639870245</v>
      </c>
      <c r="AI32" s="504">
        <v>13247370080</v>
      </c>
      <c r="AJ32" s="504">
        <f t="shared" si="10"/>
        <v>17887240.324999999</v>
      </c>
      <c r="AK32" s="504">
        <f t="shared" si="11"/>
        <v>4639870.2450000001</v>
      </c>
      <c r="AL32" s="504">
        <f t="shared" si="12"/>
        <v>4639870.2450000001</v>
      </c>
      <c r="AM32" s="504">
        <f t="shared" si="13"/>
        <v>13247370.08</v>
      </c>
      <c r="AP32" s="371" t="s">
        <v>535</v>
      </c>
      <c r="AQ32" s="372">
        <v>191904034</v>
      </c>
      <c r="AR32" s="372">
        <f t="shared" si="18"/>
        <v>191904.03400000001</v>
      </c>
      <c r="AT32" s="371" t="s">
        <v>347</v>
      </c>
      <c r="AU32" s="372">
        <v>17887207276</v>
      </c>
      <c r="AV32" s="372">
        <v>5884142094</v>
      </c>
      <c r="AW32" s="372">
        <v>5884142094</v>
      </c>
      <c r="AX32" s="372">
        <v>12003065182</v>
      </c>
      <c r="AY32" s="504">
        <f t="shared" si="19"/>
        <v>17887207.276000001</v>
      </c>
      <c r="AZ32" s="504">
        <f t="shared" si="20"/>
        <v>5884142.0939999996</v>
      </c>
      <c r="BA32" s="504">
        <f t="shared" si="21"/>
        <v>5884142.0939999996</v>
      </c>
      <c r="BB32" s="504">
        <f t="shared" si="22"/>
        <v>12003065.182</v>
      </c>
      <c r="BD32" s="782" t="s">
        <v>354</v>
      </c>
      <c r="BE32" s="644">
        <v>31466871</v>
      </c>
      <c r="BF32" s="650">
        <f t="shared" si="23"/>
        <v>31466.870999999999</v>
      </c>
      <c r="BH32" s="782" t="s">
        <v>347</v>
      </c>
      <c r="BI32" s="644">
        <v>17884404758</v>
      </c>
      <c r="BJ32" s="644">
        <v>7107246645</v>
      </c>
      <c r="BK32" s="644">
        <v>7107246645</v>
      </c>
      <c r="BL32" s="644">
        <v>10777158113</v>
      </c>
      <c r="BM32" s="548">
        <f t="shared" si="24"/>
        <v>17884404.758000001</v>
      </c>
      <c r="BN32" s="548">
        <f t="shared" si="25"/>
        <v>7107246.6449999996</v>
      </c>
      <c r="BO32" s="548">
        <f t="shared" si="26"/>
        <v>7107246.6449999996</v>
      </c>
      <c r="BP32" s="650">
        <f t="shared" si="27"/>
        <v>10777158.113</v>
      </c>
      <c r="BS32" s="373" t="s">
        <v>351</v>
      </c>
      <c r="BT32" s="597">
        <v>25363046</v>
      </c>
      <c r="BU32" s="597">
        <f t="shared" si="28"/>
        <v>25363.045999999998</v>
      </c>
      <c r="BW32" s="597" t="s">
        <v>347</v>
      </c>
      <c r="BX32" s="597">
        <v>17846431758</v>
      </c>
      <c r="BY32" s="597">
        <v>9333413609</v>
      </c>
      <c r="BZ32" s="597">
        <v>8513018149</v>
      </c>
      <c r="CA32" s="597">
        <v>9333413609</v>
      </c>
      <c r="CB32" s="597">
        <f t="shared" si="29"/>
        <v>17846431.758000001</v>
      </c>
      <c r="CC32" s="597">
        <f t="shared" si="30"/>
        <v>9333413.6089999992</v>
      </c>
      <c r="CD32" s="597">
        <f t="shared" si="31"/>
        <v>8513018.1490000002</v>
      </c>
      <c r="CE32" s="597">
        <f t="shared" si="32"/>
        <v>9333413.6089999992</v>
      </c>
      <c r="CG32" s="373" t="s">
        <v>540</v>
      </c>
      <c r="CH32" s="597">
        <v>4457450</v>
      </c>
      <c r="CI32" s="597">
        <f t="shared" si="33"/>
        <v>4457.45</v>
      </c>
      <c r="CK32" s="371" t="s">
        <v>347</v>
      </c>
      <c r="CL32" s="372">
        <v>17847464807</v>
      </c>
      <c r="CM32" s="372">
        <v>10583192951</v>
      </c>
      <c r="CN32" s="372">
        <v>10583192951</v>
      </c>
      <c r="CO32" s="372">
        <v>7264271856</v>
      </c>
      <c r="CP32" s="597">
        <f t="shared" si="34"/>
        <v>17847464.807</v>
      </c>
      <c r="CQ32" s="597">
        <f t="shared" si="35"/>
        <v>10583192.950999999</v>
      </c>
      <c r="CR32" s="597">
        <f t="shared" si="36"/>
        <v>10583192.950999999</v>
      </c>
      <c r="CS32" s="597">
        <f t="shared" si="37"/>
        <v>7264271.8559999997</v>
      </c>
      <c r="CU32" s="548"/>
      <c r="CV32" s="371" t="s">
        <v>536</v>
      </c>
      <c r="CW32" s="372">
        <v>445357658</v>
      </c>
      <c r="CX32" s="372">
        <f t="shared" si="38"/>
        <v>445357.658</v>
      </c>
      <c r="CZ32" s="1059" t="s">
        <v>347</v>
      </c>
      <c r="DA32" s="1060">
        <v>17847341801</v>
      </c>
      <c r="DB32" s="1060">
        <v>11837115856</v>
      </c>
      <c r="DC32" s="1060">
        <v>11837115856</v>
      </c>
      <c r="DD32" s="1060">
        <v>6010225945</v>
      </c>
      <c r="DE32" s="1060">
        <f t="shared" si="39"/>
        <v>17847341.800999999</v>
      </c>
      <c r="DF32" s="1060">
        <f t="shared" si="40"/>
        <v>11837115.856000001</v>
      </c>
      <c r="DG32" s="1060">
        <f t="shared" si="41"/>
        <v>11837115.856000001</v>
      </c>
      <c r="DH32" s="1060">
        <f t="shared" si="42"/>
        <v>6010225.9450000003</v>
      </c>
    </row>
    <row r="33" spans="1:112" x14ac:dyDescent="0.25">
      <c r="A33" s="504" t="s">
        <v>348</v>
      </c>
      <c r="B33" s="504">
        <v>15141014982</v>
      </c>
      <c r="C33" s="504">
        <v>1126633495</v>
      </c>
      <c r="D33" s="504">
        <v>1126633495</v>
      </c>
      <c r="E33" s="504">
        <v>14014381487</v>
      </c>
      <c r="F33" s="504">
        <f t="shared" si="0"/>
        <v>15141014.982000001</v>
      </c>
      <c r="G33" s="504">
        <f t="shared" si="1"/>
        <v>1126633.4950000001</v>
      </c>
      <c r="H33" s="504">
        <f t="shared" si="2"/>
        <v>1126633.4950000001</v>
      </c>
      <c r="I33" s="504">
        <f t="shared" si="3"/>
        <v>14014381.487</v>
      </c>
      <c r="L33" s="371" t="s">
        <v>544</v>
      </c>
      <c r="M33" s="372">
        <v>18554160</v>
      </c>
      <c r="N33" s="372">
        <f t="shared" si="4"/>
        <v>18554.16</v>
      </c>
      <c r="P33" s="371" t="s">
        <v>348</v>
      </c>
      <c r="Q33" s="372">
        <v>15141014982</v>
      </c>
      <c r="R33" s="372">
        <v>2272792966</v>
      </c>
      <c r="S33" s="372">
        <v>2272792966</v>
      </c>
      <c r="T33" s="372">
        <v>12868222016</v>
      </c>
      <c r="U33" s="372">
        <f t="shared" si="5"/>
        <v>15141014.982000001</v>
      </c>
      <c r="V33" s="505">
        <f t="shared" si="6"/>
        <v>2272792.966</v>
      </c>
      <c r="W33" s="505">
        <f t="shared" si="7"/>
        <v>2272792.966</v>
      </c>
      <c r="X33" s="505">
        <f t="shared" si="8"/>
        <v>12868222.016000001</v>
      </c>
      <c r="AA33" s="371" t="s">
        <v>534</v>
      </c>
      <c r="AB33" s="372">
        <v>10343364</v>
      </c>
      <c r="AC33" s="505">
        <f t="shared" si="9"/>
        <v>10343.364</v>
      </c>
      <c r="AE33" s="373" t="s">
        <v>348</v>
      </c>
      <c r="AF33" s="504">
        <v>15141014982</v>
      </c>
      <c r="AG33" s="504">
        <v>3944383919</v>
      </c>
      <c r="AH33" s="504">
        <v>3944383919</v>
      </c>
      <c r="AI33" s="504">
        <v>11196631063</v>
      </c>
      <c r="AJ33" s="504">
        <f t="shared" si="10"/>
        <v>15141014.982000001</v>
      </c>
      <c r="AK33" s="504">
        <f t="shared" si="11"/>
        <v>3944383.9190000002</v>
      </c>
      <c r="AL33" s="504">
        <f t="shared" si="12"/>
        <v>3944383.9190000002</v>
      </c>
      <c r="AM33" s="504">
        <f t="shared" si="13"/>
        <v>11196631.062999999</v>
      </c>
      <c r="AP33" s="371" t="s">
        <v>536</v>
      </c>
      <c r="AQ33" s="372">
        <v>443500644</v>
      </c>
      <c r="AR33" s="372">
        <f t="shared" si="18"/>
        <v>443500.64399999997</v>
      </c>
      <c r="AT33" s="371" t="s">
        <v>348</v>
      </c>
      <c r="AU33" s="372">
        <v>15141014982</v>
      </c>
      <c r="AV33" s="372">
        <v>5099689315</v>
      </c>
      <c r="AW33" s="372">
        <v>5099689315</v>
      </c>
      <c r="AX33" s="372">
        <v>10041325667</v>
      </c>
      <c r="AY33" s="504">
        <f t="shared" si="19"/>
        <v>15141014.982000001</v>
      </c>
      <c r="AZ33" s="504">
        <f t="shared" si="20"/>
        <v>5099689.3150000004</v>
      </c>
      <c r="BA33" s="504">
        <f t="shared" si="21"/>
        <v>5099689.3150000004</v>
      </c>
      <c r="BB33" s="504">
        <f t="shared" si="22"/>
        <v>10041325.666999999</v>
      </c>
      <c r="BD33" s="782" t="s">
        <v>544</v>
      </c>
      <c r="BE33" s="644">
        <v>20708315</v>
      </c>
      <c r="BF33" s="650">
        <f t="shared" si="23"/>
        <v>20708.314999999999</v>
      </c>
      <c r="BH33" s="782" t="s">
        <v>348</v>
      </c>
      <c r="BI33" s="644">
        <v>15138212464</v>
      </c>
      <c r="BJ33" s="644">
        <v>6245922849</v>
      </c>
      <c r="BK33" s="644">
        <v>6245922849</v>
      </c>
      <c r="BL33" s="644">
        <v>8892289615</v>
      </c>
      <c r="BM33" s="548">
        <f t="shared" si="24"/>
        <v>15138212.464</v>
      </c>
      <c r="BN33" s="548">
        <f t="shared" si="25"/>
        <v>6245922.8490000004</v>
      </c>
      <c r="BO33" s="548">
        <f t="shared" si="26"/>
        <v>6245922.8490000004</v>
      </c>
      <c r="BP33" s="650">
        <f t="shared" si="27"/>
        <v>8892289.6150000002</v>
      </c>
      <c r="BS33" s="373" t="s">
        <v>534</v>
      </c>
      <c r="BT33" s="597">
        <v>10805133</v>
      </c>
      <c r="BU33" s="597">
        <f t="shared" si="28"/>
        <v>10805.133</v>
      </c>
      <c r="BW33" s="597" t="s">
        <v>348</v>
      </c>
      <c r="BX33" s="597">
        <v>15100206415</v>
      </c>
      <c r="BY33" s="597">
        <v>7939292637</v>
      </c>
      <c r="BZ33" s="597">
        <v>7160913778</v>
      </c>
      <c r="CA33" s="597">
        <v>7939292637</v>
      </c>
      <c r="CB33" s="597">
        <f t="shared" si="29"/>
        <v>15100206.414999999</v>
      </c>
      <c r="CC33" s="597">
        <f t="shared" si="30"/>
        <v>7939292.6370000001</v>
      </c>
      <c r="CD33" s="597">
        <f t="shared" si="31"/>
        <v>7160913.7779999999</v>
      </c>
      <c r="CE33" s="597">
        <f t="shared" si="32"/>
        <v>7939292.6370000001</v>
      </c>
      <c r="CG33" s="373" t="s">
        <v>541</v>
      </c>
      <c r="CH33" s="597">
        <v>47101033</v>
      </c>
      <c r="CI33" s="597">
        <f t="shared" si="33"/>
        <v>47101.033000000003</v>
      </c>
      <c r="CK33" s="371" t="s">
        <v>348</v>
      </c>
      <c r="CL33" s="372">
        <v>15100239464</v>
      </c>
      <c r="CM33" s="372">
        <v>9106865003</v>
      </c>
      <c r="CN33" s="372">
        <v>9106865003</v>
      </c>
      <c r="CO33" s="372">
        <v>5993374461</v>
      </c>
      <c r="CP33" s="597">
        <f t="shared" si="34"/>
        <v>15100239.464</v>
      </c>
      <c r="CQ33" s="597">
        <f t="shared" si="35"/>
        <v>9106865.0030000005</v>
      </c>
      <c r="CR33" s="597">
        <f t="shared" si="36"/>
        <v>9106865.0030000005</v>
      </c>
      <c r="CS33" s="597">
        <f t="shared" si="37"/>
        <v>5993374.4610000001</v>
      </c>
      <c r="CU33" s="548"/>
      <c r="CV33" s="371" t="s">
        <v>539</v>
      </c>
      <c r="CW33" s="372">
        <v>733494</v>
      </c>
      <c r="CX33" s="372">
        <f t="shared" si="38"/>
        <v>733.49400000000003</v>
      </c>
      <c r="CZ33" s="1059" t="s">
        <v>348</v>
      </c>
      <c r="DA33" s="1060">
        <v>15100239464</v>
      </c>
      <c r="DB33" s="1060">
        <v>10265647790</v>
      </c>
      <c r="DC33" s="1060">
        <v>10265647790</v>
      </c>
      <c r="DD33" s="1060">
        <v>4834591674</v>
      </c>
      <c r="DE33" s="1060">
        <f t="shared" si="39"/>
        <v>15100239.464</v>
      </c>
      <c r="DF33" s="1060">
        <f t="shared" si="40"/>
        <v>10265647.789999999</v>
      </c>
      <c r="DG33" s="1060">
        <f t="shared" si="41"/>
        <v>10265647.789999999</v>
      </c>
      <c r="DH33" s="1060">
        <f t="shared" si="42"/>
        <v>4834591.6739999996</v>
      </c>
    </row>
    <row r="34" spans="1:112" x14ac:dyDescent="0.25">
      <c r="A34" s="504" t="s">
        <v>349</v>
      </c>
      <c r="B34" s="504">
        <v>3247279827</v>
      </c>
      <c r="C34" s="504">
        <v>269720898</v>
      </c>
      <c r="D34" s="504">
        <v>269720898</v>
      </c>
      <c r="E34" s="504">
        <v>2977558929</v>
      </c>
      <c r="F34" s="504">
        <f t="shared" si="0"/>
        <v>3247279.827</v>
      </c>
      <c r="G34" s="504">
        <f t="shared" si="1"/>
        <v>269720.89799999999</v>
      </c>
      <c r="H34" s="504">
        <f t="shared" si="2"/>
        <v>269720.89799999999</v>
      </c>
      <c r="I34" s="504">
        <f t="shared" si="3"/>
        <v>2977558.929</v>
      </c>
      <c r="L34" s="371" t="s">
        <v>545</v>
      </c>
      <c r="M34" s="372">
        <v>3793795</v>
      </c>
      <c r="N34" s="372">
        <f t="shared" si="4"/>
        <v>3793.7950000000001</v>
      </c>
      <c r="P34" s="371" t="s">
        <v>349</v>
      </c>
      <c r="Q34" s="372">
        <v>3247279827</v>
      </c>
      <c r="R34" s="372">
        <v>544172821</v>
      </c>
      <c r="S34" s="372">
        <v>544172821</v>
      </c>
      <c r="T34" s="372">
        <v>2703107006</v>
      </c>
      <c r="U34" s="372">
        <f t="shared" si="5"/>
        <v>3247279.827</v>
      </c>
      <c r="V34" s="505">
        <f t="shared" si="6"/>
        <v>544172.821</v>
      </c>
      <c r="W34" s="505">
        <f t="shared" si="7"/>
        <v>544172.821</v>
      </c>
      <c r="X34" s="505">
        <f t="shared" si="8"/>
        <v>2703107.0060000001</v>
      </c>
      <c r="AA34" s="371" t="s">
        <v>535</v>
      </c>
      <c r="AB34" s="372">
        <v>292338846</v>
      </c>
      <c r="AC34" s="505">
        <f t="shared" si="9"/>
        <v>292338.84600000002</v>
      </c>
      <c r="AE34" s="373" t="s">
        <v>349</v>
      </c>
      <c r="AF34" s="504">
        <v>3247279827</v>
      </c>
      <c r="AG34" s="504">
        <v>816005569</v>
      </c>
      <c r="AH34" s="504">
        <v>816005569</v>
      </c>
      <c r="AI34" s="504">
        <v>2431274258</v>
      </c>
      <c r="AJ34" s="504">
        <f t="shared" si="10"/>
        <v>3247279.827</v>
      </c>
      <c r="AK34" s="504">
        <f t="shared" si="11"/>
        <v>816005.56900000002</v>
      </c>
      <c r="AL34" s="504">
        <f t="shared" si="12"/>
        <v>816005.56900000002</v>
      </c>
      <c r="AM34" s="504">
        <f t="shared" si="13"/>
        <v>2431274.2579999999</v>
      </c>
      <c r="AP34" s="371" t="s">
        <v>537</v>
      </c>
      <c r="AQ34" s="372">
        <v>251497</v>
      </c>
      <c r="AR34" s="372">
        <f t="shared" si="18"/>
        <v>251.49700000000001</v>
      </c>
      <c r="AT34" s="371" t="s">
        <v>349</v>
      </c>
      <c r="AU34" s="372">
        <v>3247279827</v>
      </c>
      <c r="AV34" s="372">
        <v>1091140697</v>
      </c>
      <c r="AW34" s="372">
        <v>1091140697</v>
      </c>
      <c r="AX34" s="372">
        <v>2156139130</v>
      </c>
      <c r="AY34" s="504">
        <f t="shared" si="19"/>
        <v>3247279.827</v>
      </c>
      <c r="AZ34" s="504">
        <f t="shared" si="20"/>
        <v>1091140.6969999999</v>
      </c>
      <c r="BA34" s="504">
        <f t="shared" si="21"/>
        <v>1091140.6969999999</v>
      </c>
      <c r="BB34" s="504">
        <f t="shared" si="22"/>
        <v>2156139.13</v>
      </c>
      <c r="BD34" s="782" t="s">
        <v>545</v>
      </c>
      <c r="BE34" s="644">
        <v>3138437</v>
      </c>
      <c r="BF34" s="650">
        <f t="shared" si="23"/>
        <v>3138.4369999999999</v>
      </c>
      <c r="BH34" s="782" t="s">
        <v>349</v>
      </c>
      <c r="BI34" s="644">
        <v>3244477309</v>
      </c>
      <c r="BJ34" s="644">
        <v>1365513394</v>
      </c>
      <c r="BK34" s="644">
        <v>1365513394</v>
      </c>
      <c r="BL34" s="644">
        <v>1878963915</v>
      </c>
      <c r="BM34" s="548">
        <f t="shared" si="24"/>
        <v>3244477.3089999999</v>
      </c>
      <c r="BN34" s="548">
        <f t="shared" si="25"/>
        <v>1365513.3940000001</v>
      </c>
      <c r="BO34" s="548">
        <f t="shared" si="26"/>
        <v>1365513.3940000001</v>
      </c>
      <c r="BP34" s="650">
        <f t="shared" si="27"/>
        <v>1878963.915</v>
      </c>
      <c r="BS34" s="373" t="s">
        <v>535</v>
      </c>
      <c r="BT34" s="597">
        <v>297302825</v>
      </c>
      <c r="BU34" s="597">
        <f t="shared" si="28"/>
        <v>297302.82500000001</v>
      </c>
      <c r="BW34" s="597" t="s">
        <v>349</v>
      </c>
      <c r="BX34" s="597">
        <v>3201471260</v>
      </c>
      <c r="BY34" s="597">
        <v>1641019085</v>
      </c>
      <c r="BZ34" s="597">
        <v>1560452175</v>
      </c>
      <c r="CA34" s="597">
        <v>1641019085</v>
      </c>
      <c r="CB34" s="597">
        <f t="shared" si="29"/>
        <v>3201471.26</v>
      </c>
      <c r="CC34" s="597">
        <f t="shared" si="30"/>
        <v>1641019.085</v>
      </c>
      <c r="CD34" s="597">
        <f t="shared" si="31"/>
        <v>1560452.175</v>
      </c>
      <c r="CE34" s="597">
        <f t="shared" si="32"/>
        <v>1641019.085</v>
      </c>
      <c r="CG34" s="373" t="s">
        <v>354</v>
      </c>
      <c r="CH34" s="597">
        <v>30648493</v>
      </c>
      <c r="CI34" s="597">
        <f t="shared" si="33"/>
        <v>30648.492999999999</v>
      </c>
      <c r="CK34" s="371" t="s">
        <v>349</v>
      </c>
      <c r="CL34" s="372">
        <v>3201504309</v>
      </c>
      <c r="CM34" s="372">
        <v>1918522958</v>
      </c>
      <c r="CN34" s="372">
        <v>1918522958</v>
      </c>
      <c r="CO34" s="372">
        <v>1282981351</v>
      </c>
      <c r="CP34" s="597">
        <f t="shared" si="34"/>
        <v>3201504.3089999999</v>
      </c>
      <c r="CQ34" s="597">
        <f t="shared" si="35"/>
        <v>1918522.9580000001</v>
      </c>
      <c r="CR34" s="597">
        <f t="shared" si="36"/>
        <v>1918522.9580000001</v>
      </c>
      <c r="CS34" s="597">
        <f t="shared" si="37"/>
        <v>1282981.351</v>
      </c>
      <c r="CU34" s="548"/>
      <c r="CV34" s="371" t="s">
        <v>352</v>
      </c>
      <c r="CW34" s="372">
        <v>62171700</v>
      </c>
      <c r="CX34" s="372">
        <f t="shared" si="38"/>
        <v>62171.7</v>
      </c>
      <c r="CZ34" s="1059" t="s">
        <v>349</v>
      </c>
      <c r="DA34" s="1060">
        <v>3201504309</v>
      </c>
      <c r="DB34" s="1060">
        <v>2195089461</v>
      </c>
      <c r="DC34" s="1060">
        <v>2195089461</v>
      </c>
      <c r="DD34" s="1060">
        <v>1006414848</v>
      </c>
      <c r="DE34" s="1060">
        <f t="shared" si="39"/>
        <v>3201504.3089999999</v>
      </c>
      <c r="DF34" s="1060">
        <f t="shared" si="40"/>
        <v>2195089.4610000001</v>
      </c>
      <c r="DG34" s="1060">
        <f t="shared" si="41"/>
        <v>2195089.4610000001</v>
      </c>
      <c r="DH34" s="1060">
        <f t="shared" si="42"/>
        <v>1006414.848</v>
      </c>
    </row>
    <row r="35" spans="1:112" x14ac:dyDescent="0.25">
      <c r="A35" s="504" t="s">
        <v>532</v>
      </c>
      <c r="B35" s="504">
        <v>144871696</v>
      </c>
      <c r="C35" s="504">
        <v>12715373</v>
      </c>
      <c r="D35" s="504">
        <v>12715373</v>
      </c>
      <c r="E35" s="504">
        <v>132156323</v>
      </c>
      <c r="F35" s="504">
        <f t="shared" ref="F35:F66" si="43">+B35/$H$1*$I$1</f>
        <v>144871.696</v>
      </c>
      <c r="G35" s="504">
        <f t="shared" ref="G35:G66" si="44">+C35/$H$1*$I$1</f>
        <v>12715.373</v>
      </c>
      <c r="H35" s="504">
        <f t="shared" ref="H35:H66" si="45">+D35/$H$1*$I$1</f>
        <v>12715.373</v>
      </c>
      <c r="I35" s="504">
        <f t="shared" ref="I35:I66" si="46">+E35/$H$1*$I$1</f>
        <v>132156.323</v>
      </c>
      <c r="L35" s="371" t="s">
        <v>582</v>
      </c>
      <c r="M35" s="372">
        <v>7210718</v>
      </c>
      <c r="N35" s="372">
        <f t="shared" ref="N35:N66" si="47">+M35/$M$1*$N$1</f>
        <v>7210.7179999999998</v>
      </c>
      <c r="P35" s="371" t="s">
        <v>532</v>
      </c>
      <c r="Q35" s="372">
        <v>144871696</v>
      </c>
      <c r="R35" s="372">
        <v>25449965</v>
      </c>
      <c r="S35" s="372">
        <v>25449965</v>
      </c>
      <c r="T35" s="372">
        <v>119421731</v>
      </c>
      <c r="U35" s="372">
        <f t="shared" ref="U35:U66" si="48">+Q35/$W$1*$X$1</f>
        <v>144871.696</v>
      </c>
      <c r="V35" s="505">
        <f t="shared" ref="V35:V66" si="49">+R35/$W$1*$X$1</f>
        <v>25449.965</v>
      </c>
      <c r="W35" s="505">
        <f t="shared" ref="W35:W66" si="50">+S35/$W$1*$X$1</f>
        <v>25449.965</v>
      </c>
      <c r="X35" s="505">
        <f t="shared" ref="X35:X66" si="51">+T35/$W$1*$X$1</f>
        <v>119421.731</v>
      </c>
      <c r="AA35" s="371" t="s">
        <v>536</v>
      </c>
      <c r="AB35" s="372">
        <v>440451041</v>
      </c>
      <c r="AC35" s="505">
        <f t="shared" ref="AC35:AC66" si="52">+AB35/$AB$1*$AC$1</f>
        <v>440451.04100000003</v>
      </c>
      <c r="AE35" s="373" t="s">
        <v>532</v>
      </c>
      <c r="AF35" s="504">
        <v>144871696</v>
      </c>
      <c r="AG35" s="504">
        <v>38383217</v>
      </c>
      <c r="AH35" s="504">
        <v>38383217</v>
      </c>
      <c r="AI35" s="504">
        <v>106488479</v>
      </c>
      <c r="AJ35" s="504">
        <f t="shared" ref="AJ35:AJ66" si="53">+AF35/$AL$1*$AM$1</f>
        <v>144871.696</v>
      </c>
      <c r="AK35" s="504">
        <f t="shared" ref="AK35:AK66" si="54">+AG35/$AL$1*$AM$1</f>
        <v>38383.216999999997</v>
      </c>
      <c r="AL35" s="504">
        <f t="shared" ref="AL35:AL66" si="55">+AH35/$AL$1*$AM$1</f>
        <v>38383.216999999997</v>
      </c>
      <c r="AM35" s="504">
        <f t="shared" ref="AM35:AM66" si="56">+AI35/$AL$1*$AM$1</f>
        <v>106488.47900000001</v>
      </c>
      <c r="AP35" s="371" t="s">
        <v>539</v>
      </c>
      <c r="AQ35" s="372">
        <v>728828</v>
      </c>
      <c r="AR35" s="372">
        <f t="shared" si="18"/>
        <v>728.82799999999997</v>
      </c>
      <c r="AT35" s="371" t="s">
        <v>532</v>
      </c>
      <c r="AU35" s="372">
        <v>144871696</v>
      </c>
      <c r="AV35" s="372">
        <v>51382730</v>
      </c>
      <c r="AW35" s="372">
        <v>51382730</v>
      </c>
      <c r="AX35" s="372">
        <v>93488966</v>
      </c>
      <c r="AY35" s="504">
        <f t="shared" si="19"/>
        <v>144871.696</v>
      </c>
      <c r="AZ35" s="504">
        <f t="shared" si="20"/>
        <v>51382.73</v>
      </c>
      <c r="BA35" s="504">
        <f t="shared" si="21"/>
        <v>51382.73</v>
      </c>
      <c r="BB35" s="504">
        <f t="shared" si="22"/>
        <v>93488.966</v>
      </c>
      <c r="BD35" s="782" t="s">
        <v>582</v>
      </c>
      <c r="BE35" s="644">
        <v>7620119</v>
      </c>
      <c r="BF35" s="650">
        <f t="shared" si="23"/>
        <v>7620.1189999999997</v>
      </c>
      <c r="BH35" s="782" t="s">
        <v>532</v>
      </c>
      <c r="BI35" s="644">
        <v>144871696</v>
      </c>
      <c r="BJ35" s="644">
        <v>64432741</v>
      </c>
      <c r="BK35" s="644">
        <v>64432741</v>
      </c>
      <c r="BL35" s="644">
        <v>80438955</v>
      </c>
      <c r="BM35" s="548">
        <f t="shared" si="24"/>
        <v>144871.696</v>
      </c>
      <c r="BN35" s="548">
        <f t="shared" si="25"/>
        <v>64432.741000000002</v>
      </c>
      <c r="BO35" s="548">
        <f t="shared" si="26"/>
        <v>64432.741000000002</v>
      </c>
      <c r="BP35" s="650">
        <f t="shared" si="27"/>
        <v>80438.955000000002</v>
      </c>
      <c r="BS35" s="373" t="s">
        <v>536</v>
      </c>
      <c r="BT35" s="597">
        <v>444564682</v>
      </c>
      <c r="BU35" s="597">
        <f t="shared" si="28"/>
        <v>444564.68199999997</v>
      </c>
      <c r="BW35" s="597" t="s">
        <v>532</v>
      </c>
      <c r="BX35" s="597">
        <v>144871696</v>
      </c>
      <c r="BY35" s="597">
        <v>77552753</v>
      </c>
      <c r="BZ35" s="597">
        <v>67318943</v>
      </c>
      <c r="CA35" s="597">
        <v>77552753</v>
      </c>
      <c r="CB35" s="597">
        <f t="shared" si="29"/>
        <v>144871.696</v>
      </c>
      <c r="CC35" s="597">
        <f t="shared" si="30"/>
        <v>77552.752999999997</v>
      </c>
      <c r="CD35" s="597">
        <f t="shared" si="31"/>
        <v>67318.942999999999</v>
      </c>
      <c r="CE35" s="597">
        <f t="shared" si="32"/>
        <v>77552.752999999997</v>
      </c>
      <c r="CG35" s="373" t="s">
        <v>544</v>
      </c>
      <c r="CH35" s="597">
        <v>19708391</v>
      </c>
      <c r="CI35" s="597">
        <f t="shared" si="33"/>
        <v>19708.391</v>
      </c>
      <c r="CK35" s="371" t="s">
        <v>532</v>
      </c>
      <c r="CL35" s="372">
        <v>144871696</v>
      </c>
      <c r="CM35" s="372">
        <v>95480133</v>
      </c>
      <c r="CN35" s="372">
        <v>95480133</v>
      </c>
      <c r="CO35" s="372">
        <v>49391563</v>
      </c>
      <c r="CP35" s="597">
        <f t="shared" si="34"/>
        <v>144871.696</v>
      </c>
      <c r="CQ35" s="597">
        <f t="shared" si="35"/>
        <v>95480.133000000002</v>
      </c>
      <c r="CR35" s="597">
        <f t="shared" si="36"/>
        <v>95480.133000000002</v>
      </c>
      <c r="CS35" s="597">
        <f t="shared" si="37"/>
        <v>49391.563000000002</v>
      </c>
      <c r="CU35" s="548"/>
      <c r="CV35" s="371" t="s">
        <v>540</v>
      </c>
      <c r="CW35" s="372">
        <v>4487670</v>
      </c>
      <c r="CX35" s="372">
        <f t="shared" si="38"/>
        <v>4487.67</v>
      </c>
      <c r="CZ35" s="1059" t="s">
        <v>532</v>
      </c>
      <c r="DA35" s="1060">
        <v>144871696</v>
      </c>
      <c r="DB35" s="1060">
        <v>108241907</v>
      </c>
      <c r="DC35" s="1060">
        <v>108241907</v>
      </c>
      <c r="DD35" s="1060">
        <v>36629789</v>
      </c>
      <c r="DE35" s="1060">
        <f t="shared" si="39"/>
        <v>144871.696</v>
      </c>
      <c r="DF35" s="1060">
        <f t="shared" si="40"/>
        <v>108241.90700000001</v>
      </c>
      <c r="DG35" s="1060">
        <f t="shared" si="41"/>
        <v>108241.90700000001</v>
      </c>
      <c r="DH35" s="1060">
        <f t="shared" si="42"/>
        <v>36629.788999999997</v>
      </c>
    </row>
    <row r="36" spans="1:112" x14ac:dyDescent="0.25">
      <c r="A36" s="504" t="s">
        <v>350</v>
      </c>
      <c r="B36" s="504">
        <v>2214042253</v>
      </c>
      <c r="C36" s="504">
        <v>191403061</v>
      </c>
      <c r="D36" s="504">
        <v>191403061</v>
      </c>
      <c r="E36" s="504">
        <v>2022639192</v>
      </c>
      <c r="F36" s="504">
        <f t="shared" si="43"/>
        <v>2214042.253</v>
      </c>
      <c r="G36" s="504">
        <f t="shared" si="44"/>
        <v>191403.06099999999</v>
      </c>
      <c r="H36" s="504">
        <f t="shared" si="45"/>
        <v>191403.06099999999</v>
      </c>
      <c r="I36" s="504">
        <f t="shared" si="46"/>
        <v>2022639.192</v>
      </c>
      <c r="L36" s="371" t="s">
        <v>358</v>
      </c>
      <c r="M36" s="372">
        <v>77517740</v>
      </c>
      <c r="N36" s="372">
        <f t="shared" si="47"/>
        <v>77517.740000000005</v>
      </c>
      <c r="P36" s="371" t="s">
        <v>350</v>
      </c>
      <c r="Q36" s="372">
        <v>2214042253</v>
      </c>
      <c r="R36" s="372">
        <v>386532062</v>
      </c>
      <c r="S36" s="372">
        <v>386532062</v>
      </c>
      <c r="T36" s="372">
        <v>1827510191</v>
      </c>
      <c r="U36" s="372">
        <f t="shared" si="48"/>
        <v>2214042.253</v>
      </c>
      <c r="V36" s="505">
        <f t="shared" si="49"/>
        <v>386532.06199999998</v>
      </c>
      <c r="W36" s="505">
        <f t="shared" si="50"/>
        <v>386532.06199999998</v>
      </c>
      <c r="X36" s="505">
        <f t="shared" si="51"/>
        <v>1827510.1910000001</v>
      </c>
      <c r="AA36" s="371" t="s">
        <v>537</v>
      </c>
      <c r="AB36" s="372">
        <v>410829577</v>
      </c>
      <c r="AC36" s="505">
        <f t="shared" si="52"/>
        <v>410829.57699999999</v>
      </c>
      <c r="AE36" s="373" t="s">
        <v>350</v>
      </c>
      <c r="AF36" s="504">
        <v>2214042253</v>
      </c>
      <c r="AG36" s="504">
        <v>580992655</v>
      </c>
      <c r="AH36" s="504">
        <v>580992655</v>
      </c>
      <c r="AI36" s="504">
        <v>1633049598</v>
      </c>
      <c r="AJ36" s="504">
        <f t="shared" si="53"/>
        <v>2214042.253</v>
      </c>
      <c r="AK36" s="504">
        <f t="shared" si="54"/>
        <v>580992.65500000003</v>
      </c>
      <c r="AL36" s="504">
        <f t="shared" si="55"/>
        <v>580992.65500000003</v>
      </c>
      <c r="AM36" s="504">
        <f t="shared" si="56"/>
        <v>1633049.598</v>
      </c>
      <c r="AP36" s="371" t="s">
        <v>352</v>
      </c>
      <c r="AQ36" s="372">
        <v>49916144</v>
      </c>
      <c r="AR36" s="372">
        <f t="shared" si="18"/>
        <v>49916.144</v>
      </c>
      <c r="AT36" s="371" t="s">
        <v>350</v>
      </c>
      <c r="AU36" s="372">
        <v>2214042253</v>
      </c>
      <c r="AV36" s="372">
        <v>776739266</v>
      </c>
      <c r="AW36" s="372">
        <v>776739266</v>
      </c>
      <c r="AX36" s="372">
        <v>1437302987</v>
      </c>
      <c r="AY36" s="504">
        <f t="shared" si="19"/>
        <v>2214042.253</v>
      </c>
      <c r="AZ36" s="504">
        <f t="shared" si="20"/>
        <v>776739.26599999995</v>
      </c>
      <c r="BA36" s="504">
        <f t="shared" si="21"/>
        <v>776739.26599999995</v>
      </c>
      <c r="BB36" s="504">
        <f t="shared" si="22"/>
        <v>1437302.987</v>
      </c>
      <c r="BD36" s="782" t="s">
        <v>358</v>
      </c>
      <c r="BE36" s="644">
        <v>75546648</v>
      </c>
      <c r="BF36" s="650">
        <f t="shared" si="23"/>
        <v>75546.648000000001</v>
      </c>
      <c r="BH36" s="782" t="s">
        <v>350</v>
      </c>
      <c r="BI36" s="644">
        <v>2214042253</v>
      </c>
      <c r="BJ36" s="644">
        <v>971704977</v>
      </c>
      <c r="BK36" s="644">
        <v>971704977</v>
      </c>
      <c r="BL36" s="644">
        <v>1242337276</v>
      </c>
      <c r="BM36" s="548">
        <f t="shared" si="24"/>
        <v>2214042.253</v>
      </c>
      <c r="BN36" s="548">
        <f t="shared" si="25"/>
        <v>971704.97699999996</v>
      </c>
      <c r="BO36" s="548">
        <f t="shared" si="26"/>
        <v>971704.97699999996</v>
      </c>
      <c r="BP36" s="650">
        <f t="shared" si="27"/>
        <v>1242337.2760000001</v>
      </c>
      <c r="BS36" s="373" t="s">
        <v>537</v>
      </c>
      <c r="BT36" s="597">
        <v>416255506</v>
      </c>
      <c r="BU36" s="597">
        <f t="shared" si="28"/>
        <v>416255.50599999999</v>
      </c>
      <c r="BW36" s="597" t="s">
        <v>350</v>
      </c>
      <c r="BX36" s="597">
        <v>2214042253</v>
      </c>
      <c r="BY36" s="597">
        <v>1168319904</v>
      </c>
      <c r="BZ36" s="597">
        <v>1045722349</v>
      </c>
      <c r="CA36" s="597">
        <v>1168319904</v>
      </c>
      <c r="CB36" s="597">
        <f t="shared" si="29"/>
        <v>2214042.253</v>
      </c>
      <c r="CC36" s="597">
        <f t="shared" si="30"/>
        <v>1168319.9040000001</v>
      </c>
      <c r="CD36" s="597">
        <f t="shared" si="31"/>
        <v>1045722.349</v>
      </c>
      <c r="CE36" s="597">
        <f t="shared" si="32"/>
        <v>1168319.9040000001</v>
      </c>
      <c r="CG36" s="373" t="s">
        <v>545</v>
      </c>
      <c r="CH36" s="597">
        <v>3232040</v>
      </c>
      <c r="CI36" s="597">
        <f t="shared" si="33"/>
        <v>3232.04</v>
      </c>
      <c r="CK36" s="371" t="s">
        <v>350</v>
      </c>
      <c r="CL36" s="372">
        <v>2214042253</v>
      </c>
      <c r="CM36" s="372">
        <v>1366287013</v>
      </c>
      <c r="CN36" s="372">
        <v>1366287013</v>
      </c>
      <c r="CO36" s="372">
        <v>847755240</v>
      </c>
      <c r="CP36" s="597">
        <f t="shared" si="34"/>
        <v>2214042.253</v>
      </c>
      <c r="CQ36" s="597">
        <f t="shared" si="35"/>
        <v>1366287.013</v>
      </c>
      <c r="CR36" s="597">
        <f t="shared" si="36"/>
        <v>1366287.013</v>
      </c>
      <c r="CS36" s="597">
        <f t="shared" si="37"/>
        <v>847755.24</v>
      </c>
      <c r="CU36" s="548"/>
      <c r="CV36" s="371" t="s">
        <v>541</v>
      </c>
      <c r="CW36" s="372">
        <v>57684030</v>
      </c>
      <c r="CX36" s="372">
        <f t="shared" si="38"/>
        <v>57684.03</v>
      </c>
      <c r="CZ36" s="1059" t="s">
        <v>350</v>
      </c>
      <c r="DA36" s="1060">
        <v>2214042253</v>
      </c>
      <c r="DB36" s="1060">
        <v>1563881125</v>
      </c>
      <c r="DC36" s="1060">
        <v>1563881125</v>
      </c>
      <c r="DD36" s="1060">
        <v>650161128</v>
      </c>
      <c r="DE36" s="1060">
        <f t="shared" si="39"/>
        <v>2214042.253</v>
      </c>
      <c r="DF36" s="1060">
        <f t="shared" si="40"/>
        <v>1563881.125</v>
      </c>
      <c r="DG36" s="1060">
        <f t="shared" si="41"/>
        <v>1563881.125</v>
      </c>
      <c r="DH36" s="1060">
        <f t="shared" si="42"/>
        <v>650161.12800000003</v>
      </c>
    </row>
    <row r="37" spans="1:112" x14ac:dyDescent="0.25">
      <c r="A37" s="504" t="s">
        <v>351</v>
      </c>
      <c r="B37" s="504">
        <v>289402638</v>
      </c>
      <c r="C37" s="504">
        <v>25083486</v>
      </c>
      <c r="D37" s="504">
        <v>25083486</v>
      </c>
      <c r="E37" s="504">
        <v>264319152</v>
      </c>
      <c r="F37" s="504">
        <f t="shared" si="43"/>
        <v>289402.63799999998</v>
      </c>
      <c r="G37" s="504">
        <f t="shared" si="44"/>
        <v>25083.486000000001</v>
      </c>
      <c r="H37" s="504">
        <f t="shared" si="45"/>
        <v>25083.486000000001</v>
      </c>
      <c r="I37" s="504">
        <f t="shared" si="46"/>
        <v>264319.152</v>
      </c>
      <c r="L37" s="371" t="s">
        <v>546</v>
      </c>
      <c r="M37" s="372">
        <v>75192382</v>
      </c>
      <c r="N37" s="372">
        <f t="shared" si="47"/>
        <v>75192.381999999998</v>
      </c>
      <c r="P37" s="371" t="s">
        <v>351</v>
      </c>
      <c r="Q37" s="372">
        <v>289402638</v>
      </c>
      <c r="R37" s="372">
        <v>49665553</v>
      </c>
      <c r="S37" s="372">
        <v>49665553</v>
      </c>
      <c r="T37" s="372">
        <v>239737085</v>
      </c>
      <c r="U37" s="372">
        <f t="shared" si="48"/>
        <v>289402.63799999998</v>
      </c>
      <c r="V37" s="505">
        <f t="shared" si="49"/>
        <v>49665.553</v>
      </c>
      <c r="W37" s="505">
        <f t="shared" si="50"/>
        <v>49665.553</v>
      </c>
      <c r="X37" s="505">
        <f t="shared" si="51"/>
        <v>239737.08499999999</v>
      </c>
      <c r="AA37" s="371" t="s">
        <v>538</v>
      </c>
      <c r="AB37" s="372">
        <v>13148183</v>
      </c>
      <c r="AC37" s="505">
        <f t="shared" si="52"/>
        <v>13148.183000000001</v>
      </c>
      <c r="AE37" s="373" t="s">
        <v>351</v>
      </c>
      <c r="AF37" s="504">
        <v>289402638</v>
      </c>
      <c r="AG37" s="504">
        <v>74190074</v>
      </c>
      <c r="AH37" s="504">
        <v>74190074</v>
      </c>
      <c r="AI37" s="504">
        <v>215212564</v>
      </c>
      <c r="AJ37" s="504">
        <f t="shared" si="53"/>
        <v>289402.63799999998</v>
      </c>
      <c r="AK37" s="504">
        <f t="shared" si="54"/>
        <v>74190.073999999993</v>
      </c>
      <c r="AL37" s="504">
        <f t="shared" si="55"/>
        <v>74190.073999999993</v>
      </c>
      <c r="AM37" s="504">
        <f t="shared" si="56"/>
        <v>215212.56400000001</v>
      </c>
      <c r="AP37" s="371" t="s">
        <v>540</v>
      </c>
      <c r="AQ37" s="372">
        <v>4381900</v>
      </c>
      <c r="AR37" s="372">
        <f t="shared" si="18"/>
        <v>4381.8999999999996</v>
      </c>
      <c r="AT37" s="371" t="s">
        <v>351</v>
      </c>
      <c r="AU37" s="372">
        <v>289402638</v>
      </c>
      <c r="AV37" s="372">
        <v>98885851</v>
      </c>
      <c r="AW37" s="372">
        <v>98885851</v>
      </c>
      <c r="AX37" s="372">
        <v>190516787</v>
      </c>
      <c r="AY37" s="504">
        <f t="shared" si="19"/>
        <v>289402.63799999998</v>
      </c>
      <c r="AZ37" s="504">
        <f t="shared" si="20"/>
        <v>98885.850999999995</v>
      </c>
      <c r="BA37" s="504">
        <f t="shared" si="21"/>
        <v>98885.850999999995</v>
      </c>
      <c r="BB37" s="504">
        <f t="shared" si="22"/>
        <v>190516.78700000001</v>
      </c>
      <c r="BD37" s="782" t="s">
        <v>546</v>
      </c>
      <c r="BE37" s="644">
        <v>73244130</v>
      </c>
      <c r="BF37" s="650">
        <f t="shared" si="23"/>
        <v>73244.13</v>
      </c>
      <c r="BH37" s="782" t="s">
        <v>351</v>
      </c>
      <c r="BI37" s="644">
        <v>289402638</v>
      </c>
      <c r="BJ37" s="644">
        <v>123602838</v>
      </c>
      <c r="BK37" s="644">
        <v>123602838</v>
      </c>
      <c r="BL37" s="644">
        <v>165799800</v>
      </c>
      <c r="BM37" s="548">
        <f t="shared" si="24"/>
        <v>289402.63799999998</v>
      </c>
      <c r="BN37" s="548">
        <f t="shared" si="25"/>
        <v>123602.838</v>
      </c>
      <c r="BO37" s="548">
        <f t="shared" si="26"/>
        <v>123602.838</v>
      </c>
      <c r="BP37" s="650">
        <f t="shared" si="27"/>
        <v>165799.79999999999</v>
      </c>
      <c r="BS37" s="373" t="s">
        <v>538</v>
      </c>
      <c r="BT37" s="597">
        <v>13104472</v>
      </c>
      <c r="BU37" s="597">
        <f t="shared" si="28"/>
        <v>13104.472</v>
      </c>
      <c r="BW37" s="597" t="s">
        <v>351</v>
      </c>
      <c r="BX37" s="597">
        <v>289402638</v>
      </c>
      <c r="BY37" s="597">
        <v>148965884</v>
      </c>
      <c r="BZ37" s="597">
        <v>140436754</v>
      </c>
      <c r="CA37" s="597">
        <v>148965884</v>
      </c>
      <c r="CB37" s="597">
        <f t="shared" si="29"/>
        <v>289402.63799999998</v>
      </c>
      <c r="CC37" s="597">
        <f t="shared" si="30"/>
        <v>148965.88399999999</v>
      </c>
      <c r="CD37" s="597">
        <f t="shared" si="31"/>
        <v>140436.75399999999</v>
      </c>
      <c r="CE37" s="597">
        <f t="shared" si="32"/>
        <v>148965.88399999999</v>
      </c>
      <c r="CG37" s="373" t="s">
        <v>582</v>
      </c>
      <c r="CH37" s="597">
        <v>7708062</v>
      </c>
      <c r="CI37" s="597">
        <f t="shared" si="33"/>
        <v>7708.0619999999999</v>
      </c>
      <c r="CK37" s="371" t="s">
        <v>351</v>
      </c>
      <c r="CL37" s="372">
        <v>289402638</v>
      </c>
      <c r="CM37" s="372">
        <v>174806225</v>
      </c>
      <c r="CN37" s="372">
        <v>174806225</v>
      </c>
      <c r="CO37" s="372">
        <v>114596413</v>
      </c>
      <c r="CP37" s="597">
        <f t="shared" si="34"/>
        <v>289402.63799999998</v>
      </c>
      <c r="CQ37" s="597">
        <f t="shared" si="35"/>
        <v>174806.22500000001</v>
      </c>
      <c r="CR37" s="597">
        <f t="shared" si="36"/>
        <v>174806.22500000001</v>
      </c>
      <c r="CS37" s="597">
        <f t="shared" si="37"/>
        <v>114596.413</v>
      </c>
      <c r="CU37" s="548"/>
      <c r="CV37" s="371" t="s">
        <v>354</v>
      </c>
      <c r="CW37" s="372">
        <v>32968418</v>
      </c>
      <c r="CX37" s="372">
        <f t="shared" si="38"/>
        <v>32968.417999999998</v>
      </c>
      <c r="CZ37" s="1059" t="s">
        <v>351</v>
      </c>
      <c r="DA37" s="1060">
        <v>289402638</v>
      </c>
      <c r="DB37" s="1060">
        <v>200682685</v>
      </c>
      <c r="DC37" s="1060">
        <v>200682685</v>
      </c>
      <c r="DD37" s="1060">
        <v>88719953</v>
      </c>
      <c r="DE37" s="1060">
        <f t="shared" si="39"/>
        <v>289402.63799999998</v>
      </c>
      <c r="DF37" s="1060">
        <f t="shared" si="40"/>
        <v>200682.685</v>
      </c>
      <c r="DG37" s="1060">
        <f t="shared" si="41"/>
        <v>200682.685</v>
      </c>
      <c r="DH37" s="1060">
        <f t="shared" si="42"/>
        <v>88719.952999999994</v>
      </c>
    </row>
    <row r="38" spans="1:112" x14ac:dyDescent="0.25">
      <c r="A38" s="504" t="s">
        <v>534</v>
      </c>
      <c r="B38" s="504">
        <v>149822501</v>
      </c>
      <c r="C38" s="504">
        <v>9492859</v>
      </c>
      <c r="D38" s="504">
        <v>9492859</v>
      </c>
      <c r="E38" s="504">
        <v>140329642</v>
      </c>
      <c r="F38" s="504">
        <f t="shared" si="43"/>
        <v>149822.50099999999</v>
      </c>
      <c r="G38" s="504">
        <f t="shared" si="44"/>
        <v>9492.8590000000004</v>
      </c>
      <c r="H38" s="504">
        <f t="shared" si="45"/>
        <v>9492.8590000000004</v>
      </c>
      <c r="I38" s="504">
        <f t="shared" si="46"/>
        <v>140329.64199999999</v>
      </c>
      <c r="L38" s="371" t="s">
        <v>547</v>
      </c>
      <c r="M38" s="372">
        <v>74379514</v>
      </c>
      <c r="N38" s="372">
        <f t="shared" si="47"/>
        <v>74379.513999999996</v>
      </c>
      <c r="P38" s="371" t="s">
        <v>534</v>
      </c>
      <c r="Q38" s="372">
        <v>149822501</v>
      </c>
      <c r="R38" s="372">
        <v>18985718</v>
      </c>
      <c r="S38" s="372">
        <v>18985718</v>
      </c>
      <c r="T38" s="372">
        <v>130836783</v>
      </c>
      <c r="U38" s="372">
        <f t="shared" si="48"/>
        <v>149822.50099999999</v>
      </c>
      <c r="V38" s="505">
        <f t="shared" si="49"/>
        <v>18985.718000000001</v>
      </c>
      <c r="W38" s="505">
        <f t="shared" si="50"/>
        <v>18985.718000000001</v>
      </c>
      <c r="X38" s="505">
        <f t="shared" si="51"/>
        <v>130836.783</v>
      </c>
      <c r="AA38" s="371" t="s">
        <v>539</v>
      </c>
      <c r="AB38" s="372">
        <v>728828</v>
      </c>
      <c r="AC38" s="505">
        <f t="shared" si="52"/>
        <v>728.82799999999997</v>
      </c>
      <c r="AE38" s="373" t="s">
        <v>534</v>
      </c>
      <c r="AF38" s="504">
        <v>149822501</v>
      </c>
      <c r="AG38" s="504">
        <v>29329082</v>
      </c>
      <c r="AH38" s="504">
        <v>29329082</v>
      </c>
      <c r="AI38" s="504">
        <v>120493419</v>
      </c>
      <c r="AJ38" s="504">
        <f t="shared" si="53"/>
        <v>149822.50099999999</v>
      </c>
      <c r="AK38" s="504">
        <f t="shared" si="54"/>
        <v>29329.081999999999</v>
      </c>
      <c r="AL38" s="504">
        <f t="shared" si="55"/>
        <v>29329.081999999999</v>
      </c>
      <c r="AM38" s="504">
        <f t="shared" si="56"/>
        <v>120493.41899999999</v>
      </c>
      <c r="AP38" s="371" t="s">
        <v>541</v>
      </c>
      <c r="AQ38" s="372">
        <v>45534244</v>
      </c>
      <c r="AR38" s="372">
        <f t="shared" si="18"/>
        <v>45534.243999999999</v>
      </c>
      <c r="AT38" s="371" t="s">
        <v>534</v>
      </c>
      <c r="AU38" s="372">
        <v>149822501</v>
      </c>
      <c r="AV38" s="372">
        <v>39672446</v>
      </c>
      <c r="AW38" s="372">
        <v>39672446</v>
      </c>
      <c r="AX38" s="372">
        <v>110150055</v>
      </c>
      <c r="AY38" s="504">
        <f t="shared" si="19"/>
        <v>149822.50099999999</v>
      </c>
      <c r="AZ38" s="504">
        <f t="shared" si="20"/>
        <v>39672.446000000004</v>
      </c>
      <c r="BA38" s="504">
        <f t="shared" si="21"/>
        <v>39672.446000000004</v>
      </c>
      <c r="BB38" s="504">
        <f t="shared" si="22"/>
        <v>110150.05499999999</v>
      </c>
      <c r="BD38" s="782" t="s">
        <v>547</v>
      </c>
      <c r="BE38" s="644">
        <v>72415634</v>
      </c>
      <c r="BF38" s="650">
        <f t="shared" si="23"/>
        <v>72415.634000000005</v>
      </c>
      <c r="BH38" s="782" t="s">
        <v>534</v>
      </c>
      <c r="BI38" s="644">
        <v>149822501</v>
      </c>
      <c r="BJ38" s="644">
        <v>49468601</v>
      </c>
      <c r="BK38" s="644">
        <v>49468601</v>
      </c>
      <c r="BL38" s="644">
        <v>100353900</v>
      </c>
      <c r="BM38" s="548">
        <f t="shared" si="24"/>
        <v>149822.50099999999</v>
      </c>
      <c r="BN38" s="548">
        <f t="shared" si="25"/>
        <v>49468.601000000002</v>
      </c>
      <c r="BO38" s="548">
        <f t="shared" si="26"/>
        <v>49468.601000000002</v>
      </c>
      <c r="BP38" s="650">
        <f t="shared" si="27"/>
        <v>100353.9</v>
      </c>
      <c r="BS38" s="373" t="s">
        <v>539</v>
      </c>
      <c r="BT38" s="597">
        <v>733494</v>
      </c>
      <c r="BU38" s="597">
        <f t="shared" si="28"/>
        <v>733.49400000000003</v>
      </c>
      <c r="BW38" s="597" t="s">
        <v>534</v>
      </c>
      <c r="BX38" s="597">
        <v>149822501</v>
      </c>
      <c r="BY38" s="597">
        <v>60273734</v>
      </c>
      <c r="BZ38" s="597">
        <v>89548767</v>
      </c>
      <c r="CA38" s="597">
        <v>60273734</v>
      </c>
      <c r="CB38" s="597">
        <f t="shared" si="29"/>
        <v>149822.50099999999</v>
      </c>
      <c r="CC38" s="597">
        <f t="shared" si="30"/>
        <v>60273.733999999997</v>
      </c>
      <c r="CD38" s="597">
        <f t="shared" si="31"/>
        <v>89548.767000000007</v>
      </c>
      <c r="CE38" s="597">
        <f t="shared" si="32"/>
        <v>60273.733999999997</v>
      </c>
      <c r="CG38" s="373" t="s">
        <v>358</v>
      </c>
      <c r="CH38" s="597">
        <v>84416973</v>
      </c>
      <c r="CI38" s="597">
        <f t="shared" si="33"/>
        <v>84416.972999999998</v>
      </c>
      <c r="CK38" s="371" t="s">
        <v>534</v>
      </c>
      <c r="CL38" s="372">
        <v>149822501</v>
      </c>
      <c r="CM38" s="372">
        <v>71708518</v>
      </c>
      <c r="CN38" s="372">
        <v>71708518</v>
      </c>
      <c r="CO38" s="372">
        <v>78113983</v>
      </c>
      <c r="CP38" s="597">
        <f t="shared" si="34"/>
        <v>149822.50099999999</v>
      </c>
      <c r="CQ38" s="597">
        <f t="shared" si="35"/>
        <v>71708.517999999996</v>
      </c>
      <c r="CR38" s="597">
        <f t="shared" si="36"/>
        <v>71708.517999999996</v>
      </c>
      <c r="CS38" s="597">
        <f t="shared" si="37"/>
        <v>78113.982999999993</v>
      </c>
      <c r="CU38" s="548"/>
      <c r="CV38" s="371" t="s">
        <v>544</v>
      </c>
      <c r="CW38" s="372">
        <v>20974507</v>
      </c>
      <c r="CX38" s="372">
        <f t="shared" si="38"/>
        <v>20974.507000000001</v>
      </c>
      <c r="CZ38" s="1059" t="s">
        <v>534</v>
      </c>
      <c r="DA38" s="1060">
        <v>149822501</v>
      </c>
      <c r="DB38" s="1060">
        <v>83143302</v>
      </c>
      <c r="DC38" s="1060">
        <v>83143302</v>
      </c>
      <c r="DD38" s="1060">
        <v>66679199</v>
      </c>
      <c r="DE38" s="1060">
        <f t="shared" si="39"/>
        <v>149822.50099999999</v>
      </c>
      <c r="DF38" s="1060">
        <f t="shared" si="40"/>
        <v>83143.301999999996</v>
      </c>
      <c r="DG38" s="1060">
        <f t="shared" si="41"/>
        <v>83143.301999999996</v>
      </c>
      <c r="DH38" s="1060">
        <f t="shared" si="42"/>
        <v>66679.198999999993</v>
      </c>
    </row>
    <row r="39" spans="1:112" x14ac:dyDescent="0.25">
      <c r="A39" s="504" t="s">
        <v>535</v>
      </c>
      <c r="B39" s="504">
        <v>2483515675</v>
      </c>
      <c r="C39" s="504">
        <v>182584842</v>
      </c>
      <c r="D39" s="504">
        <v>182584842</v>
      </c>
      <c r="E39" s="504">
        <v>2300930833</v>
      </c>
      <c r="F39" s="504">
        <f t="shared" si="43"/>
        <v>2483515.6749999998</v>
      </c>
      <c r="G39" s="504">
        <f t="shared" si="44"/>
        <v>182584.842</v>
      </c>
      <c r="H39" s="504">
        <f t="shared" si="45"/>
        <v>182584.842</v>
      </c>
      <c r="I39" s="504">
        <f t="shared" si="46"/>
        <v>2300930.8330000001</v>
      </c>
      <c r="L39" s="371" t="s">
        <v>548</v>
      </c>
      <c r="M39" s="372">
        <v>812868</v>
      </c>
      <c r="N39" s="372">
        <f t="shared" si="47"/>
        <v>812.86800000000005</v>
      </c>
      <c r="P39" s="371" t="s">
        <v>535</v>
      </c>
      <c r="Q39" s="372">
        <v>2483515675</v>
      </c>
      <c r="R39" s="372">
        <v>368612162</v>
      </c>
      <c r="S39" s="372">
        <v>368612162</v>
      </c>
      <c r="T39" s="372">
        <v>2114903513</v>
      </c>
      <c r="U39" s="372">
        <f t="shared" si="48"/>
        <v>2483515.6749999998</v>
      </c>
      <c r="V39" s="505">
        <f t="shared" si="49"/>
        <v>368612.16200000001</v>
      </c>
      <c r="W39" s="505">
        <f t="shared" si="50"/>
        <v>368612.16200000001</v>
      </c>
      <c r="X39" s="505">
        <f t="shared" si="51"/>
        <v>2114903.5129999998</v>
      </c>
      <c r="AA39" s="371" t="s">
        <v>352</v>
      </c>
      <c r="AB39" s="372">
        <v>68955682</v>
      </c>
      <c r="AC39" s="505">
        <f t="shared" si="52"/>
        <v>68955.682000000001</v>
      </c>
      <c r="AE39" s="373" t="s">
        <v>535</v>
      </c>
      <c r="AF39" s="504">
        <v>2483515675</v>
      </c>
      <c r="AG39" s="504">
        <v>660951008</v>
      </c>
      <c r="AH39" s="504">
        <v>660951008</v>
      </c>
      <c r="AI39" s="504">
        <v>1822564667</v>
      </c>
      <c r="AJ39" s="504">
        <f t="shared" si="53"/>
        <v>2483515.6749999998</v>
      </c>
      <c r="AK39" s="504">
        <f t="shared" si="54"/>
        <v>660951.00800000003</v>
      </c>
      <c r="AL39" s="504">
        <f t="shared" si="55"/>
        <v>660951.00800000003</v>
      </c>
      <c r="AM39" s="504">
        <f t="shared" si="56"/>
        <v>1822564.6669999999</v>
      </c>
      <c r="AP39" s="371" t="s">
        <v>542</v>
      </c>
      <c r="AQ39" s="372">
        <v>127425</v>
      </c>
      <c r="AR39" s="372">
        <f t="shared" si="18"/>
        <v>127.425</v>
      </c>
      <c r="AT39" s="371" t="s">
        <v>535</v>
      </c>
      <c r="AU39" s="372">
        <v>2483515675</v>
      </c>
      <c r="AV39" s="372">
        <v>852855042</v>
      </c>
      <c r="AW39" s="372">
        <v>852855042</v>
      </c>
      <c r="AX39" s="372">
        <v>1630660633</v>
      </c>
      <c r="AY39" s="504">
        <f t="shared" si="19"/>
        <v>2483515.6749999998</v>
      </c>
      <c r="AZ39" s="504">
        <f t="shared" si="20"/>
        <v>852855.04200000002</v>
      </c>
      <c r="BA39" s="504">
        <f t="shared" si="21"/>
        <v>852855.04200000002</v>
      </c>
      <c r="BB39" s="504">
        <f t="shared" si="22"/>
        <v>1630660.6329999999</v>
      </c>
      <c r="BD39" s="782" t="s">
        <v>548</v>
      </c>
      <c r="BE39" s="644">
        <v>828496</v>
      </c>
      <c r="BF39" s="650">
        <f t="shared" si="23"/>
        <v>828.49599999999998</v>
      </c>
      <c r="BH39" s="782" t="s">
        <v>535</v>
      </c>
      <c r="BI39" s="644">
        <v>2483515675</v>
      </c>
      <c r="BJ39" s="644">
        <v>1038894617</v>
      </c>
      <c r="BK39" s="644">
        <v>1038894617</v>
      </c>
      <c r="BL39" s="644">
        <v>1444621058</v>
      </c>
      <c r="BM39" s="548">
        <f t="shared" si="24"/>
        <v>2483515.6749999998</v>
      </c>
      <c r="BN39" s="548">
        <f t="shared" si="25"/>
        <v>1038894.617</v>
      </c>
      <c r="BO39" s="548">
        <f t="shared" si="26"/>
        <v>1038894.617</v>
      </c>
      <c r="BP39" s="650">
        <f t="shared" si="27"/>
        <v>1444621.058</v>
      </c>
      <c r="BS39" s="373" t="s">
        <v>352</v>
      </c>
      <c r="BT39" s="597">
        <v>76738489</v>
      </c>
      <c r="BU39" s="597">
        <f t="shared" si="28"/>
        <v>76738.489000000001</v>
      </c>
      <c r="BW39" s="597" t="s">
        <v>535</v>
      </c>
      <c r="BX39" s="597">
        <v>2483515675</v>
      </c>
      <c r="BY39" s="597">
        <v>1336197442</v>
      </c>
      <c r="BZ39" s="597">
        <v>1147318233</v>
      </c>
      <c r="CA39" s="597">
        <v>1336197442</v>
      </c>
      <c r="CB39" s="597">
        <f t="shared" si="29"/>
        <v>2483515.6749999998</v>
      </c>
      <c r="CC39" s="597">
        <f t="shared" si="30"/>
        <v>1336197.442</v>
      </c>
      <c r="CD39" s="597">
        <f t="shared" si="31"/>
        <v>1147318.233</v>
      </c>
      <c r="CE39" s="597">
        <f t="shared" si="32"/>
        <v>1336197.442</v>
      </c>
      <c r="CG39" s="373" t="s">
        <v>546</v>
      </c>
      <c r="CH39" s="597">
        <v>84416973</v>
      </c>
      <c r="CI39" s="597">
        <f t="shared" si="33"/>
        <v>84416.972999999998</v>
      </c>
      <c r="CK39" s="371" t="s">
        <v>535</v>
      </c>
      <c r="CL39" s="372">
        <v>2483515675</v>
      </c>
      <c r="CM39" s="372">
        <v>1525437037</v>
      </c>
      <c r="CN39" s="372">
        <v>1525437037</v>
      </c>
      <c r="CO39" s="372">
        <v>958078638</v>
      </c>
      <c r="CP39" s="597">
        <f t="shared" si="34"/>
        <v>2483515.6749999998</v>
      </c>
      <c r="CQ39" s="597">
        <f t="shared" si="35"/>
        <v>1525437.037</v>
      </c>
      <c r="CR39" s="597">
        <f t="shared" si="36"/>
        <v>1525437.037</v>
      </c>
      <c r="CS39" s="597">
        <f t="shared" si="37"/>
        <v>958078.63800000004</v>
      </c>
      <c r="CU39" s="548"/>
      <c r="CV39" s="371" t="s">
        <v>545</v>
      </c>
      <c r="CW39" s="372">
        <v>3474001</v>
      </c>
      <c r="CX39" s="372">
        <f t="shared" si="38"/>
        <v>3474.0010000000002</v>
      </c>
      <c r="CZ39" s="1059" t="s">
        <v>535</v>
      </c>
      <c r="DA39" s="1060">
        <v>2483515675</v>
      </c>
      <c r="DB39" s="1060">
        <v>1713895039</v>
      </c>
      <c r="DC39" s="1060">
        <v>1713895039</v>
      </c>
      <c r="DD39" s="1060">
        <v>769620636</v>
      </c>
      <c r="DE39" s="1060">
        <f t="shared" si="39"/>
        <v>2483515.6749999998</v>
      </c>
      <c r="DF39" s="1060">
        <f t="shared" si="40"/>
        <v>1713895.0390000001</v>
      </c>
      <c r="DG39" s="1060">
        <f t="shared" si="41"/>
        <v>1713895.0390000001</v>
      </c>
      <c r="DH39" s="1060">
        <f t="shared" si="42"/>
        <v>769620.63600000006</v>
      </c>
    </row>
    <row r="40" spans="1:112" x14ac:dyDescent="0.25">
      <c r="A40" s="504" t="s">
        <v>536</v>
      </c>
      <c r="B40" s="504">
        <v>4986131413</v>
      </c>
      <c r="C40" s="504">
        <v>434904148</v>
      </c>
      <c r="D40" s="504">
        <v>434904148</v>
      </c>
      <c r="E40" s="504">
        <v>4551227265</v>
      </c>
      <c r="F40" s="504">
        <f t="shared" si="43"/>
        <v>4986131.4129999997</v>
      </c>
      <c r="G40" s="504">
        <f t="shared" si="44"/>
        <v>434904.14799999999</v>
      </c>
      <c r="H40" s="504">
        <f t="shared" si="45"/>
        <v>434904.14799999999</v>
      </c>
      <c r="I40" s="504">
        <f t="shared" si="46"/>
        <v>4551227.2649999997</v>
      </c>
      <c r="L40" s="371" t="s">
        <v>359</v>
      </c>
      <c r="M40" s="372">
        <v>2325358</v>
      </c>
      <c r="N40" s="372">
        <f t="shared" si="47"/>
        <v>2325.3580000000002</v>
      </c>
      <c r="P40" s="371" t="s">
        <v>536</v>
      </c>
      <c r="Q40" s="372">
        <v>4986131413</v>
      </c>
      <c r="R40" s="372">
        <v>877917029</v>
      </c>
      <c r="S40" s="372">
        <v>877917029</v>
      </c>
      <c r="T40" s="372">
        <v>4108214384</v>
      </c>
      <c r="U40" s="372">
        <f t="shared" si="48"/>
        <v>4986131.4129999997</v>
      </c>
      <c r="V40" s="505">
        <f t="shared" si="49"/>
        <v>877917.02899999998</v>
      </c>
      <c r="W40" s="505">
        <f t="shared" si="50"/>
        <v>877917.02899999998</v>
      </c>
      <c r="X40" s="505">
        <f t="shared" si="51"/>
        <v>4108214.3840000001</v>
      </c>
      <c r="AA40" s="371" t="s">
        <v>540</v>
      </c>
      <c r="AB40" s="372">
        <v>8688250</v>
      </c>
      <c r="AC40" s="505">
        <f t="shared" si="52"/>
        <v>8688.25</v>
      </c>
      <c r="AE40" s="373" t="s">
        <v>536</v>
      </c>
      <c r="AF40" s="504">
        <v>4986131413</v>
      </c>
      <c r="AG40" s="504">
        <v>1318368070</v>
      </c>
      <c r="AH40" s="504">
        <v>1318368070</v>
      </c>
      <c r="AI40" s="504">
        <v>3667763343</v>
      </c>
      <c r="AJ40" s="504">
        <f t="shared" si="53"/>
        <v>4986131.4129999997</v>
      </c>
      <c r="AK40" s="504">
        <f t="shared" si="54"/>
        <v>1318368.07</v>
      </c>
      <c r="AL40" s="504">
        <f t="shared" si="55"/>
        <v>1318368.07</v>
      </c>
      <c r="AM40" s="504">
        <f t="shared" si="56"/>
        <v>3667763.3429999999</v>
      </c>
      <c r="AP40" s="371" t="s">
        <v>543</v>
      </c>
      <c r="AQ40" s="372">
        <v>127425</v>
      </c>
      <c r="AR40" s="372">
        <f t="shared" si="18"/>
        <v>127.425</v>
      </c>
      <c r="AT40" s="371" t="s">
        <v>536</v>
      </c>
      <c r="AU40" s="372">
        <v>4986131413</v>
      </c>
      <c r="AV40" s="372">
        <v>1761868714</v>
      </c>
      <c r="AW40" s="372">
        <v>1761868714</v>
      </c>
      <c r="AX40" s="372">
        <v>3224262699</v>
      </c>
      <c r="AY40" s="504">
        <f t="shared" si="19"/>
        <v>4986131.4129999997</v>
      </c>
      <c r="AZ40" s="504">
        <f t="shared" si="20"/>
        <v>1761868.7139999999</v>
      </c>
      <c r="BA40" s="504">
        <f t="shared" si="21"/>
        <v>1761868.7139999999</v>
      </c>
      <c r="BB40" s="504">
        <f t="shared" si="22"/>
        <v>3224262.699</v>
      </c>
      <c r="BD40" s="782" t="s">
        <v>980</v>
      </c>
      <c r="BE40" s="644">
        <v>2302518</v>
      </c>
      <c r="BF40" s="650">
        <f t="shared" si="23"/>
        <v>2302.518</v>
      </c>
      <c r="BH40" s="782" t="s">
        <v>536</v>
      </c>
      <c r="BI40" s="644">
        <v>4986131413</v>
      </c>
      <c r="BJ40" s="644">
        <v>2204432284</v>
      </c>
      <c r="BK40" s="644">
        <v>2204432284</v>
      </c>
      <c r="BL40" s="644">
        <v>2781699129</v>
      </c>
      <c r="BM40" s="548">
        <f t="shared" si="24"/>
        <v>4986131.4129999997</v>
      </c>
      <c r="BN40" s="548">
        <f t="shared" si="25"/>
        <v>2204432.284</v>
      </c>
      <c r="BO40" s="548">
        <f t="shared" si="26"/>
        <v>2204432.284</v>
      </c>
      <c r="BP40" s="650">
        <f t="shared" si="27"/>
        <v>2781699.1290000002</v>
      </c>
      <c r="BS40" s="373" t="s">
        <v>540</v>
      </c>
      <c r="BT40" s="597">
        <v>8914900</v>
      </c>
      <c r="BU40" s="597">
        <f t="shared" si="28"/>
        <v>8914.9</v>
      </c>
      <c r="BW40" s="597" t="s">
        <v>536</v>
      </c>
      <c r="BX40" s="597">
        <v>4986131413</v>
      </c>
      <c r="BY40" s="597">
        <v>2648996966</v>
      </c>
      <c r="BZ40" s="597">
        <v>2337134447</v>
      </c>
      <c r="CA40" s="597">
        <v>2648996966</v>
      </c>
      <c r="CB40" s="597">
        <f t="shared" si="29"/>
        <v>4986131.4129999997</v>
      </c>
      <c r="CC40" s="597">
        <f t="shared" si="30"/>
        <v>2648996.966</v>
      </c>
      <c r="CD40" s="597">
        <f t="shared" si="31"/>
        <v>2337134.4470000002</v>
      </c>
      <c r="CE40" s="597">
        <f t="shared" si="32"/>
        <v>2648996.966</v>
      </c>
      <c r="CG40" s="373" t="s">
        <v>547</v>
      </c>
      <c r="CH40" s="597">
        <v>83839942</v>
      </c>
      <c r="CI40" s="597">
        <f t="shared" si="33"/>
        <v>83839.941999999995</v>
      </c>
      <c r="CK40" s="371" t="s">
        <v>536</v>
      </c>
      <c r="CL40" s="372">
        <v>4986131413</v>
      </c>
      <c r="CM40" s="372">
        <v>3095922756</v>
      </c>
      <c r="CN40" s="372">
        <v>3095922756</v>
      </c>
      <c r="CO40" s="372">
        <v>1890208657</v>
      </c>
      <c r="CP40" s="597">
        <f t="shared" si="34"/>
        <v>4986131.4129999997</v>
      </c>
      <c r="CQ40" s="597">
        <f t="shared" si="35"/>
        <v>3095922.7560000001</v>
      </c>
      <c r="CR40" s="597">
        <f t="shared" si="36"/>
        <v>3095922.7560000001</v>
      </c>
      <c r="CS40" s="597">
        <f t="shared" si="37"/>
        <v>1890208.6569999999</v>
      </c>
      <c r="CU40" s="548"/>
      <c r="CV40" s="371" t="s">
        <v>582</v>
      </c>
      <c r="CW40" s="372">
        <v>8519910</v>
      </c>
      <c r="CX40" s="372">
        <f t="shared" si="38"/>
        <v>8519.91</v>
      </c>
      <c r="CZ40" s="1059" t="s">
        <v>536</v>
      </c>
      <c r="DA40" s="1060">
        <v>4986131413</v>
      </c>
      <c r="DB40" s="1060">
        <v>3541280414</v>
      </c>
      <c r="DC40" s="1060">
        <v>3541280414</v>
      </c>
      <c r="DD40" s="1060">
        <v>1444850999</v>
      </c>
      <c r="DE40" s="1060">
        <f t="shared" si="39"/>
        <v>4986131.4129999997</v>
      </c>
      <c r="DF40" s="1060">
        <f t="shared" si="40"/>
        <v>3541280.4139999999</v>
      </c>
      <c r="DG40" s="1060">
        <f t="shared" si="41"/>
        <v>3541280.4139999999</v>
      </c>
      <c r="DH40" s="1060">
        <f t="shared" si="42"/>
        <v>1444850.9990000001</v>
      </c>
    </row>
    <row r="41" spans="1:112" x14ac:dyDescent="0.25">
      <c r="A41" s="504" t="s">
        <v>537</v>
      </c>
      <c r="B41" s="504">
        <v>1569726924</v>
      </c>
      <c r="C41" s="504">
        <v>0</v>
      </c>
      <c r="D41" s="504">
        <v>0</v>
      </c>
      <c r="E41" s="504">
        <v>1569726924</v>
      </c>
      <c r="F41" s="504">
        <f t="shared" si="43"/>
        <v>1569726.9240000001</v>
      </c>
      <c r="G41" s="504">
        <f t="shared" si="44"/>
        <v>0</v>
      </c>
      <c r="H41" s="504">
        <f t="shared" si="45"/>
        <v>0</v>
      </c>
      <c r="I41" s="504">
        <f t="shared" si="46"/>
        <v>1569726.9240000001</v>
      </c>
      <c r="L41" s="371" t="s">
        <v>361</v>
      </c>
      <c r="M41" s="372">
        <v>145305926</v>
      </c>
      <c r="N41" s="372">
        <f t="shared" si="47"/>
        <v>145305.92600000001</v>
      </c>
      <c r="P41" s="371" t="s">
        <v>537</v>
      </c>
      <c r="Q41" s="372">
        <v>1569726924</v>
      </c>
      <c r="R41" s="372">
        <v>0</v>
      </c>
      <c r="S41" s="372">
        <v>0</v>
      </c>
      <c r="T41" s="372">
        <v>1569726924</v>
      </c>
      <c r="U41" s="372">
        <f t="shared" si="48"/>
        <v>1569726.9240000001</v>
      </c>
      <c r="V41" s="505">
        <f t="shared" si="49"/>
        <v>0</v>
      </c>
      <c r="W41" s="505">
        <f t="shared" si="50"/>
        <v>0</v>
      </c>
      <c r="X41" s="505">
        <f t="shared" si="51"/>
        <v>1569726.9240000001</v>
      </c>
      <c r="AA41" s="371" t="s">
        <v>541</v>
      </c>
      <c r="AB41" s="372">
        <v>60267432</v>
      </c>
      <c r="AC41" s="505">
        <f t="shared" si="52"/>
        <v>60267.432000000001</v>
      </c>
      <c r="AE41" s="373" t="s">
        <v>537</v>
      </c>
      <c r="AF41" s="504">
        <v>1569726924</v>
      </c>
      <c r="AG41" s="504">
        <v>410829577</v>
      </c>
      <c r="AH41" s="504">
        <v>410829577</v>
      </c>
      <c r="AI41" s="504">
        <v>1158897347</v>
      </c>
      <c r="AJ41" s="504">
        <f t="shared" si="53"/>
        <v>1569726.9240000001</v>
      </c>
      <c r="AK41" s="504">
        <f t="shared" si="54"/>
        <v>410829.57699999999</v>
      </c>
      <c r="AL41" s="504">
        <f t="shared" si="55"/>
        <v>410829.57699999999</v>
      </c>
      <c r="AM41" s="504">
        <f t="shared" si="56"/>
        <v>1158897.3470000001</v>
      </c>
      <c r="AP41" s="371" t="s">
        <v>354</v>
      </c>
      <c r="AQ41" s="372">
        <v>38922884</v>
      </c>
      <c r="AR41" s="372">
        <f t="shared" si="18"/>
        <v>38922.883999999998</v>
      </c>
      <c r="AT41" s="371" t="s">
        <v>537</v>
      </c>
      <c r="AU41" s="372">
        <v>1569726924</v>
      </c>
      <c r="AV41" s="372">
        <v>411081074</v>
      </c>
      <c r="AW41" s="372">
        <v>411081074</v>
      </c>
      <c r="AX41" s="372">
        <v>1158645850</v>
      </c>
      <c r="AY41" s="504">
        <f t="shared" si="19"/>
        <v>1569726.9240000001</v>
      </c>
      <c r="AZ41" s="504">
        <f t="shared" si="20"/>
        <v>411081.07400000002</v>
      </c>
      <c r="BA41" s="504">
        <f t="shared" si="21"/>
        <v>411081.07400000002</v>
      </c>
      <c r="BB41" s="504">
        <f t="shared" si="22"/>
        <v>1158645.8500000001</v>
      </c>
      <c r="BD41" s="782" t="s">
        <v>361</v>
      </c>
      <c r="BE41" s="644">
        <v>214773448</v>
      </c>
      <c r="BF41" s="650">
        <f t="shared" si="23"/>
        <v>214773.448</v>
      </c>
      <c r="BH41" s="782" t="s">
        <v>537</v>
      </c>
      <c r="BI41" s="644">
        <v>1569726924</v>
      </c>
      <c r="BJ41" s="644">
        <v>411081074</v>
      </c>
      <c r="BK41" s="644">
        <v>411081074</v>
      </c>
      <c r="BL41" s="644">
        <v>1158645850</v>
      </c>
      <c r="BM41" s="548">
        <f t="shared" si="24"/>
        <v>1569726.9240000001</v>
      </c>
      <c r="BN41" s="548">
        <f t="shared" si="25"/>
        <v>411081.07400000002</v>
      </c>
      <c r="BO41" s="548">
        <f t="shared" si="26"/>
        <v>411081.07400000002</v>
      </c>
      <c r="BP41" s="650">
        <f t="shared" si="27"/>
        <v>1158645.8500000001</v>
      </c>
      <c r="BS41" s="373" t="s">
        <v>541</v>
      </c>
      <c r="BT41" s="597">
        <v>67823589</v>
      </c>
      <c r="BU41" s="597">
        <f t="shared" si="28"/>
        <v>67823.589000000007</v>
      </c>
      <c r="BW41" s="597" t="s">
        <v>537</v>
      </c>
      <c r="BX41" s="597">
        <v>1569726924</v>
      </c>
      <c r="BY41" s="597">
        <v>827336580</v>
      </c>
      <c r="BZ41" s="597">
        <v>742390344</v>
      </c>
      <c r="CA41" s="597">
        <v>827336580</v>
      </c>
      <c r="CB41" s="597">
        <f t="shared" si="29"/>
        <v>1569726.9240000001</v>
      </c>
      <c r="CC41" s="597">
        <f t="shared" si="30"/>
        <v>827336.58</v>
      </c>
      <c r="CD41" s="597">
        <f t="shared" si="31"/>
        <v>742390.34400000004</v>
      </c>
      <c r="CE41" s="597">
        <f t="shared" si="32"/>
        <v>827336.58</v>
      </c>
      <c r="CG41" s="373" t="s">
        <v>548</v>
      </c>
      <c r="CH41" s="597">
        <v>577031</v>
      </c>
      <c r="CI41" s="597">
        <f t="shared" si="33"/>
        <v>577.03099999999995</v>
      </c>
      <c r="CK41" s="371" t="s">
        <v>537</v>
      </c>
      <c r="CL41" s="372">
        <v>1569726924</v>
      </c>
      <c r="CM41" s="372">
        <v>827336580</v>
      </c>
      <c r="CN41" s="372">
        <v>827336580</v>
      </c>
      <c r="CO41" s="372">
        <v>742390344</v>
      </c>
      <c r="CP41" s="597">
        <f t="shared" si="34"/>
        <v>1569726.9240000001</v>
      </c>
      <c r="CQ41" s="597">
        <f t="shared" si="35"/>
        <v>827336.58</v>
      </c>
      <c r="CR41" s="597">
        <f t="shared" si="36"/>
        <v>827336.58</v>
      </c>
      <c r="CS41" s="597">
        <f t="shared" si="37"/>
        <v>742390.34400000004</v>
      </c>
      <c r="CU41" s="548"/>
      <c r="CV41" s="371" t="s">
        <v>358</v>
      </c>
      <c r="CW41" s="372">
        <v>85825377</v>
      </c>
      <c r="CX41" s="372">
        <f t="shared" si="38"/>
        <v>85825.376999999993</v>
      </c>
      <c r="CZ41" s="1059" t="s">
        <v>537</v>
      </c>
      <c r="DA41" s="1060">
        <v>1569726924</v>
      </c>
      <c r="DB41" s="1060">
        <v>827336580</v>
      </c>
      <c r="DC41" s="1060">
        <v>827336580</v>
      </c>
      <c r="DD41" s="1060">
        <v>742390344</v>
      </c>
      <c r="DE41" s="1060">
        <f t="shared" si="39"/>
        <v>1569726.9240000001</v>
      </c>
      <c r="DF41" s="1060">
        <f t="shared" si="40"/>
        <v>827336.58</v>
      </c>
      <c r="DG41" s="1060">
        <f t="shared" si="41"/>
        <v>827336.58</v>
      </c>
      <c r="DH41" s="1060">
        <f t="shared" si="42"/>
        <v>742390.34400000004</v>
      </c>
    </row>
    <row r="42" spans="1:112" x14ac:dyDescent="0.25">
      <c r="A42" s="504" t="s">
        <v>538</v>
      </c>
      <c r="B42" s="504">
        <v>52034045</v>
      </c>
      <c r="C42" s="504">
        <v>0</v>
      </c>
      <c r="D42" s="504">
        <v>0</v>
      </c>
      <c r="E42" s="504">
        <v>52034045</v>
      </c>
      <c r="F42" s="504">
        <f t="shared" si="43"/>
        <v>52034.044999999998</v>
      </c>
      <c r="G42" s="504">
        <f t="shared" si="44"/>
        <v>0</v>
      </c>
      <c r="H42" s="504">
        <f t="shared" si="45"/>
        <v>0</v>
      </c>
      <c r="I42" s="504">
        <f t="shared" si="46"/>
        <v>52034.044999999998</v>
      </c>
      <c r="L42" s="371" t="s">
        <v>362</v>
      </c>
      <c r="M42" s="372">
        <v>7179392</v>
      </c>
      <c r="N42" s="372">
        <f t="shared" si="47"/>
        <v>7179.3919999999998</v>
      </c>
      <c r="P42" s="371" t="s">
        <v>538</v>
      </c>
      <c r="Q42" s="372">
        <v>52034045</v>
      </c>
      <c r="R42" s="372">
        <v>0</v>
      </c>
      <c r="S42" s="372">
        <v>0</v>
      </c>
      <c r="T42" s="372">
        <v>52034045</v>
      </c>
      <c r="U42" s="372">
        <f t="shared" si="48"/>
        <v>52034.044999999998</v>
      </c>
      <c r="V42" s="505">
        <f t="shared" si="49"/>
        <v>0</v>
      </c>
      <c r="W42" s="505">
        <f t="shared" si="50"/>
        <v>0</v>
      </c>
      <c r="X42" s="505">
        <f t="shared" si="51"/>
        <v>52034.044999999998</v>
      </c>
      <c r="AA42" s="371" t="s">
        <v>542</v>
      </c>
      <c r="AB42" s="372">
        <v>412650632</v>
      </c>
      <c r="AC42" s="505">
        <f t="shared" si="52"/>
        <v>412650.63199999998</v>
      </c>
      <c r="AE42" s="373" t="s">
        <v>538</v>
      </c>
      <c r="AF42" s="504">
        <v>52034045</v>
      </c>
      <c r="AG42" s="504">
        <v>13148183</v>
      </c>
      <c r="AH42" s="504">
        <v>13148183</v>
      </c>
      <c r="AI42" s="504">
        <v>38885862</v>
      </c>
      <c r="AJ42" s="504">
        <f t="shared" si="53"/>
        <v>52034.044999999998</v>
      </c>
      <c r="AK42" s="504">
        <f t="shared" si="54"/>
        <v>13148.183000000001</v>
      </c>
      <c r="AL42" s="504">
        <f t="shared" si="55"/>
        <v>13148.183000000001</v>
      </c>
      <c r="AM42" s="504">
        <f t="shared" si="56"/>
        <v>38885.862000000001</v>
      </c>
      <c r="AP42" s="371" t="s">
        <v>544</v>
      </c>
      <c r="AQ42" s="372">
        <v>21252538</v>
      </c>
      <c r="AR42" s="372">
        <f t="shared" si="18"/>
        <v>21252.538</v>
      </c>
      <c r="AT42" s="371" t="s">
        <v>538</v>
      </c>
      <c r="AU42" s="372">
        <v>52034045</v>
      </c>
      <c r="AV42" s="372">
        <v>13148183</v>
      </c>
      <c r="AW42" s="372">
        <v>13148183</v>
      </c>
      <c r="AX42" s="372">
        <v>38885862</v>
      </c>
      <c r="AY42" s="504">
        <f t="shared" si="19"/>
        <v>52034.044999999998</v>
      </c>
      <c r="AZ42" s="504">
        <f t="shared" si="20"/>
        <v>13148.183000000001</v>
      </c>
      <c r="BA42" s="504">
        <f t="shared" si="21"/>
        <v>13148.183000000001</v>
      </c>
      <c r="BB42" s="504">
        <f t="shared" si="22"/>
        <v>38885.862000000001</v>
      </c>
      <c r="BD42" s="782" t="s">
        <v>362</v>
      </c>
      <c r="BE42" s="644">
        <v>1662962</v>
      </c>
      <c r="BF42" s="650">
        <f t="shared" si="23"/>
        <v>1662.962</v>
      </c>
      <c r="BH42" s="782" t="s">
        <v>538</v>
      </c>
      <c r="BI42" s="644">
        <v>52034045</v>
      </c>
      <c r="BJ42" s="644">
        <v>13148183</v>
      </c>
      <c r="BK42" s="644">
        <v>13148183</v>
      </c>
      <c r="BL42" s="644">
        <v>38885862</v>
      </c>
      <c r="BM42" s="548">
        <f t="shared" si="24"/>
        <v>52034.044999999998</v>
      </c>
      <c r="BN42" s="548">
        <f t="shared" si="25"/>
        <v>13148.183000000001</v>
      </c>
      <c r="BO42" s="548">
        <f t="shared" si="26"/>
        <v>13148.183000000001</v>
      </c>
      <c r="BP42" s="650">
        <f t="shared" si="27"/>
        <v>38885.862000000001</v>
      </c>
      <c r="BS42" s="373" t="s">
        <v>542</v>
      </c>
      <c r="BT42" s="597">
        <v>413223480</v>
      </c>
      <c r="BU42" s="597">
        <f t="shared" si="28"/>
        <v>413223.48</v>
      </c>
      <c r="BW42" s="597" t="s">
        <v>538</v>
      </c>
      <c r="BX42" s="597">
        <v>52034045</v>
      </c>
      <c r="BY42" s="597">
        <v>26252655</v>
      </c>
      <c r="BZ42" s="597">
        <v>25781390</v>
      </c>
      <c r="CA42" s="597">
        <v>26252655</v>
      </c>
      <c r="CB42" s="597">
        <f t="shared" si="29"/>
        <v>52034.044999999998</v>
      </c>
      <c r="CC42" s="597">
        <f t="shared" si="30"/>
        <v>26252.654999999999</v>
      </c>
      <c r="CD42" s="597">
        <f t="shared" si="31"/>
        <v>25781.39</v>
      </c>
      <c r="CE42" s="597">
        <f t="shared" si="32"/>
        <v>26252.654999999999</v>
      </c>
      <c r="CG42" s="373" t="s">
        <v>361</v>
      </c>
      <c r="CH42" s="597">
        <v>210751998</v>
      </c>
      <c r="CI42" s="597">
        <f t="shared" si="33"/>
        <v>210751.99799999999</v>
      </c>
      <c r="CK42" s="371" t="s">
        <v>538</v>
      </c>
      <c r="CL42" s="372">
        <v>52034045</v>
      </c>
      <c r="CM42" s="372">
        <v>26252655</v>
      </c>
      <c r="CN42" s="372">
        <v>26252655</v>
      </c>
      <c r="CO42" s="372">
        <v>25781390</v>
      </c>
      <c r="CP42" s="597">
        <f t="shared" si="34"/>
        <v>52034.044999999998</v>
      </c>
      <c r="CQ42" s="597">
        <f t="shared" si="35"/>
        <v>26252.654999999999</v>
      </c>
      <c r="CR42" s="597">
        <f t="shared" si="36"/>
        <v>26252.654999999999</v>
      </c>
      <c r="CS42" s="597">
        <f t="shared" si="37"/>
        <v>25781.39</v>
      </c>
      <c r="CU42" s="548"/>
      <c r="CV42" s="371" t="s">
        <v>546</v>
      </c>
      <c r="CW42" s="372">
        <v>85825377</v>
      </c>
      <c r="CX42" s="372">
        <f t="shared" si="38"/>
        <v>85825.376999999993</v>
      </c>
      <c r="CZ42" s="1059" t="s">
        <v>538</v>
      </c>
      <c r="DA42" s="1060">
        <v>52034045</v>
      </c>
      <c r="DB42" s="1060">
        <v>26252655</v>
      </c>
      <c r="DC42" s="1060">
        <v>26252655</v>
      </c>
      <c r="DD42" s="1060">
        <v>25781390</v>
      </c>
      <c r="DE42" s="1060">
        <f t="shared" si="39"/>
        <v>52034.044999999998</v>
      </c>
      <c r="DF42" s="1060">
        <f t="shared" si="40"/>
        <v>26252.654999999999</v>
      </c>
      <c r="DG42" s="1060">
        <f t="shared" si="41"/>
        <v>26252.654999999999</v>
      </c>
      <c r="DH42" s="1060">
        <f t="shared" si="42"/>
        <v>25781.39</v>
      </c>
    </row>
    <row r="43" spans="1:112" x14ac:dyDescent="0.25">
      <c r="A43" s="504" t="s">
        <v>539</v>
      </c>
      <c r="B43" s="504">
        <v>4188010</v>
      </c>
      <c r="C43" s="504">
        <v>728828</v>
      </c>
      <c r="D43" s="504">
        <v>728828</v>
      </c>
      <c r="E43" s="504">
        <v>3459182</v>
      </c>
      <c r="F43" s="504">
        <f t="shared" si="43"/>
        <v>4188.01</v>
      </c>
      <c r="G43" s="504">
        <f t="shared" si="44"/>
        <v>728.82799999999997</v>
      </c>
      <c r="H43" s="504">
        <f t="shared" si="45"/>
        <v>728.82799999999997</v>
      </c>
      <c r="I43" s="504">
        <f t="shared" si="46"/>
        <v>3459.1819999999998</v>
      </c>
      <c r="L43" s="371" t="s">
        <v>549</v>
      </c>
      <c r="M43" s="372">
        <v>5947568</v>
      </c>
      <c r="N43" s="372">
        <f t="shared" si="47"/>
        <v>5947.5680000000002</v>
      </c>
      <c r="P43" s="371" t="s">
        <v>539</v>
      </c>
      <c r="Q43" s="372">
        <v>4188010</v>
      </c>
      <c r="R43" s="372">
        <v>1457656</v>
      </c>
      <c r="S43" s="372">
        <v>1457656</v>
      </c>
      <c r="T43" s="372">
        <v>2730354</v>
      </c>
      <c r="U43" s="372">
        <f t="shared" si="48"/>
        <v>4188.01</v>
      </c>
      <c r="V43" s="505">
        <f t="shared" si="49"/>
        <v>1457.6559999999999</v>
      </c>
      <c r="W43" s="505">
        <f t="shared" si="50"/>
        <v>1457.6559999999999</v>
      </c>
      <c r="X43" s="505">
        <f t="shared" si="51"/>
        <v>2730.3539999999998</v>
      </c>
      <c r="AA43" s="371" t="s">
        <v>543</v>
      </c>
      <c r="AB43" s="372">
        <v>208153772</v>
      </c>
      <c r="AC43" s="505">
        <f t="shared" si="52"/>
        <v>208153.772</v>
      </c>
      <c r="AE43" s="373" t="s">
        <v>539</v>
      </c>
      <c r="AF43" s="504">
        <v>4188010</v>
      </c>
      <c r="AG43" s="504">
        <v>2186484</v>
      </c>
      <c r="AH43" s="504">
        <v>2186484</v>
      </c>
      <c r="AI43" s="504">
        <v>2001526</v>
      </c>
      <c r="AJ43" s="504">
        <f t="shared" si="53"/>
        <v>4188.01</v>
      </c>
      <c r="AK43" s="504">
        <f t="shared" si="54"/>
        <v>2186.4839999999999</v>
      </c>
      <c r="AL43" s="504">
        <f t="shared" si="55"/>
        <v>2186.4839999999999</v>
      </c>
      <c r="AM43" s="504">
        <f t="shared" si="56"/>
        <v>2001.5260000000001</v>
      </c>
      <c r="AP43" s="371" t="s">
        <v>545</v>
      </c>
      <c r="AQ43" s="372">
        <v>3448202</v>
      </c>
      <c r="AR43" s="372">
        <f t="shared" si="18"/>
        <v>3448.2020000000002</v>
      </c>
      <c r="AT43" s="371" t="s">
        <v>539</v>
      </c>
      <c r="AU43" s="372">
        <v>4188010</v>
      </c>
      <c r="AV43" s="372">
        <v>2915312</v>
      </c>
      <c r="AW43" s="372">
        <v>2915312</v>
      </c>
      <c r="AX43" s="372">
        <v>1272698</v>
      </c>
      <c r="AY43" s="504">
        <f t="shared" si="19"/>
        <v>4188.01</v>
      </c>
      <c r="AZ43" s="504">
        <f t="shared" si="20"/>
        <v>2915.3119999999999</v>
      </c>
      <c r="BA43" s="504">
        <f t="shared" si="21"/>
        <v>2915.3119999999999</v>
      </c>
      <c r="BB43" s="504">
        <f t="shared" si="22"/>
        <v>1272.6980000000001</v>
      </c>
      <c r="BD43" s="782" t="s">
        <v>363</v>
      </c>
      <c r="BE43" s="644">
        <v>1662962</v>
      </c>
      <c r="BF43" s="650">
        <f t="shared" si="23"/>
        <v>1662.962</v>
      </c>
      <c r="BH43" s="782" t="s">
        <v>539</v>
      </c>
      <c r="BI43" s="644">
        <v>4188010</v>
      </c>
      <c r="BJ43" s="644">
        <v>3644140</v>
      </c>
      <c r="BK43" s="644">
        <v>3644140</v>
      </c>
      <c r="BL43" s="644">
        <v>543870</v>
      </c>
      <c r="BM43" s="548">
        <f t="shared" si="24"/>
        <v>4188.01</v>
      </c>
      <c r="BN43" s="548">
        <f t="shared" si="25"/>
        <v>3644.14</v>
      </c>
      <c r="BO43" s="548">
        <f t="shared" si="26"/>
        <v>3644.14</v>
      </c>
      <c r="BP43" s="650">
        <f t="shared" si="27"/>
        <v>543.87</v>
      </c>
      <c r="BS43" s="373" t="s">
        <v>543</v>
      </c>
      <c r="BT43" s="597">
        <v>210782916</v>
      </c>
      <c r="BU43" s="597">
        <f t="shared" si="28"/>
        <v>210782.916</v>
      </c>
      <c r="BW43" s="597" t="s">
        <v>539</v>
      </c>
      <c r="BX43" s="597">
        <v>9188010</v>
      </c>
      <c r="BY43" s="597">
        <v>4377634</v>
      </c>
      <c r="BZ43" s="597">
        <v>4810376</v>
      </c>
      <c r="CA43" s="597">
        <v>4377634</v>
      </c>
      <c r="CB43" s="597">
        <f t="shared" si="29"/>
        <v>9188.01</v>
      </c>
      <c r="CC43" s="597">
        <f t="shared" si="30"/>
        <v>4377.634</v>
      </c>
      <c r="CD43" s="597">
        <f t="shared" si="31"/>
        <v>4810.3760000000002</v>
      </c>
      <c r="CE43" s="597">
        <f t="shared" si="32"/>
        <v>4377.634</v>
      </c>
      <c r="CG43" s="373" t="s">
        <v>364</v>
      </c>
      <c r="CH43" s="597">
        <v>4810843</v>
      </c>
      <c r="CI43" s="597">
        <f t="shared" si="33"/>
        <v>4810.8429999999998</v>
      </c>
      <c r="CK43" s="371" t="s">
        <v>539</v>
      </c>
      <c r="CL43" s="372">
        <v>9188010</v>
      </c>
      <c r="CM43" s="372">
        <v>5111128</v>
      </c>
      <c r="CN43" s="372">
        <v>5111128</v>
      </c>
      <c r="CO43" s="372">
        <v>4076882</v>
      </c>
      <c r="CP43" s="597">
        <f t="shared" si="34"/>
        <v>9188.01</v>
      </c>
      <c r="CQ43" s="597">
        <f t="shared" si="35"/>
        <v>5111.1279999999997</v>
      </c>
      <c r="CR43" s="597">
        <f t="shared" si="36"/>
        <v>5111.1279999999997</v>
      </c>
      <c r="CS43" s="597">
        <f t="shared" si="37"/>
        <v>4076.8820000000001</v>
      </c>
      <c r="CU43" s="548"/>
      <c r="CV43" s="371" t="s">
        <v>547</v>
      </c>
      <c r="CW43" s="372">
        <v>85799562</v>
      </c>
      <c r="CX43" s="372">
        <f t="shared" si="38"/>
        <v>85799.562000000005</v>
      </c>
      <c r="CZ43" s="1059" t="s">
        <v>539</v>
      </c>
      <c r="DA43" s="1060">
        <v>9188010</v>
      </c>
      <c r="DB43" s="1060">
        <v>5844622</v>
      </c>
      <c r="DC43" s="1060">
        <v>5844622</v>
      </c>
      <c r="DD43" s="1060">
        <v>3343388</v>
      </c>
      <c r="DE43" s="1060">
        <f t="shared" si="39"/>
        <v>9188.01</v>
      </c>
      <c r="DF43" s="1060">
        <f t="shared" si="40"/>
        <v>5844.6220000000003</v>
      </c>
      <c r="DG43" s="1060">
        <f t="shared" si="41"/>
        <v>5844.6220000000003</v>
      </c>
      <c r="DH43" s="1060">
        <f t="shared" si="42"/>
        <v>3343.3879999999999</v>
      </c>
    </row>
    <row r="44" spans="1:112" x14ac:dyDescent="0.25">
      <c r="A44" s="504" t="s">
        <v>352</v>
      </c>
      <c r="B44" s="504">
        <v>611349110</v>
      </c>
      <c r="C44" s="504">
        <v>44439514</v>
      </c>
      <c r="D44" s="504">
        <v>44439514</v>
      </c>
      <c r="E44" s="504">
        <v>566909596</v>
      </c>
      <c r="F44" s="504">
        <f t="shared" si="43"/>
        <v>611349.11</v>
      </c>
      <c r="G44" s="504">
        <f t="shared" si="44"/>
        <v>44439.514000000003</v>
      </c>
      <c r="H44" s="504">
        <f t="shared" si="45"/>
        <v>44439.514000000003</v>
      </c>
      <c r="I44" s="504">
        <f t="shared" si="46"/>
        <v>566909.59600000002</v>
      </c>
      <c r="L44" s="371" t="s">
        <v>363</v>
      </c>
      <c r="M44" s="372">
        <v>1231824</v>
      </c>
      <c r="N44" s="372">
        <f t="shared" si="47"/>
        <v>1231.8240000000001</v>
      </c>
      <c r="P44" s="371" t="s">
        <v>352</v>
      </c>
      <c r="Q44" s="372">
        <v>611349110</v>
      </c>
      <c r="R44" s="372">
        <v>85428330</v>
      </c>
      <c r="S44" s="372">
        <v>85428330</v>
      </c>
      <c r="T44" s="372">
        <v>525920780</v>
      </c>
      <c r="U44" s="372">
        <f t="shared" si="48"/>
        <v>611349.11</v>
      </c>
      <c r="V44" s="505">
        <f t="shared" si="49"/>
        <v>85428.33</v>
      </c>
      <c r="W44" s="505">
        <f t="shared" si="50"/>
        <v>85428.33</v>
      </c>
      <c r="X44" s="505">
        <f t="shared" si="51"/>
        <v>525920.78</v>
      </c>
      <c r="AA44" s="371" t="s">
        <v>353</v>
      </c>
      <c r="AB44" s="372">
        <v>204496860</v>
      </c>
      <c r="AC44" s="505">
        <f t="shared" si="52"/>
        <v>204496.86</v>
      </c>
      <c r="AE44" s="373" t="s">
        <v>352</v>
      </c>
      <c r="AF44" s="504">
        <v>611349110</v>
      </c>
      <c r="AG44" s="504">
        <v>154384012</v>
      </c>
      <c r="AH44" s="504">
        <v>154384012</v>
      </c>
      <c r="AI44" s="504">
        <v>456965098</v>
      </c>
      <c r="AJ44" s="504">
        <f t="shared" si="53"/>
        <v>611349.11</v>
      </c>
      <c r="AK44" s="504">
        <f t="shared" si="54"/>
        <v>154384.01199999999</v>
      </c>
      <c r="AL44" s="504">
        <f t="shared" si="55"/>
        <v>154384.01199999999</v>
      </c>
      <c r="AM44" s="504">
        <f t="shared" si="56"/>
        <v>456965.098</v>
      </c>
      <c r="AP44" s="371" t="s">
        <v>582</v>
      </c>
      <c r="AQ44" s="372">
        <v>14222144</v>
      </c>
      <c r="AR44" s="372">
        <f t="shared" si="18"/>
        <v>14222.144</v>
      </c>
      <c r="AT44" s="371" t="s">
        <v>352</v>
      </c>
      <c r="AU44" s="372">
        <v>611349110</v>
      </c>
      <c r="AV44" s="372">
        <v>204300156</v>
      </c>
      <c r="AW44" s="372">
        <v>204300156</v>
      </c>
      <c r="AX44" s="372">
        <v>407048954</v>
      </c>
      <c r="AY44" s="504">
        <f t="shared" si="19"/>
        <v>611349.11</v>
      </c>
      <c r="AZ44" s="504">
        <f t="shared" si="20"/>
        <v>204300.15599999999</v>
      </c>
      <c r="BA44" s="504">
        <f t="shared" si="21"/>
        <v>204300.15599999999</v>
      </c>
      <c r="BB44" s="504">
        <f t="shared" si="22"/>
        <v>407048.95400000003</v>
      </c>
      <c r="BD44" s="782" t="s">
        <v>364</v>
      </c>
      <c r="BE44" s="644">
        <v>13631912</v>
      </c>
      <c r="BF44" s="650">
        <f t="shared" si="23"/>
        <v>13631.912</v>
      </c>
      <c r="BH44" s="782" t="s">
        <v>352</v>
      </c>
      <c r="BI44" s="644">
        <v>611349110</v>
      </c>
      <c r="BJ44" s="644">
        <v>249704302</v>
      </c>
      <c r="BK44" s="644">
        <v>249704302</v>
      </c>
      <c r="BL44" s="644">
        <v>361644808</v>
      </c>
      <c r="BM44" s="548">
        <f t="shared" si="24"/>
        <v>611349.11</v>
      </c>
      <c r="BN44" s="548">
        <f t="shared" si="25"/>
        <v>249704.302</v>
      </c>
      <c r="BO44" s="548">
        <f t="shared" si="26"/>
        <v>249704.302</v>
      </c>
      <c r="BP44" s="650">
        <f t="shared" si="27"/>
        <v>361644.80800000002</v>
      </c>
      <c r="BS44" s="373" t="s">
        <v>353</v>
      </c>
      <c r="BT44" s="597">
        <v>202440564</v>
      </c>
      <c r="BU44" s="597">
        <f t="shared" si="28"/>
        <v>202440.56400000001</v>
      </c>
      <c r="BW44" s="597" t="s">
        <v>352</v>
      </c>
      <c r="BX44" s="597">
        <v>611349110</v>
      </c>
      <c r="BY44" s="597">
        <v>326442791</v>
      </c>
      <c r="BZ44" s="597">
        <v>284906319</v>
      </c>
      <c r="CA44" s="597">
        <v>326442791</v>
      </c>
      <c r="CB44" s="597">
        <f t="shared" si="29"/>
        <v>611349.11</v>
      </c>
      <c r="CC44" s="597">
        <f t="shared" si="30"/>
        <v>326442.79100000003</v>
      </c>
      <c r="CD44" s="597">
        <f t="shared" si="31"/>
        <v>284906.31900000002</v>
      </c>
      <c r="CE44" s="597">
        <f t="shared" si="32"/>
        <v>326442.79100000003</v>
      </c>
      <c r="CG44" s="373" t="s">
        <v>746</v>
      </c>
      <c r="CH44" s="597">
        <v>187901</v>
      </c>
      <c r="CI44" s="597">
        <f t="shared" si="33"/>
        <v>187.90100000000001</v>
      </c>
      <c r="CK44" s="371" t="s">
        <v>352</v>
      </c>
      <c r="CL44" s="372">
        <v>611349110</v>
      </c>
      <c r="CM44" s="372">
        <v>378001274</v>
      </c>
      <c r="CN44" s="372">
        <v>378001274</v>
      </c>
      <c r="CO44" s="372">
        <v>233347836</v>
      </c>
      <c r="CP44" s="597">
        <f t="shared" si="34"/>
        <v>611349.11</v>
      </c>
      <c r="CQ44" s="597">
        <f t="shared" si="35"/>
        <v>378001.27399999998</v>
      </c>
      <c r="CR44" s="597">
        <f t="shared" si="36"/>
        <v>378001.27399999998</v>
      </c>
      <c r="CS44" s="597">
        <f t="shared" si="37"/>
        <v>233347.83600000001</v>
      </c>
      <c r="CU44" s="548"/>
      <c r="CV44" s="371" t="s">
        <v>548</v>
      </c>
      <c r="CW44" s="372">
        <v>25815</v>
      </c>
      <c r="CX44" s="372">
        <f t="shared" si="38"/>
        <v>25.815000000000001</v>
      </c>
      <c r="CZ44" s="1059" t="s">
        <v>352</v>
      </c>
      <c r="DA44" s="1060">
        <v>611349110</v>
      </c>
      <c r="DB44" s="1060">
        <v>440172974</v>
      </c>
      <c r="DC44" s="1060">
        <v>440172974</v>
      </c>
      <c r="DD44" s="1060">
        <v>171176136</v>
      </c>
      <c r="DE44" s="1060">
        <f t="shared" si="39"/>
        <v>611349.11</v>
      </c>
      <c r="DF44" s="1060">
        <f t="shared" si="40"/>
        <v>440172.97399999999</v>
      </c>
      <c r="DG44" s="1060">
        <f t="shared" si="41"/>
        <v>440172.97399999999</v>
      </c>
      <c r="DH44" s="1060">
        <f t="shared" si="42"/>
        <v>171176.136</v>
      </c>
    </row>
    <row r="45" spans="1:112" x14ac:dyDescent="0.25">
      <c r="A45" s="504" t="s">
        <v>540</v>
      </c>
      <c r="B45" s="504">
        <v>45228619</v>
      </c>
      <c r="C45" s="504">
        <v>4263294</v>
      </c>
      <c r="D45" s="504">
        <v>4263294</v>
      </c>
      <c r="E45" s="504">
        <v>40965325</v>
      </c>
      <c r="F45" s="504">
        <f t="shared" si="43"/>
        <v>45228.618999999999</v>
      </c>
      <c r="G45" s="504">
        <f t="shared" si="44"/>
        <v>4263.2939999999999</v>
      </c>
      <c r="H45" s="504">
        <f t="shared" si="45"/>
        <v>4263.2939999999999</v>
      </c>
      <c r="I45" s="504">
        <f t="shared" si="46"/>
        <v>40965.324999999997</v>
      </c>
      <c r="L45" s="371" t="s">
        <v>364</v>
      </c>
      <c r="M45" s="372">
        <v>10958432</v>
      </c>
      <c r="N45" s="372">
        <f t="shared" si="47"/>
        <v>10958.432000000001</v>
      </c>
      <c r="P45" s="371" t="s">
        <v>540</v>
      </c>
      <c r="Q45" s="372">
        <v>45228619</v>
      </c>
      <c r="R45" s="372">
        <v>4263294</v>
      </c>
      <c r="S45" s="372">
        <v>4263294</v>
      </c>
      <c r="T45" s="372">
        <v>40965325</v>
      </c>
      <c r="U45" s="372">
        <f t="shared" si="48"/>
        <v>45228.618999999999</v>
      </c>
      <c r="V45" s="505">
        <f t="shared" si="49"/>
        <v>4263.2939999999999</v>
      </c>
      <c r="W45" s="505">
        <f t="shared" si="50"/>
        <v>4263.2939999999999</v>
      </c>
      <c r="X45" s="505">
        <f t="shared" si="51"/>
        <v>40965.324999999997</v>
      </c>
      <c r="AA45" s="371" t="s">
        <v>354</v>
      </c>
      <c r="AB45" s="372">
        <v>32673397</v>
      </c>
      <c r="AC45" s="505">
        <f t="shared" si="52"/>
        <v>32673.397000000001</v>
      </c>
      <c r="AE45" s="373" t="s">
        <v>540</v>
      </c>
      <c r="AF45" s="504">
        <v>45228619</v>
      </c>
      <c r="AG45" s="504">
        <v>12951544</v>
      </c>
      <c r="AH45" s="504">
        <v>12951544</v>
      </c>
      <c r="AI45" s="504">
        <v>32277075</v>
      </c>
      <c r="AJ45" s="504">
        <f t="shared" si="53"/>
        <v>45228.618999999999</v>
      </c>
      <c r="AK45" s="504">
        <f t="shared" si="54"/>
        <v>12951.544</v>
      </c>
      <c r="AL45" s="504">
        <f t="shared" si="55"/>
        <v>12951.544</v>
      </c>
      <c r="AM45" s="504">
        <f t="shared" si="56"/>
        <v>32277.075000000001</v>
      </c>
      <c r="AP45" s="371" t="s">
        <v>358</v>
      </c>
      <c r="AQ45" s="372">
        <v>74358122</v>
      </c>
      <c r="AR45" s="372">
        <f t="shared" si="18"/>
        <v>74358.122000000003</v>
      </c>
      <c r="AT45" s="371" t="s">
        <v>540</v>
      </c>
      <c r="AU45" s="372">
        <v>45228619</v>
      </c>
      <c r="AV45" s="372">
        <v>17333444</v>
      </c>
      <c r="AW45" s="372">
        <v>17333444</v>
      </c>
      <c r="AX45" s="372">
        <v>27895175</v>
      </c>
      <c r="AY45" s="504">
        <f t="shared" si="19"/>
        <v>45228.618999999999</v>
      </c>
      <c r="AZ45" s="504">
        <f t="shared" si="20"/>
        <v>17333.444</v>
      </c>
      <c r="BA45" s="504">
        <f t="shared" si="21"/>
        <v>17333.444</v>
      </c>
      <c r="BB45" s="504">
        <f t="shared" si="22"/>
        <v>27895.174999999999</v>
      </c>
      <c r="BD45" s="782" t="s">
        <v>365</v>
      </c>
      <c r="BE45" s="644">
        <v>456960</v>
      </c>
      <c r="BF45" s="650">
        <f t="shared" si="23"/>
        <v>456.96</v>
      </c>
      <c r="BH45" s="782" t="s">
        <v>540</v>
      </c>
      <c r="BI45" s="644">
        <v>45228619</v>
      </c>
      <c r="BJ45" s="644">
        <v>17333444</v>
      </c>
      <c r="BK45" s="644">
        <v>17333444</v>
      </c>
      <c r="BL45" s="644">
        <v>27895175</v>
      </c>
      <c r="BM45" s="548">
        <f t="shared" si="24"/>
        <v>45228.618999999999</v>
      </c>
      <c r="BN45" s="548">
        <f t="shared" si="25"/>
        <v>17333.444</v>
      </c>
      <c r="BO45" s="548">
        <f t="shared" si="26"/>
        <v>17333.444</v>
      </c>
      <c r="BP45" s="650">
        <f t="shared" si="27"/>
        <v>27895.174999999999</v>
      </c>
      <c r="BS45" s="373" t="s">
        <v>354</v>
      </c>
      <c r="BT45" s="597">
        <v>33306571</v>
      </c>
      <c r="BU45" s="597">
        <f t="shared" si="28"/>
        <v>33306.571000000004</v>
      </c>
      <c r="BW45" s="597" t="s">
        <v>540</v>
      </c>
      <c r="BX45" s="597">
        <v>45228619</v>
      </c>
      <c r="BY45" s="597">
        <v>26248344</v>
      </c>
      <c r="BZ45" s="597">
        <v>18980275</v>
      </c>
      <c r="CA45" s="597">
        <v>26248344</v>
      </c>
      <c r="CB45" s="597">
        <f t="shared" si="29"/>
        <v>45228.618999999999</v>
      </c>
      <c r="CC45" s="597">
        <f t="shared" si="30"/>
        <v>26248.344000000001</v>
      </c>
      <c r="CD45" s="597">
        <f t="shared" si="31"/>
        <v>18980.275000000001</v>
      </c>
      <c r="CE45" s="597">
        <f t="shared" si="32"/>
        <v>26248.344000000001</v>
      </c>
      <c r="CG45" s="373" t="s">
        <v>367</v>
      </c>
      <c r="CH45" s="597">
        <v>63100</v>
      </c>
      <c r="CI45" s="597">
        <f t="shared" si="33"/>
        <v>63.1</v>
      </c>
      <c r="CK45" s="371" t="s">
        <v>540</v>
      </c>
      <c r="CL45" s="372">
        <v>45228619</v>
      </c>
      <c r="CM45" s="372">
        <v>30705794</v>
      </c>
      <c r="CN45" s="372">
        <v>30705794</v>
      </c>
      <c r="CO45" s="372">
        <v>14522825</v>
      </c>
      <c r="CP45" s="597">
        <f t="shared" si="34"/>
        <v>45228.618999999999</v>
      </c>
      <c r="CQ45" s="597">
        <f t="shared" si="35"/>
        <v>30705.794000000002</v>
      </c>
      <c r="CR45" s="597">
        <f t="shared" si="36"/>
        <v>30705.794000000002</v>
      </c>
      <c r="CS45" s="597">
        <f t="shared" si="37"/>
        <v>14522.825000000001</v>
      </c>
      <c r="CU45" s="548"/>
      <c r="CV45" s="371" t="s">
        <v>361</v>
      </c>
      <c r="CW45" s="372">
        <v>385690345</v>
      </c>
      <c r="CX45" s="372">
        <f t="shared" si="38"/>
        <v>385690.34499999997</v>
      </c>
      <c r="CZ45" s="1059" t="s">
        <v>540</v>
      </c>
      <c r="DA45" s="1060">
        <v>45228619</v>
      </c>
      <c r="DB45" s="1060">
        <v>35193464</v>
      </c>
      <c r="DC45" s="1060">
        <v>35193464</v>
      </c>
      <c r="DD45" s="1060">
        <v>10035155</v>
      </c>
      <c r="DE45" s="1060">
        <f t="shared" si="39"/>
        <v>45228.618999999999</v>
      </c>
      <c r="DF45" s="1060">
        <f t="shared" si="40"/>
        <v>35193.464</v>
      </c>
      <c r="DG45" s="1060">
        <f t="shared" si="41"/>
        <v>35193.464</v>
      </c>
      <c r="DH45" s="1060">
        <f t="shared" si="42"/>
        <v>10035.155000000001</v>
      </c>
    </row>
    <row r="46" spans="1:112" x14ac:dyDescent="0.25">
      <c r="A46" s="504" t="s">
        <v>541</v>
      </c>
      <c r="B46" s="504">
        <v>566120491</v>
      </c>
      <c r="C46" s="504">
        <v>40176220</v>
      </c>
      <c r="D46" s="504">
        <v>40176220</v>
      </c>
      <c r="E46" s="504">
        <v>525944271</v>
      </c>
      <c r="F46" s="504">
        <f t="shared" si="43"/>
        <v>566120.49100000004</v>
      </c>
      <c r="G46" s="504">
        <f t="shared" si="44"/>
        <v>40176.22</v>
      </c>
      <c r="H46" s="504">
        <f t="shared" si="45"/>
        <v>40176.22</v>
      </c>
      <c r="I46" s="504">
        <f t="shared" si="46"/>
        <v>525944.27099999995</v>
      </c>
      <c r="L46" s="371" t="s">
        <v>365</v>
      </c>
      <c r="M46" s="372">
        <v>3272477</v>
      </c>
      <c r="N46" s="372">
        <f t="shared" si="47"/>
        <v>3272.4769999999999</v>
      </c>
      <c r="P46" s="371" t="s">
        <v>541</v>
      </c>
      <c r="Q46" s="372">
        <v>566120491</v>
      </c>
      <c r="R46" s="372">
        <v>81165036</v>
      </c>
      <c r="S46" s="372">
        <v>81165036</v>
      </c>
      <c r="T46" s="372">
        <v>484955455</v>
      </c>
      <c r="U46" s="372">
        <f t="shared" si="48"/>
        <v>566120.49100000004</v>
      </c>
      <c r="V46" s="505">
        <f t="shared" si="49"/>
        <v>81165.035999999993</v>
      </c>
      <c r="W46" s="505">
        <f t="shared" si="50"/>
        <v>81165.035999999993</v>
      </c>
      <c r="X46" s="505">
        <f t="shared" si="51"/>
        <v>484955.45500000002</v>
      </c>
      <c r="AA46" s="371" t="s">
        <v>544</v>
      </c>
      <c r="AB46" s="372">
        <v>21020258</v>
      </c>
      <c r="AC46" s="505">
        <f t="shared" si="52"/>
        <v>21020.258000000002</v>
      </c>
      <c r="AE46" s="373" t="s">
        <v>541</v>
      </c>
      <c r="AF46" s="504">
        <v>566120491</v>
      </c>
      <c r="AG46" s="504">
        <v>141432468</v>
      </c>
      <c r="AH46" s="504">
        <v>141432468</v>
      </c>
      <c r="AI46" s="504">
        <v>424688023</v>
      </c>
      <c r="AJ46" s="504">
        <f t="shared" si="53"/>
        <v>566120.49100000004</v>
      </c>
      <c r="AK46" s="504">
        <f t="shared" si="54"/>
        <v>141432.46799999999</v>
      </c>
      <c r="AL46" s="504">
        <f t="shared" si="55"/>
        <v>141432.46799999999</v>
      </c>
      <c r="AM46" s="504">
        <f t="shared" si="56"/>
        <v>424688.02299999999</v>
      </c>
      <c r="AP46" s="371" t="s">
        <v>546</v>
      </c>
      <c r="AQ46" s="372">
        <v>74358122</v>
      </c>
      <c r="AR46" s="372">
        <f t="shared" si="18"/>
        <v>74358.122000000003</v>
      </c>
      <c r="AT46" s="371" t="s">
        <v>541</v>
      </c>
      <c r="AU46" s="372">
        <v>566120491</v>
      </c>
      <c r="AV46" s="372">
        <v>186966712</v>
      </c>
      <c r="AW46" s="372">
        <v>186966712</v>
      </c>
      <c r="AX46" s="372">
        <v>379153779</v>
      </c>
      <c r="AY46" s="504">
        <f t="shared" si="19"/>
        <v>566120.49100000004</v>
      </c>
      <c r="AZ46" s="504">
        <f t="shared" si="20"/>
        <v>186966.712</v>
      </c>
      <c r="BA46" s="504">
        <f t="shared" si="21"/>
        <v>186966.712</v>
      </c>
      <c r="BB46" s="504">
        <f t="shared" si="22"/>
        <v>379153.77899999998</v>
      </c>
      <c r="BD46" s="782" t="s">
        <v>366</v>
      </c>
      <c r="BE46" s="644">
        <v>30940</v>
      </c>
      <c r="BF46" s="650">
        <f t="shared" si="23"/>
        <v>30.94</v>
      </c>
      <c r="BH46" s="782" t="s">
        <v>541</v>
      </c>
      <c r="BI46" s="644">
        <v>566120491</v>
      </c>
      <c r="BJ46" s="644">
        <v>232370858</v>
      </c>
      <c r="BK46" s="644">
        <v>232370858</v>
      </c>
      <c r="BL46" s="644">
        <v>333749633</v>
      </c>
      <c r="BM46" s="548">
        <f t="shared" si="24"/>
        <v>566120.49100000004</v>
      </c>
      <c r="BN46" s="548">
        <f t="shared" si="25"/>
        <v>232370.85800000001</v>
      </c>
      <c r="BO46" s="548">
        <f t="shared" si="26"/>
        <v>232370.85800000001</v>
      </c>
      <c r="BP46" s="650">
        <f t="shared" si="27"/>
        <v>333749.63299999997</v>
      </c>
      <c r="BS46" s="373" t="s">
        <v>544</v>
      </c>
      <c r="BT46" s="597">
        <v>19750910</v>
      </c>
      <c r="BU46" s="597">
        <f t="shared" si="28"/>
        <v>19750.91</v>
      </c>
      <c r="BW46" s="597" t="s">
        <v>541</v>
      </c>
      <c r="BX46" s="597">
        <v>566120491</v>
      </c>
      <c r="BY46" s="597">
        <v>300194447</v>
      </c>
      <c r="BZ46" s="597">
        <v>265926044</v>
      </c>
      <c r="CA46" s="597">
        <v>300194447</v>
      </c>
      <c r="CB46" s="597">
        <f t="shared" si="29"/>
        <v>566120.49100000004</v>
      </c>
      <c r="CC46" s="597">
        <f t="shared" si="30"/>
        <v>300194.44699999999</v>
      </c>
      <c r="CD46" s="597">
        <f t="shared" si="31"/>
        <v>265926.04399999999</v>
      </c>
      <c r="CE46" s="597">
        <f t="shared" si="32"/>
        <v>300194.44699999999</v>
      </c>
      <c r="CG46" s="373" t="s">
        <v>552</v>
      </c>
      <c r="CH46" s="597">
        <v>3712562</v>
      </c>
      <c r="CI46" s="597">
        <f t="shared" si="33"/>
        <v>3712.5619999999999</v>
      </c>
      <c r="CK46" s="371" t="s">
        <v>541</v>
      </c>
      <c r="CL46" s="372">
        <v>566120491</v>
      </c>
      <c r="CM46" s="372">
        <v>347295480</v>
      </c>
      <c r="CN46" s="372">
        <v>347295480</v>
      </c>
      <c r="CO46" s="372">
        <v>218825011</v>
      </c>
      <c r="CP46" s="597">
        <f t="shared" si="34"/>
        <v>566120.49100000004</v>
      </c>
      <c r="CQ46" s="597">
        <f t="shared" si="35"/>
        <v>347295.48</v>
      </c>
      <c r="CR46" s="597">
        <f t="shared" si="36"/>
        <v>347295.48</v>
      </c>
      <c r="CS46" s="597">
        <f t="shared" si="37"/>
        <v>218825.011</v>
      </c>
      <c r="CU46" s="548"/>
      <c r="CV46" s="371" t="s">
        <v>364</v>
      </c>
      <c r="CW46" s="372">
        <v>490000</v>
      </c>
      <c r="CX46" s="372">
        <f t="shared" si="38"/>
        <v>490</v>
      </c>
      <c r="CZ46" s="1059" t="s">
        <v>541</v>
      </c>
      <c r="DA46" s="1060">
        <v>566120491</v>
      </c>
      <c r="DB46" s="1060">
        <v>404979510</v>
      </c>
      <c r="DC46" s="1060">
        <v>404979510</v>
      </c>
      <c r="DD46" s="1060">
        <v>161140981</v>
      </c>
      <c r="DE46" s="1060">
        <f t="shared" si="39"/>
        <v>566120.49100000004</v>
      </c>
      <c r="DF46" s="1060">
        <f t="shared" si="40"/>
        <v>404979.51</v>
      </c>
      <c r="DG46" s="1060">
        <f t="shared" si="41"/>
        <v>404979.51</v>
      </c>
      <c r="DH46" s="1060">
        <f t="shared" si="42"/>
        <v>161140.981</v>
      </c>
    </row>
    <row r="47" spans="1:112" x14ac:dyDescent="0.25">
      <c r="A47" s="504" t="s">
        <v>542</v>
      </c>
      <c r="B47" s="504">
        <v>1544483258</v>
      </c>
      <c r="C47" s="504">
        <v>0</v>
      </c>
      <c r="D47" s="504">
        <v>0</v>
      </c>
      <c r="E47" s="504">
        <v>1544483258</v>
      </c>
      <c r="F47" s="504">
        <f t="shared" si="43"/>
        <v>1544483.2579999999</v>
      </c>
      <c r="G47" s="504">
        <f t="shared" si="44"/>
        <v>0</v>
      </c>
      <c r="H47" s="504">
        <f t="shared" si="45"/>
        <v>0</v>
      </c>
      <c r="I47" s="504">
        <f t="shared" si="46"/>
        <v>1544483.2579999999</v>
      </c>
      <c r="L47" s="371" t="s">
        <v>552</v>
      </c>
      <c r="M47" s="372">
        <v>5331200</v>
      </c>
      <c r="N47" s="372">
        <f t="shared" si="47"/>
        <v>5331.2</v>
      </c>
      <c r="P47" s="371" t="s">
        <v>542</v>
      </c>
      <c r="Q47" s="372">
        <v>1544483258</v>
      </c>
      <c r="R47" s="372">
        <v>0</v>
      </c>
      <c r="S47" s="372">
        <v>0</v>
      </c>
      <c r="T47" s="372">
        <v>1544483258</v>
      </c>
      <c r="U47" s="372">
        <f t="shared" si="48"/>
        <v>1544483.2579999999</v>
      </c>
      <c r="V47" s="505">
        <f t="shared" si="49"/>
        <v>0</v>
      </c>
      <c r="W47" s="505">
        <f t="shared" si="50"/>
        <v>0</v>
      </c>
      <c r="X47" s="505">
        <f t="shared" si="51"/>
        <v>1544483.2579999999</v>
      </c>
      <c r="AA47" s="371" t="s">
        <v>545</v>
      </c>
      <c r="AB47" s="372">
        <v>3013547</v>
      </c>
      <c r="AC47" s="505">
        <f t="shared" si="52"/>
        <v>3013.547</v>
      </c>
      <c r="AE47" s="373" t="s">
        <v>542</v>
      </c>
      <c r="AF47" s="504">
        <v>1544483258</v>
      </c>
      <c r="AG47" s="504">
        <v>412650632</v>
      </c>
      <c r="AH47" s="504">
        <v>412650632</v>
      </c>
      <c r="AI47" s="504">
        <v>1131832626</v>
      </c>
      <c r="AJ47" s="504">
        <f t="shared" si="53"/>
        <v>1544483.2579999999</v>
      </c>
      <c r="AK47" s="504">
        <f t="shared" si="54"/>
        <v>412650.63199999998</v>
      </c>
      <c r="AL47" s="504">
        <f t="shared" si="55"/>
        <v>412650.63199999998</v>
      </c>
      <c r="AM47" s="504">
        <f t="shared" si="56"/>
        <v>1131832.6259999999</v>
      </c>
      <c r="AP47" s="371" t="s">
        <v>547</v>
      </c>
      <c r="AQ47" s="372">
        <v>73151530</v>
      </c>
      <c r="AR47" s="372">
        <f t="shared" si="18"/>
        <v>73151.53</v>
      </c>
      <c r="AT47" s="371" t="s">
        <v>542</v>
      </c>
      <c r="AU47" s="372">
        <v>1544483258</v>
      </c>
      <c r="AV47" s="372">
        <v>412778057</v>
      </c>
      <c r="AW47" s="372">
        <v>412778057</v>
      </c>
      <c r="AX47" s="372">
        <v>1131705201</v>
      </c>
      <c r="AY47" s="504">
        <f t="shared" si="19"/>
        <v>1544483.2579999999</v>
      </c>
      <c r="AZ47" s="504">
        <f t="shared" si="20"/>
        <v>412778.05699999997</v>
      </c>
      <c r="BA47" s="504">
        <f t="shared" si="21"/>
        <v>412778.05699999997</v>
      </c>
      <c r="BB47" s="504">
        <f t="shared" si="22"/>
        <v>1131705.2009999999</v>
      </c>
      <c r="BD47" s="782" t="s">
        <v>367</v>
      </c>
      <c r="BE47" s="644">
        <v>9891359</v>
      </c>
      <c r="BF47" s="650">
        <f t="shared" si="23"/>
        <v>9891.3590000000004</v>
      </c>
      <c r="BH47" s="782" t="s">
        <v>542</v>
      </c>
      <c r="BI47" s="644">
        <v>1544483258</v>
      </c>
      <c r="BJ47" s="644">
        <v>412778057</v>
      </c>
      <c r="BK47" s="644">
        <v>412778057</v>
      </c>
      <c r="BL47" s="644">
        <v>1131705201</v>
      </c>
      <c r="BM47" s="548">
        <f t="shared" si="24"/>
        <v>1544483.2579999999</v>
      </c>
      <c r="BN47" s="548">
        <f t="shared" si="25"/>
        <v>412778.05699999997</v>
      </c>
      <c r="BO47" s="548">
        <f t="shared" si="26"/>
        <v>412778.05699999997</v>
      </c>
      <c r="BP47" s="650">
        <f t="shared" si="27"/>
        <v>1131705.2009999999</v>
      </c>
      <c r="BS47" s="373" t="s">
        <v>545</v>
      </c>
      <c r="BT47" s="597">
        <v>3864325</v>
      </c>
      <c r="BU47" s="597">
        <f t="shared" si="28"/>
        <v>3864.3249999999998</v>
      </c>
      <c r="BW47" s="597" t="s">
        <v>542</v>
      </c>
      <c r="BX47" s="597">
        <v>1544483258</v>
      </c>
      <c r="BY47" s="597">
        <v>826001537</v>
      </c>
      <c r="BZ47" s="597">
        <v>718481721</v>
      </c>
      <c r="CA47" s="597">
        <v>826001537</v>
      </c>
      <c r="CB47" s="597">
        <f t="shared" si="29"/>
        <v>1544483.2579999999</v>
      </c>
      <c r="CC47" s="597">
        <f t="shared" si="30"/>
        <v>826001.53700000001</v>
      </c>
      <c r="CD47" s="597">
        <f t="shared" si="31"/>
        <v>718481.72100000002</v>
      </c>
      <c r="CE47" s="597">
        <f t="shared" si="32"/>
        <v>826001.53700000001</v>
      </c>
      <c r="CG47" s="373" t="s">
        <v>554</v>
      </c>
      <c r="CH47" s="597">
        <v>124950</v>
      </c>
      <c r="CI47" s="597">
        <f t="shared" si="33"/>
        <v>124.95</v>
      </c>
      <c r="CK47" s="371" t="s">
        <v>542</v>
      </c>
      <c r="CL47" s="372">
        <v>1544483258</v>
      </c>
      <c r="CM47" s="372">
        <v>826001537</v>
      </c>
      <c r="CN47" s="372">
        <v>826001537</v>
      </c>
      <c r="CO47" s="372">
        <v>718481721</v>
      </c>
      <c r="CP47" s="597">
        <f t="shared" si="34"/>
        <v>1544483.2579999999</v>
      </c>
      <c r="CQ47" s="597">
        <f t="shared" si="35"/>
        <v>826001.53700000001</v>
      </c>
      <c r="CR47" s="597">
        <f t="shared" si="36"/>
        <v>826001.53700000001</v>
      </c>
      <c r="CS47" s="597">
        <f t="shared" si="37"/>
        <v>718481.72100000002</v>
      </c>
      <c r="CU47" s="548"/>
      <c r="CV47" s="371" t="s">
        <v>552</v>
      </c>
      <c r="CW47" s="372">
        <v>107100</v>
      </c>
      <c r="CX47" s="372">
        <f t="shared" si="38"/>
        <v>107.1</v>
      </c>
      <c r="CZ47" s="1059" t="s">
        <v>542</v>
      </c>
      <c r="DA47" s="1060">
        <v>1544483258</v>
      </c>
      <c r="DB47" s="1060">
        <v>826001537</v>
      </c>
      <c r="DC47" s="1060">
        <v>826001537</v>
      </c>
      <c r="DD47" s="1060">
        <v>718481721</v>
      </c>
      <c r="DE47" s="1060">
        <f t="shared" si="39"/>
        <v>1544483.2579999999</v>
      </c>
      <c r="DF47" s="1060">
        <f t="shared" si="40"/>
        <v>826001.53700000001</v>
      </c>
      <c r="DG47" s="1060">
        <f t="shared" si="41"/>
        <v>826001.53700000001</v>
      </c>
      <c r="DH47" s="1060">
        <f t="shared" si="42"/>
        <v>718481.72100000002</v>
      </c>
    </row>
    <row r="48" spans="1:112" x14ac:dyDescent="0.25">
      <c r="A48" s="504" t="s">
        <v>543</v>
      </c>
      <c r="B48" s="504">
        <v>795328066</v>
      </c>
      <c r="C48" s="504">
        <v>0</v>
      </c>
      <c r="D48" s="504">
        <v>0</v>
      </c>
      <c r="E48" s="504">
        <v>795328066</v>
      </c>
      <c r="F48" s="504">
        <f t="shared" si="43"/>
        <v>795328.06599999999</v>
      </c>
      <c r="G48" s="504">
        <f t="shared" si="44"/>
        <v>0</v>
      </c>
      <c r="H48" s="504">
        <f t="shared" si="45"/>
        <v>0</v>
      </c>
      <c r="I48" s="504">
        <f t="shared" si="46"/>
        <v>795328.06599999999</v>
      </c>
      <c r="L48" s="371" t="s">
        <v>553</v>
      </c>
      <c r="M48" s="372">
        <v>1386933</v>
      </c>
      <c r="N48" s="372">
        <f t="shared" si="47"/>
        <v>1386.933</v>
      </c>
      <c r="P48" s="371" t="s">
        <v>543</v>
      </c>
      <c r="Q48" s="372">
        <v>795328066</v>
      </c>
      <c r="R48" s="372">
        <v>0</v>
      </c>
      <c r="S48" s="372">
        <v>0</v>
      </c>
      <c r="T48" s="372">
        <v>795328066</v>
      </c>
      <c r="U48" s="372">
        <f t="shared" si="48"/>
        <v>795328.06599999999</v>
      </c>
      <c r="V48" s="505">
        <f t="shared" si="49"/>
        <v>0</v>
      </c>
      <c r="W48" s="505">
        <f t="shared" si="50"/>
        <v>0</v>
      </c>
      <c r="X48" s="505">
        <f t="shared" si="51"/>
        <v>795328.06599999999</v>
      </c>
      <c r="AA48" s="371" t="s">
        <v>582</v>
      </c>
      <c r="AB48" s="372">
        <v>8639592</v>
      </c>
      <c r="AC48" s="505">
        <f t="shared" si="52"/>
        <v>8639.5920000000006</v>
      </c>
      <c r="AE48" s="373" t="s">
        <v>543</v>
      </c>
      <c r="AF48" s="504">
        <v>795328066</v>
      </c>
      <c r="AG48" s="504">
        <v>208153772</v>
      </c>
      <c r="AH48" s="504">
        <v>208153772</v>
      </c>
      <c r="AI48" s="504">
        <v>587174294</v>
      </c>
      <c r="AJ48" s="504">
        <f t="shared" si="53"/>
        <v>795328.06599999999</v>
      </c>
      <c r="AK48" s="504">
        <f t="shared" si="54"/>
        <v>208153.772</v>
      </c>
      <c r="AL48" s="504">
        <f t="shared" si="55"/>
        <v>208153.772</v>
      </c>
      <c r="AM48" s="504">
        <f t="shared" si="56"/>
        <v>587174.29399999999</v>
      </c>
      <c r="AP48" s="371" t="s">
        <v>548</v>
      </c>
      <c r="AQ48" s="372">
        <v>1206592</v>
      </c>
      <c r="AR48" s="372">
        <f t="shared" si="18"/>
        <v>1206.5920000000001</v>
      </c>
      <c r="AT48" s="371" t="s">
        <v>543</v>
      </c>
      <c r="AU48" s="372">
        <v>795328066</v>
      </c>
      <c r="AV48" s="372">
        <v>208281197</v>
      </c>
      <c r="AW48" s="372">
        <v>208281197</v>
      </c>
      <c r="AX48" s="372">
        <v>587046869</v>
      </c>
      <c r="AY48" s="504">
        <f t="shared" si="19"/>
        <v>795328.06599999999</v>
      </c>
      <c r="AZ48" s="504">
        <f t="shared" si="20"/>
        <v>208281.19699999999</v>
      </c>
      <c r="BA48" s="504">
        <f t="shared" si="21"/>
        <v>208281.19699999999</v>
      </c>
      <c r="BB48" s="504">
        <f t="shared" si="22"/>
        <v>587046.86899999995</v>
      </c>
      <c r="BD48" s="782" t="s">
        <v>553</v>
      </c>
      <c r="BE48" s="644">
        <v>466480</v>
      </c>
      <c r="BF48" s="650">
        <f t="shared" si="23"/>
        <v>466.48</v>
      </c>
      <c r="BH48" s="782" t="s">
        <v>543</v>
      </c>
      <c r="BI48" s="644">
        <v>795328066</v>
      </c>
      <c r="BJ48" s="644">
        <v>208281197</v>
      </c>
      <c r="BK48" s="644">
        <v>208281197</v>
      </c>
      <c r="BL48" s="644">
        <v>587046869</v>
      </c>
      <c r="BM48" s="548">
        <f t="shared" si="24"/>
        <v>795328.06599999999</v>
      </c>
      <c r="BN48" s="548">
        <f t="shared" si="25"/>
        <v>208281.19699999999</v>
      </c>
      <c r="BO48" s="548">
        <f t="shared" si="26"/>
        <v>208281.19699999999</v>
      </c>
      <c r="BP48" s="650">
        <f t="shared" si="27"/>
        <v>587046.86899999995</v>
      </c>
      <c r="BS48" s="373" t="s">
        <v>582</v>
      </c>
      <c r="BT48" s="597">
        <v>9691336</v>
      </c>
      <c r="BU48" s="597">
        <f t="shared" si="28"/>
        <v>9691.3359999999993</v>
      </c>
      <c r="BW48" s="597" t="s">
        <v>543</v>
      </c>
      <c r="BX48" s="597">
        <v>795328066</v>
      </c>
      <c r="BY48" s="597">
        <v>419064113</v>
      </c>
      <c r="BZ48" s="597">
        <v>376263953</v>
      </c>
      <c r="CA48" s="597">
        <v>419064113</v>
      </c>
      <c r="CB48" s="597">
        <f t="shared" si="29"/>
        <v>795328.06599999999</v>
      </c>
      <c r="CC48" s="597">
        <f t="shared" si="30"/>
        <v>419064.11300000001</v>
      </c>
      <c r="CD48" s="597">
        <f t="shared" si="31"/>
        <v>376263.95299999998</v>
      </c>
      <c r="CE48" s="597">
        <f t="shared" si="32"/>
        <v>419064.11300000001</v>
      </c>
      <c r="CG48" s="373" t="s">
        <v>368</v>
      </c>
      <c r="CH48" s="597">
        <v>138040</v>
      </c>
      <c r="CI48" s="597">
        <f t="shared" si="33"/>
        <v>138.04</v>
      </c>
      <c r="CK48" s="371" t="s">
        <v>543</v>
      </c>
      <c r="CL48" s="372">
        <v>795328066</v>
      </c>
      <c r="CM48" s="372">
        <v>419064113</v>
      </c>
      <c r="CN48" s="372">
        <v>419064113</v>
      </c>
      <c r="CO48" s="372">
        <v>376263953</v>
      </c>
      <c r="CP48" s="597">
        <f t="shared" si="34"/>
        <v>795328.06599999999</v>
      </c>
      <c r="CQ48" s="597">
        <f t="shared" si="35"/>
        <v>419064.11300000001</v>
      </c>
      <c r="CR48" s="597">
        <f t="shared" si="36"/>
        <v>419064.11300000001</v>
      </c>
      <c r="CS48" s="597">
        <f t="shared" si="37"/>
        <v>376263.95299999998</v>
      </c>
      <c r="CU48" s="548"/>
      <c r="CV48" s="371" t="s">
        <v>554</v>
      </c>
      <c r="CW48" s="372">
        <v>246212</v>
      </c>
      <c r="CX48" s="372">
        <f t="shared" si="38"/>
        <v>246.21199999999999</v>
      </c>
      <c r="CZ48" s="1059" t="s">
        <v>543</v>
      </c>
      <c r="DA48" s="1060">
        <v>795328066</v>
      </c>
      <c r="DB48" s="1060">
        <v>419064113</v>
      </c>
      <c r="DC48" s="1060">
        <v>419064113</v>
      </c>
      <c r="DD48" s="1060">
        <v>376263953</v>
      </c>
      <c r="DE48" s="1060">
        <f t="shared" si="39"/>
        <v>795328.06599999999</v>
      </c>
      <c r="DF48" s="1060">
        <f t="shared" si="40"/>
        <v>419064.11300000001</v>
      </c>
      <c r="DG48" s="1060">
        <f t="shared" si="41"/>
        <v>419064.11300000001</v>
      </c>
      <c r="DH48" s="1060">
        <f t="shared" si="42"/>
        <v>376263.95299999998</v>
      </c>
    </row>
    <row r="49" spans="1:112" x14ac:dyDescent="0.25">
      <c r="A49" s="504" t="s">
        <v>353</v>
      </c>
      <c r="B49" s="504">
        <v>749155192</v>
      </c>
      <c r="C49" s="504">
        <v>0</v>
      </c>
      <c r="D49" s="504">
        <v>0</v>
      </c>
      <c r="E49" s="504">
        <v>749155192</v>
      </c>
      <c r="F49" s="504">
        <f t="shared" si="43"/>
        <v>749155.19200000004</v>
      </c>
      <c r="G49" s="504">
        <f t="shared" si="44"/>
        <v>0</v>
      </c>
      <c r="H49" s="504">
        <f t="shared" si="45"/>
        <v>0</v>
      </c>
      <c r="I49" s="504">
        <f t="shared" si="46"/>
        <v>749155.19200000004</v>
      </c>
      <c r="L49" s="371" t="s">
        <v>554</v>
      </c>
      <c r="M49" s="372">
        <v>750750</v>
      </c>
      <c r="N49" s="372">
        <f t="shared" si="47"/>
        <v>750.75</v>
      </c>
      <c r="P49" s="371" t="s">
        <v>353</v>
      </c>
      <c r="Q49" s="372">
        <v>749155192</v>
      </c>
      <c r="R49" s="372">
        <v>0</v>
      </c>
      <c r="S49" s="372">
        <v>0</v>
      </c>
      <c r="T49" s="372">
        <v>749155192</v>
      </c>
      <c r="U49" s="372">
        <f t="shared" si="48"/>
        <v>749155.19200000004</v>
      </c>
      <c r="V49" s="505">
        <f t="shared" si="49"/>
        <v>0</v>
      </c>
      <c r="W49" s="505">
        <f t="shared" si="50"/>
        <v>0</v>
      </c>
      <c r="X49" s="505">
        <f t="shared" si="51"/>
        <v>749155.19200000004</v>
      </c>
      <c r="AA49" s="371" t="s">
        <v>355</v>
      </c>
      <c r="AB49" s="372">
        <v>8623200</v>
      </c>
      <c r="AC49" s="505">
        <f t="shared" si="52"/>
        <v>8623.2000000000007</v>
      </c>
      <c r="AE49" s="373" t="s">
        <v>353</v>
      </c>
      <c r="AF49" s="504">
        <v>749155192</v>
      </c>
      <c r="AG49" s="504">
        <v>204496860</v>
      </c>
      <c r="AH49" s="504">
        <v>204496860</v>
      </c>
      <c r="AI49" s="504">
        <v>544658332</v>
      </c>
      <c r="AJ49" s="504">
        <f t="shared" si="53"/>
        <v>749155.19200000004</v>
      </c>
      <c r="AK49" s="504">
        <f t="shared" si="54"/>
        <v>204496.86</v>
      </c>
      <c r="AL49" s="504">
        <f t="shared" si="55"/>
        <v>204496.86</v>
      </c>
      <c r="AM49" s="504">
        <f t="shared" si="56"/>
        <v>544658.33200000005</v>
      </c>
      <c r="AP49" s="371" t="s">
        <v>361</v>
      </c>
      <c r="AQ49" s="372">
        <v>311798788</v>
      </c>
      <c r="AR49" s="372">
        <f t="shared" si="18"/>
        <v>311798.788</v>
      </c>
      <c r="AT49" s="371" t="s">
        <v>353</v>
      </c>
      <c r="AU49" s="372">
        <v>749155192</v>
      </c>
      <c r="AV49" s="372">
        <v>204496860</v>
      </c>
      <c r="AW49" s="372">
        <v>204496860</v>
      </c>
      <c r="AX49" s="372">
        <v>544658332</v>
      </c>
      <c r="AY49" s="504">
        <f t="shared" si="19"/>
        <v>749155.19200000004</v>
      </c>
      <c r="AZ49" s="504">
        <f t="shared" si="20"/>
        <v>204496.86</v>
      </c>
      <c r="BA49" s="504">
        <f t="shared" si="21"/>
        <v>204496.86</v>
      </c>
      <c r="BB49" s="504">
        <f t="shared" si="22"/>
        <v>544658.33200000005</v>
      </c>
      <c r="BD49" s="782" t="s">
        <v>368</v>
      </c>
      <c r="BE49" s="644">
        <v>2381573</v>
      </c>
      <c r="BF49" s="650">
        <f t="shared" si="23"/>
        <v>2381.5729999999999</v>
      </c>
      <c r="BH49" s="782" t="s">
        <v>353</v>
      </c>
      <c r="BI49" s="644">
        <v>749155192</v>
      </c>
      <c r="BJ49" s="644">
        <v>204496860</v>
      </c>
      <c r="BK49" s="644">
        <v>204496860</v>
      </c>
      <c r="BL49" s="644">
        <v>544658332</v>
      </c>
      <c r="BM49" s="548">
        <f t="shared" si="24"/>
        <v>749155.19200000004</v>
      </c>
      <c r="BN49" s="548">
        <f t="shared" si="25"/>
        <v>204496.86</v>
      </c>
      <c r="BO49" s="548">
        <f t="shared" si="26"/>
        <v>204496.86</v>
      </c>
      <c r="BP49" s="650">
        <f t="shared" si="27"/>
        <v>544658.33200000005</v>
      </c>
      <c r="BS49" s="373" t="s">
        <v>355</v>
      </c>
      <c r="BT49" s="597">
        <v>9528636</v>
      </c>
      <c r="BU49" s="597">
        <f t="shared" si="28"/>
        <v>9528.6360000000004</v>
      </c>
      <c r="BW49" s="597" t="s">
        <v>353</v>
      </c>
      <c r="BX49" s="597">
        <v>749155192</v>
      </c>
      <c r="BY49" s="597">
        <v>406937424</v>
      </c>
      <c r="BZ49" s="597">
        <v>342217768</v>
      </c>
      <c r="CA49" s="597">
        <v>406937424</v>
      </c>
      <c r="CB49" s="597">
        <f t="shared" si="29"/>
        <v>749155.19200000004</v>
      </c>
      <c r="CC49" s="597">
        <f t="shared" si="30"/>
        <v>406937.424</v>
      </c>
      <c r="CD49" s="597">
        <f t="shared" si="31"/>
        <v>342217.76799999998</v>
      </c>
      <c r="CE49" s="597">
        <f t="shared" si="32"/>
        <v>406937.424</v>
      </c>
      <c r="CG49" s="373" t="s">
        <v>369</v>
      </c>
      <c r="CH49" s="597">
        <v>584290</v>
      </c>
      <c r="CI49" s="597">
        <f t="shared" si="33"/>
        <v>584.29</v>
      </c>
      <c r="CK49" s="371" t="s">
        <v>353</v>
      </c>
      <c r="CL49" s="372">
        <v>749155192</v>
      </c>
      <c r="CM49" s="372">
        <v>406937424</v>
      </c>
      <c r="CN49" s="372">
        <v>406937424</v>
      </c>
      <c r="CO49" s="372">
        <v>342217768</v>
      </c>
      <c r="CP49" s="597">
        <f t="shared" si="34"/>
        <v>749155.19200000004</v>
      </c>
      <c r="CQ49" s="597">
        <f t="shared" si="35"/>
        <v>406937.424</v>
      </c>
      <c r="CR49" s="597">
        <f t="shared" si="36"/>
        <v>406937.424</v>
      </c>
      <c r="CS49" s="597">
        <f t="shared" si="37"/>
        <v>342217.76799999998</v>
      </c>
      <c r="CU49" s="548"/>
      <c r="CV49" s="371" t="s">
        <v>555</v>
      </c>
      <c r="CW49" s="372">
        <v>136688</v>
      </c>
      <c r="CX49" s="372">
        <f t="shared" si="38"/>
        <v>136.68799999999999</v>
      </c>
      <c r="CZ49" s="1059" t="s">
        <v>353</v>
      </c>
      <c r="DA49" s="1060">
        <v>749155192</v>
      </c>
      <c r="DB49" s="1060">
        <v>406937424</v>
      </c>
      <c r="DC49" s="1060">
        <v>406937424</v>
      </c>
      <c r="DD49" s="1060">
        <v>342217768</v>
      </c>
      <c r="DE49" s="1060">
        <f t="shared" si="39"/>
        <v>749155.19200000004</v>
      </c>
      <c r="DF49" s="1060">
        <f t="shared" si="40"/>
        <v>406937.424</v>
      </c>
      <c r="DG49" s="1060">
        <f t="shared" si="41"/>
        <v>406937.424</v>
      </c>
      <c r="DH49" s="1060">
        <f t="shared" si="42"/>
        <v>342217.76799999998</v>
      </c>
    </row>
    <row r="50" spans="1:112" x14ac:dyDescent="0.25">
      <c r="A50" s="504" t="s">
        <v>354</v>
      </c>
      <c r="B50" s="504">
        <v>471035584</v>
      </c>
      <c r="C50" s="504">
        <v>33517371</v>
      </c>
      <c r="D50" s="504">
        <v>33517371</v>
      </c>
      <c r="E50" s="504">
        <v>437518213</v>
      </c>
      <c r="F50" s="504">
        <f t="shared" si="43"/>
        <v>471035.58399999997</v>
      </c>
      <c r="G50" s="504">
        <f t="shared" si="44"/>
        <v>33517.370999999999</v>
      </c>
      <c r="H50" s="504">
        <f t="shared" si="45"/>
        <v>33517.370999999999</v>
      </c>
      <c r="I50" s="504">
        <f t="shared" si="46"/>
        <v>437518.21299999999</v>
      </c>
      <c r="L50" s="371" t="s">
        <v>368</v>
      </c>
      <c r="M50" s="372">
        <v>151622</v>
      </c>
      <c r="N50" s="372">
        <f t="shared" si="47"/>
        <v>151.62200000000001</v>
      </c>
      <c r="P50" s="371" t="s">
        <v>354</v>
      </c>
      <c r="Q50" s="372">
        <v>471035584</v>
      </c>
      <c r="R50" s="372">
        <v>63076044</v>
      </c>
      <c r="S50" s="372">
        <v>63076044</v>
      </c>
      <c r="T50" s="372">
        <v>407959540</v>
      </c>
      <c r="U50" s="372">
        <f t="shared" si="48"/>
        <v>471035.58399999997</v>
      </c>
      <c r="V50" s="505">
        <f t="shared" si="49"/>
        <v>63076.044000000002</v>
      </c>
      <c r="W50" s="505">
        <f t="shared" si="50"/>
        <v>63076.044000000002</v>
      </c>
      <c r="X50" s="505">
        <f t="shared" si="51"/>
        <v>407959.54</v>
      </c>
      <c r="AA50" s="371" t="s">
        <v>458</v>
      </c>
      <c r="AB50" s="372">
        <v>8623200</v>
      </c>
      <c r="AC50" s="505">
        <f t="shared" si="52"/>
        <v>8623.2000000000007</v>
      </c>
      <c r="AE50" s="373" t="s">
        <v>354</v>
      </c>
      <c r="AF50" s="504">
        <v>471035584</v>
      </c>
      <c r="AG50" s="504">
        <v>95749441</v>
      </c>
      <c r="AH50" s="504">
        <v>95749441</v>
      </c>
      <c r="AI50" s="504">
        <v>375286143</v>
      </c>
      <c r="AJ50" s="504">
        <f t="shared" si="53"/>
        <v>471035.58399999997</v>
      </c>
      <c r="AK50" s="504">
        <f t="shared" si="54"/>
        <v>95749.441000000006</v>
      </c>
      <c r="AL50" s="504">
        <f t="shared" si="55"/>
        <v>95749.441000000006</v>
      </c>
      <c r="AM50" s="504">
        <f t="shared" si="56"/>
        <v>375286.14299999998</v>
      </c>
      <c r="AP50" s="371" t="s">
        <v>362</v>
      </c>
      <c r="AQ50" s="372">
        <v>9050422</v>
      </c>
      <c r="AR50" s="372">
        <f t="shared" si="18"/>
        <v>9050.4220000000005</v>
      </c>
      <c r="AT50" s="371" t="s">
        <v>354</v>
      </c>
      <c r="AU50" s="372">
        <v>471002535</v>
      </c>
      <c r="AV50" s="372">
        <v>134672325</v>
      </c>
      <c r="AW50" s="372">
        <v>134672325</v>
      </c>
      <c r="AX50" s="372">
        <v>336330210</v>
      </c>
      <c r="AY50" s="504">
        <f t="shared" si="19"/>
        <v>471002.53499999997</v>
      </c>
      <c r="AZ50" s="504">
        <f t="shared" si="20"/>
        <v>134672.32500000001</v>
      </c>
      <c r="BA50" s="504">
        <f t="shared" si="21"/>
        <v>134672.32500000001</v>
      </c>
      <c r="BB50" s="504">
        <f t="shared" si="22"/>
        <v>336330.21</v>
      </c>
      <c r="BD50" s="782" t="s">
        <v>369</v>
      </c>
      <c r="BE50" s="644">
        <v>404600</v>
      </c>
      <c r="BF50" s="650">
        <f t="shared" si="23"/>
        <v>404.6</v>
      </c>
      <c r="BH50" s="782" t="s">
        <v>354</v>
      </c>
      <c r="BI50" s="644">
        <v>471002535</v>
      </c>
      <c r="BJ50" s="644">
        <v>166139196</v>
      </c>
      <c r="BK50" s="644">
        <v>166139196</v>
      </c>
      <c r="BL50" s="644">
        <v>304863339</v>
      </c>
      <c r="BM50" s="548">
        <f t="shared" si="24"/>
        <v>471002.53499999997</v>
      </c>
      <c r="BN50" s="548">
        <f t="shared" si="25"/>
        <v>166139.196</v>
      </c>
      <c r="BO50" s="548">
        <f t="shared" si="26"/>
        <v>166139.196</v>
      </c>
      <c r="BP50" s="650">
        <f t="shared" si="27"/>
        <v>304863.33899999998</v>
      </c>
      <c r="BS50" s="373" t="s">
        <v>458</v>
      </c>
      <c r="BT50" s="597">
        <v>9528636</v>
      </c>
      <c r="BU50" s="597">
        <f t="shared" si="28"/>
        <v>9528.6360000000004</v>
      </c>
      <c r="BW50" s="597" t="s">
        <v>354</v>
      </c>
      <c r="BX50" s="597">
        <v>471035584</v>
      </c>
      <c r="BY50" s="597">
        <v>199445767</v>
      </c>
      <c r="BZ50" s="597">
        <v>271589817</v>
      </c>
      <c r="CA50" s="597">
        <v>199445767</v>
      </c>
      <c r="CB50" s="597">
        <f t="shared" si="29"/>
        <v>471035.58399999997</v>
      </c>
      <c r="CC50" s="597">
        <f t="shared" si="30"/>
        <v>199445.76699999999</v>
      </c>
      <c r="CD50" s="597">
        <f t="shared" si="31"/>
        <v>271589.81699999998</v>
      </c>
      <c r="CE50" s="597">
        <f t="shared" si="32"/>
        <v>199445.76699999999</v>
      </c>
      <c r="CG50" s="373" t="s">
        <v>370</v>
      </c>
      <c r="CH50" s="597">
        <v>7271678</v>
      </c>
      <c r="CI50" s="597">
        <f t="shared" si="33"/>
        <v>7271.6779999999999</v>
      </c>
      <c r="CK50" s="371" t="s">
        <v>354</v>
      </c>
      <c r="CL50" s="372">
        <v>472035584</v>
      </c>
      <c r="CM50" s="372">
        <v>230094260</v>
      </c>
      <c r="CN50" s="372">
        <v>230094260</v>
      </c>
      <c r="CO50" s="372">
        <v>241941324</v>
      </c>
      <c r="CP50" s="597">
        <f t="shared" si="34"/>
        <v>472035.58399999997</v>
      </c>
      <c r="CQ50" s="597">
        <f t="shared" si="35"/>
        <v>230094.26</v>
      </c>
      <c r="CR50" s="597">
        <f t="shared" si="36"/>
        <v>230094.26</v>
      </c>
      <c r="CS50" s="597">
        <f t="shared" si="37"/>
        <v>241941.32399999999</v>
      </c>
      <c r="CU50" s="548"/>
      <c r="CV50" s="371" t="s">
        <v>370</v>
      </c>
      <c r="CW50" s="372">
        <v>9383804</v>
      </c>
      <c r="CX50" s="372">
        <f t="shared" si="38"/>
        <v>9383.8040000000001</v>
      </c>
      <c r="CZ50" s="1059" t="s">
        <v>354</v>
      </c>
      <c r="DA50" s="1060">
        <v>471912578</v>
      </c>
      <c r="DB50" s="1060">
        <v>263062678</v>
      </c>
      <c r="DC50" s="1060">
        <v>263062678</v>
      </c>
      <c r="DD50" s="1060">
        <v>208849900</v>
      </c>
      <c r="DE50" s="1060">
        <f t="shared" si="39"/>
        <v>471912.57799999998</v>
      </c>
      <c r="DF50" s="1060">
        <f t="shared" si="40"/>
        <v>263062.67800000001</v>
      </c>
      <c r="DG50" s="1060">
        <f t="shared" si="41"/>
        <v>263062.67800000001</v>
      </c>
      <c r="DH50" s="1060">
        <f t="shared" si="42"/>
        <v>208849.9</v>
      </c>
    </row>
    <row r="51" spans="1:112" x14ac:dyDescent="0.25">
      <c r="A51" s="504" t="s">
        <v>544</v>
      </c>
      <c r="B51" s="504">
        <v>338878784</v>
      </c>
      <c r="C51" s="504">
        <v>18724327</v>
      </c>
      <c r="D51" s="504">
        <v>18724327</v>
      </c>
      <c r="E51" s="504">
        <v>320154457</v>
      </c>
      <c r="F51" s="504">
        <f t="shared" si="43"/>
        <v>338878.78399999999</v>
      </c>
      <c r="G51" s="504">
        <f t="shared" si="44"/>
        <v>18724.327000000001</v>
      </c>
      <c r="H51" s="504">
        <f t="shared" si="45"/>
        <v>18724.327000000001</v>
      </c>
      <c r="I51" s="504">
        <f t="shared" si="46"/>
        <v>320154.45699999999</v>
      </c>
      <c r="L51" s="371" t="s">
        <v>369</v>
      </c>
      <c r="M51" s="372">
        <v>65450</v>
      </c>
      <c r="N51" s="372">
        <f t="shared" si="47"/>
        <v>65.45</v>
      </c>
      <c r="P51" s="371" t="s">
        <v>544</v>
      </c>
      <c r="Q51" s="372">
        <v>338878784</v>
      </c>
      <c r="R51" s="372">
        <v>37278487</v>
      </c>
      <c r="S51" s="372">
        <v>37278487</v>
      </c>
      <c r="T51" s="372">
        <v>301600297</v>
      </c>
      <c r="U51" s="372">
        <f t="shared" si="48"/>
        <v>338878.78399999999</v>
      </c>
      <c r="V51" s="505">
        <f t="shared" si="49"/>
        <v>37278.487000000001</v>
      </c>
      <c r="W51" s="505">
        <f t="shared" si="50"/>
        <v>37278.487000000001</v>
      </c>
      <c r="X51" s="505">
        <f t="shared" si="51"/>
        <v>301600.29700000002</v>
      </c>
      <c r="AA51" s="371" t="s">
        <v>358</v>
      </c>
      <c r="AB51" s="372">
        <v>79301401</v>
      </c>
      <c r="AC51" s="505">
        <f t="shared" si="52"/>
        <v>79301.400999999998</v>
      </c>
      <c r="AE51" s="373" t="s">
        <v>544</v>
      </c>
      <c r="AF51" s="504">
        <v>338878784</v>
      </c>
      <c r="AG51" s="504">
        <v>58298745</v>
      </c>
      <c r="AH51" s="504">
        <v>58298745</v>
      </c>
      <c r="AI51" s="504">
        <v>280580039</v>
      </c>
      <c r="AJ51" s="504">
        <f t="shared" si="53"/>
        <v>338878.78399999999</v>
      </c>
      <c r="AK51" s="504">
        <f t="shared" si="54"/>
        <v>58298.745000000003</v>
      </c>
      <c r="AL51" s="504">
        <f t="shared" si="55"/>
        <v>58298.745000000003</v>
      </c>
      <c r="AM51" s="504">
        <f t="shared" si="56"/>
        <v>280580.03899999999</v>
      </c>
      <c r="AP51" s="371" t="s">
        <v>549</v>
      </c>
      <c r="AQ51" s="372">
        <v>9050422</v>
      </c>
      <c r="AR51" s="372">
        <f t="shared" si="18"/>
        <v>9050.4220000000005</v>
      </c>
      <c r="AT51" s="371" t="s">
        <v>544</v>
      </c>
      <c r="AU51" s="372">
        <v>338878784</v>
      </c>
      <c r="AV51" s="372">
        <v>79551283</v>
      </c>
      <c r="AW51" s="372">
        <v>79551283</v>
      </c>
      <c r="AX51" s="372">
        <v>259327501</v>
      </c>
      <c r="AY51" s="504">
        <f t="shared" si="19"/>
        <v>338878.78399999999</v>
      </c>
      <c r="AZ51" s="504">
        <f t="shared" si="20"/>
        <v>79551.282999999996</v>
      </c>
      <c r="BA51" s="504">
        <f t="shared" si="21"/>
        <v>79551.282999999996</v>
      </c>
      <c r="BB51" s="504">
        <f t="shared" si="22"/>
        <v>259327.50099999999</v>
      </c>
      <c r="BD51" s="782" t="s">
        <v>370</v>
      </c>
      <c r="BE51" s="644">
        <v>27806039</v>
      </c>
      <c r="BF51" s="650">
        <f t="shared" si="23"/>
        <v>27806.039000000001</v>
      </c>
      <c r="BH51" s="782" t="s">
        <v>544</v>
      </c>
      <c r="BI51" s="644">
        <v>338878784</v>
      </c>
      <c r="BJ51" s="644">
        <v>100259598</v>
      </c>
      <c r="BK51" s="644">
        <v>100259598</v>
      </c>
      <c r="BL51" s="644">
        <v>238619186</v>
      </c>
      <c r="BM51" s="548">
        <f t="shared" si="24"/>
        <v>338878.78399999999</v>
      </c>
      <c r="BN51" s="548">
        <f t="shared" si="25"/>
        <v>100259.598</v>
      </c>
      <c r="BO51" s="548">
        <f t="shared" si="26"/>
        <v>100259.598</v>
      </c>
      <c r="BP51" s="650">
        <f t="shared" si="27"/>
        <v>238619.18599999999</v>
      </c>
      <c r="BS51" s="373" t="s">
        <v>358</v>
      </c>
      <c r="BT51" s="597">
        <v>73017848</v>
      </c>
      <c r="BU51" s="597">
        <f t="shared" si="28"/>
        <v>73017.847999999998</v>
      </c>
      <c r="BW51" s="597" t="s">
        <v>544</v>
      </c>
      <c r="BX51" s="597">
        <v>338878784</v>
      </c>
      <c r="BY51" s="597">
        <v>120010508</v>
      </c>
      <c r="BZ51" s="597">
        <v>218868276</v>
      </c>
      <c r="CA51" s="597">
        <v>120010508</v>
      </c>
      <c r="CB51" s="597">
        <f t="shared" si="29"/>
        <v>338878.78399999999</v>
      </c>
      <c r="CC51" s="597">
        <f t="shared" si="30"/>
        <v>120010.508</v>
      </c>
      <c r="CD51" s="597">
        <f t="shared" si="31"/>
        <v>218868.27600000001</v>
      </c>
      <c r="CE51" s="597">
        <f t="shared" si="32"/>
        <v>120010.508</v>
      </c>
      <c r="CG51" s="373" t="s">
        <v>371</v>
      </c>
      <c r="CH51" s="597">
        <v>2160672</v>
      </c>
      <c r="CI51" s="597">
        <f t="shared" si="33"/>
        <v>2160.672</v>
      </c>
      <c r="CK51" s="371" t="s">
        <v>544</v>
      </c>
      <c r="CL51" s="372">
        <v>338878784</v>
      </c>
      <c r="CM51" s="372">
        <v>139718899</v>
      </c>
      <c r="CN51" s="372">
        <v>139718899</v>
      </c>
      <c r="CO51" s="372">
        <v>199159885</v>
      </c>
      <c r="CP51" s="597">
        <f t="shared" si="34"/>
        <v>338878.78399999999</v>
      </c>
      <c r="CQ51" s="597">
        <f t="shared" si="35"/>
        <v>139718.899</v>
      </c>
      <c r="CR51" s="597">
        <f t="shared" si="36"/>
        <v>139718.899</v>
      </c>
      <c r="CS51" s="597">
        <f t="shared" si="37"/>
        <v>199159.88500000001</v>
      </c>
      <c r="CU51" s="548"/>
      <c r="CV51" s="371" t="s">
        <v>371</v>
      </c>
      <c r="CW51" s="372">
        <v>2077700</v>
      </c>
      <c r="CX51" s="372">
        <f t="shared" si="38"/>
        <v>2077.6999999999998</v>
      </c>
      <c r="CZ51" s="1059" t="s">
        <v>544</v>
      </c>
      <c r="DA51" s="1060">
        <v>338878784</v>
      </c>
      <c r="DB51" s="1060">
        <v>160693406</v>
      </c>
      <c r="DC51" s="1060">
        <v>160693406</v>
      </c>
      <c r="DD51" s="1060">
        <v>178185378</v>
      </c>
      <c r="DE51" s="1060">
        <f t="shared" si="39"/>
        <v>338878.78399999999</v>
      </c>
      <c r="DF51" s="1060">
        <f t="shared" si="40"/>
        <v>160693.40599999999</v>
      </c>
      <c r="DG51" s="1060">
        <f t="shared" si="41"/>
        <v>160693.40599999999</v>
      </c>
      <c r="DH51" s="1060">
        <f t="shared" si="42"/>
        <v>178185.378</v>
      </c>
    </row>
    <row r="52" spans="1:112" x14ac:dyDescent="0.25">
      <c r="A52" s="504" t="s">
        <v>545</v>
      </c>
      <c r="B52" s="504">
        <v>56627800</v>
      </c>
      <c r="C52" s="504">
        <v>5115138</v>
      </c>
      <c r="D52" s="504">
        <v>5115138</v>
      </c>
      <c r="E52" s="504">
        <v>51512662</v>
      </c>
      <c r="F52" s="504">
        <f t="shared" si="43"/>
        <v>56627.8</v>
      </c>
      <c r="G52" s="504">
        <f t="shared" si="44"/>
        <v>5115.1379999999999</v>
      </c>
      <c r="H52" s="504">
        <f t="shared" si="45"/>
        <v>5115.1379999999999</v>
      </c>
      <c r="I52" s="504">
        <f t="shared" si="46"/>
        <v>51512.661999999997</v>
      </c>
      <c r="L52" s="371" t="s">
        <v>370</v>
      </c>
      <c r="M52" s="372">
        <v>34449579</v>
      </c>
      <c r="N52" s="372">
        <f t="shared" si="47"/>
        <v>34449.578999999998</v>
      </c>
      <c r="P52" s="371" t="s">
        <v>545</v>
      </c>
      <c r="Q52" s="372">
        <v>56627800</v>
      </c>
      <c r="R52" s="372">
        <v>8908933</v>
      </c>
      <c r="S52" s="372">
        <v>8908933</v>
      </c>
      <c r="T52" s="372">
        <v>47718867</v>
      </c>
      <c r="U52" s="372">
        <f t="shared" si="48"/>
        <v>56627.8</v>
      </c>
      <c r="V52" s="505">
        <f t="shared" si="49"/>
        <v>8908.9330000000009</v>
      </c>
      <c r="W52" s="505">
        <f t="shared" si="50"/>
        <v>8908.9330000000009</v>
      </c>
      <c r="X52" s="505">
        <f t="shared" si="51"/>
        <v>47718.866999999998</v>
      </c>
      <c r="AA52" s="371" t="s">
        <v>546</v>
      </c>
      <c r="AB52" s="372">
        <v>76313408</v>
      </c>
      <c r="AC52" s="505">
        <f t="shared" si="52"/>
        <v>76313.407999999996</v>
      </c>
      <c r="AE52" s="373" t="s">
        <v>545</v>
      </c>
      <c r="AF52" s="504">
        <v>56627800</v>
      </c>
      <c r="AG52" s="504">
        <v>11922480</v>
      </c>
      <c r="AH52" s="504">
        <v>11922480</v>
      </c>
      <c r="AI52" s="504">
        <v>44705320</v>
      </c>
      <c r="AJ52" s="504">
        <f t="shared" si="53"/>
        <v>56627.8</v>
      </c>
      <c r="AK52" s="504">
        <f t="shared" si="54"/>
        <v>11922.48</v>
      </c>
      <c r="AL52" s="504">
        <f t="shared" si="55"/>
        <v>11922.48</v>
      </c>
      <c r="AM52" s="504">
        <f t="shared" si="56"/>
        <v>44705.32</v>
      </c>
      <c r="AP52" s="371" t="s">
        <v>364</v>
      </c>
      <c r="AQ52" s="372">
        <v>727578</v>
      </c>
      <c r="AR52" s="372">
        <f t="shared" si="18"/>
        <v>727.57799999999997</v>
      </c>
      <c r="AT52" s="371" t="s">
        <v>545</v>
      </c>
      <c r="AU52" s="372">
        <v>56627800</v>
      </c>
      <c r="AV52" s="372">
        <v>15370682</v>
      </c>
      <c r="AW52" s="372">
        <v>15370682</v>
      </c>
      <c r="AX52" s="372">
        <v>41257118</v>
      </c>
      <c r="AY52" s="504">
        <f t="shared" si="19"/>
        <v>56627.8</v>
      </c>
      <c r="AZ52" s="504">
        <f t="shared" si="20"/>
        <v>15370.682000000001</v>
      </c>
      <c r="BA52" s="504">
        <f t="shared" si="21"/>
        <v>15370.682000000001</v>
      </c>
      <c r="BB52" s="504">
        <f t="shared" si="22"/>
        <v>41257.118000000002</v>
      </c>
      <c r="BD52" s="782" t="s">
        <v>371</v>
      </c>
      <c r="BE52" s="644">
        <v>1500986</v>
      </c>
      <c r="BF52" s="650">
        <f t="shared" si="23"/>
        <v>1500.9860000000001</v>
      </c>
      <c r="BH52" s="782" t="s">
        <v>545</v>
      </c>
      <c r="BI52" s="644">
        <v>56627800</v>
      </c>
      <c r="BJ52" s="644">
        <v>18509119</v>
      </c>
      <c r="BK52" s="644">
        <v>18509119</v>
      </c>
      <c r="BL52" s="644">
        <v>38118681</v>
      </c>
      <c r="BM52" s="548">
        <f t="shared" si="24"/>
        <v>56627.8</v>
      </c>
      <c r="BN52" s="548">
        <f t="shared" si="25"/>
        <v>18509.118999999999</v>
      </c>
      <c r="BO52" s="548">
        <f t="shared" si="26"/>
        <v>18509.118999999999</v>
      </c>
      <c r="BP52" s="650">
        <f t="shared" si="27"/>
        <v>38118.680999999997</v>
      </c>
      <c r="BS52" s="373" t="s">
        <v>546</v>
      </c>
      <c r="BT52" s="597">
        <v>73017848</v>
      </c>
      <c r="BU52" s="597">
        <f t="shared" si="28"/>
        <v>73017.847999999998</v>
      </c>
      <c r="BW52" s="597" t="s">
        <v>545</v>
      </c>
      <c r="BX52" s="597">
        <v>56627800</v>
      </c>
      <c r="BY52" s="597">
        <v>22373444</v>
      </c>
      <c r="BZ52" s="597">
        <v>34254356</v>
      </c>
      <c r="CA52" s="597">
        <v>22373444</v>
      </c>
      <c r="CB52" s="597">
        <f t="shared" si="29"/>
        <v>56627.8</v>
      </c>
      <c r="CC52" s="597">
        <f t="shared" si="30"/>
        <v>22373.444</v>
      </c>
      <c r="CD52" s="597">
        <f t="shared" si="31"/>
        <v>34254.356</v>
      </c>
      <c r="CE52" s="597">
        <f t="shared" si="32"/>
        <v>22373.444</v>
      </c>
      <c r="CG52" s="373" t="s">
        <v>372</v>
      </c>
      <c r="CH52" s="597">
        <v>1377673</v>
      </c>
      <c r="CI52" s="597">
        <f t="shared" si="33"/>
        <v>1377.673</v>
      </c>
      <c r="CK52" s="371" t="s">
        <v>545</v>
      </c>
      <c r="CL52" s="372">
        <v>56627800</v>
      </c>
      <c r="CM52" s="372">
        <v>25605484</v>
      </c>
      <c r="CN52" s="372">
        <v>25605484</v>
      </c>
      <c r="CO52" s="372">
        <v>31022316</v>
      </c>
      <c r="CP52" s="597">
        <f t="shared" si="34"/>
        <v>56627.8</v>
      </c>
      <c r="CQ52" s="597">
        <f t="shared" si="35"/>
        <v>25605.484</v>
      </c>
      <c r="CR52" s="597">
        <f t="shared" si="36"/>
        <v>25605.484</v>
      </c>
      <c r="CS52" s="597">
        <f t="shared" si="37"/>
        <v>31022.315999999999</v>
      </c>
      <c r="CU52" s="548"/>
      <c r="CV52" s="371" t="s">
        <v>372</v>
      </c>
      <c r="CW52" s="372">
        <v>1187933</v>
      </c>
      <c r="CX52" s="372">
        <f t="shared" si="38"/>
        <v>1187.933</v>
      </c>
      <c r="CZ52" s="1059" t="s">
        <v>545</v>
      </c>
      <c r="DA52" s="1060">
        <v>56627800</v>
      </c>
      <c r="DB52" s="1060">
        <v>29079485</v>
      </c>
      <c r="DC52" s="1060">
        <v>29079485</v>
      </c>
      <c r="DD52" s="1060">
        <v>27548315</v>
      </c>
      <c r="DE52" s="1060">
        <f t="shared" si="39"/>
        <v>56627.8</v>
      </c>
      <c r="DF52" s="1060">
        <f t="shared" si="40"/>
        <v>29079.485000000001</v>
      </c>
      <c r="DG52" s="1060">
        <f t="shared" si="41"/>
        <v>29079.485000000001</v>
      </c>
      <c r="DH52" s="1060">
        <f t="shared" si="42"/>
        <v>27548.314999999999</v>
      </c>
    </row>
    <row r="53" spans="1:112" x14ac:dyDescent="0.25">
      <c r="A53" s="504" t="s">
        <v>582</v>
      </c>
      <c r="B53" s="504">
        <v>75029000</v>
      </c>
      <c r="C53" s="504">
        <v>9677906</v>
      </c>
      <c r="D53" s="504">
        <v>9677906</v>
      </c>
      <c r="E53" s="504">
        <v>65351094</v>
      </c>
      <c r="F53" s="504">
        <f t="shared" si="43"/>
        <v>75029</v>
      </c>
      <c r="G53" s="504">
        <f t="shared" si="44"/>
        <v>9677.9060000000009</v>
      </c>
      <c r="H53" s="504">
        <f t="shared" si="45"/>
        <v>9677.9060000000009</v>
      </c>
      <c r="I53" s="504">
        <f t="shared" si="46"/>
        <v>65351.093999999997</v>
      </c>
      <c r="L53" s="371" t="s">
        <v>371</v>
      </c>
      <c r="M53" s="372">
        <v>1179804</v>
      </c>
      <c r="N53" s="372">
        <f t="shared" si="47"/>
        <v>1179.8040000000001</v>
      </c>
      <c r="P53" s="371" t="s">
        <v>582</v>
      </c>
      <c r="Q53" s="372">
        <v>75029000</v>
      </c>
      <c r="R53" s="372">
        <v>16888624</v>
      </c>
      <c r="S53" s="372">
        <v>16888624</v>
      </c>
      <c r="T53" s="372">
        <v>58140376</v>
      </c>
      <c r="U53" s="372">
        <f t="shared" si="48"/>
        <v>75029</v>
      </c>
      <c r="V53" s="505">
        <f t="shared" si="49"/>
        <v>16888.624</v>
      </c>
      <c r="W53" s="505">
        <f t="shared" si="50"/>
        <v>16888.624</v>
      </c>
      <c r="X53" s="505">
        <f t="shared" si="51"/>
        <v>58140.375999999997</v>
      </c>
      <c r="AA53" s="371" t="s">
        <v>547</v>
      </c>
      <c r="AB53" s="372">
        <v>75067876</v>
      </c>
      <c r="AC53" s="505">
        <f t="shared" si="52"/>
        <v>75067.876000000004</v>
      </c>
      <c r="AE53" s="373" t="s">
        <v>582</v>
      </c>
      <c r="AF53" s="504">
        <v>75029000</v>
      </c>
      <c r="AG53" s="504">
        <v>25528216</v>
      </c>
      <c r="AH53" s="504">
        <v>25528216</v>
      </c>
      <c r="AI53" s="504">
        <v>49500784</v>
      </c>
      <c r="AJ53" s="504">
        <f t="shared" si="53"/>
        <v>75029</v>
      </c>
      <c r="AK53" s="504">
        <f t="shared" si="54"/>
        <v>25528.216</v>
      </c>
      <c r="AL53" s="504">
        <f t="shared" si="55"/>
        <v>25528.216</v>
      </c>
      <c r="AM53" s="504">
        <f t="shared" si="56"/>
        <v>49500.784</v>
      </c>
      <c r="AP53" s="371" t="s">
        <v>365</v>
      </c>
      <c r="AQ53" s="372">
        <v>123008</v>
      </c>
      <c r="AR53" s="372">
        <f t="shared" si="18"/>
        <v>123.008</v>
      </c>
      <c r="AT53" s="371" t="s">
        <v>582</v>
      </c>
      <c r="AU53" s="372">
        <v>74995951</v>
      </c>
      <c r="AV53" s="372">
        <v>39750360</v>
      </c>
      <c r="AW53" s="372">
        <v>39750360</v>
      </c>
      <c r="AX53" s="372">
        <v>35245591</v>
      </c>
      <c r="AY53" s="504">
        <f t="shared" si="19"/>
        <v>74995.951000000001</v>
      </c>
      <c r="AZ53" s="504">
        <f t="shared" si="20"/>
        <v>39750.36</v>
      </c>
      <c r="BA53" s="504">
        <f t="shared" si="21"/>
        <v>39750.36</v>
      </c>
      <c r="BB53" s="504">
        <f t="shared" si="22"/>
        <v>35245.591</v>
      </c>
      <c r="BD53" s="782" t="s">
        <v>372</v>
      </c>
      <c r="BE53" s="644">
        <v>1532761</v>
      </c>
      <c r="BF53" s="650">
        <f t="shared" si="23"/>
        <v>1532.761</v>
      </c>
      <c r="BH53" s="782" t="s">
        <v>582</v>
      </c>
      <c r="BI53" s="644">
        <v>74995951</v>
      </c>
      <c r="BJ53" s="644">
        <v>47370479</v>
      </c>
      <c r="BK53" s="644">
        <v>47370479</v>
      </c>
      <c r="BL53" s="644">
        <v>27625472</v>
      </c>
      <c r="BM53" s="548">
        <f t="shared" si="24"/>
        <v>74995.951000000001</v>
      </c>
      <c r="BN53" s="548">
        <f t="shared" si="25"/>
        <v>47370.478999999999</v>
      </c>
      <c r="BO53" s="548">
        <f t="shared" si="26"/>
        <v>47370.478999999999</v>
      </c>
      <c r="BP53" s="650">
        <f t="shared" si="27"/>
        <v>27625.472000000002</v>
      </c>
      <c r="BS53" s="373" t="s">
        <v>547</v>
      </c>
      <c r="BT53" s="597">
        <v>72564459</v>
      </c>
      <c r="BU53" s="597">
        <f t="shared" si="28"/>
        <v>72564.459000000003</v>
      </c>
      <c r="BW53" s="597" t="s">
        <v>582</v>
      </c>
      <c r="BX53" s="597">
        <v>75029000</v>
      </c>
      <c r="BY53" s="597">
        <v>57061815</v>
      </c>
      <c r="BZ53" s="597">
        <v>17967185</v>
      </c>
      <c r="CA53" s="597">
        <v>57061815</v>
      </c>
      <c r="CB53" s="597">
        <f t="shared" si="29"/>
        <v>75029</v>
      </c>
      <c r="CC53" s="597">
        <f t="shared" si="30"/>
        <v>57061.815000000002</v>
      </c>
      <c r="CD53" s="597">
        <f t="shared" si="31"/>
        <v>17967.185000000001</v>
      </c>
      <c r="CE53" s="597">
        <f t="shared" si="32"/>
        <v>57061.815000000002</v>
      </c>
      <c r="CG53" s="373" t="s">
        <v>556</v>
      </c>
      <c r="CH53" s="597">
        <v>3733333</v>
      </c>
      <c r="CI53" s="597">
        <f t="shared" si="33"/>
        <v>3733.3330000000001</v>
      </c>
      <c r="CK53" s="371" t="s">
        <v>582</v>
      </c>
      <c r="CL53" s="372">
        <v>75029000</v>
      </c>
      <c r="CM53" s="372">
        <v>64769877</v>
      </c>
      <c r="CN53" s="372">
        <v>64769877</v>
      </c>
      <c r="CO53" s="372">
        <v>10259123</v>
      </c>
      <c r="CP53" s="597">
        <f t="shared" si="34"/>
        <v>75029</v>
      </c>
      <c r="CQ53" s="597">
        <f t="shared" si="35"/>
        <v>64769.877</v>
      </c>
      <c r="CR53" s="597">
        <f t="shared" si="36"/>
        <v>64769.877</v>
      </c>
      <c r="CS53" s="597">
        <f t="shared" si="37"/>
        <v>10259.123</v>
      </c>
      <c r="CU53" s="548"/>
      <c r="CV53" s="371" t="s">
        <v>373</v>
      </c>
      <c r="CW53" s="372">
        <v>187750</v>
      </c>
      <c r="CX53" s="372">
        <f t="shared" si="38"/>
        <v>187.75</v>
      </c>
      <c r="CZ53" s="1059" t="s">
        <v>582</v>
      </c>
      <c r="DA53" s="1060">
        <v>74905994</v>
      </c>
      <c r="DB53" s="1060">
        <v>73289787</v>
      </c>
      <c r="DC53" s="1060">
        <v>73289787</v>
      </c>
      <c r="DD53" s="1060">
        <v>1616207</v>
      </c>
      <c r="DE53" s="1060">
        <f t="shared" si="39"/>
        <v>74905.994000000006</v>
      </c>
      <c r="DF53" s="1060">
        <f t="shared" si="40"/>
        <v>73289.786999999997</v>
      </c>
      <c r="DG53" s="1060">
        <f t="shared" si="41"/>
        <v>73289.786999999997</v>
      </c>
      <c r="DH53" s="1060">
        <f t="shared" si="42"/>
        <v>1616.2070000000001</v>
      </c>
    </row>
    <row r="54" spans="1:112" x14ac:dyDescent="0.25">
      <c r="A54" s="504" t="s">
        <v>820</v>
      </c>
      <c r="B54" s="504">
        <v>500000</v>
      </c>
      <c r="C54" s="504">
        <v>0</v>
      </c>
      <c r="D54" s="504">
        <v>0</v>
      </c>
      <c r="E54" s="504">
        <v>500000</v>
      </c>
      <c r="F54" s="504">
        <f t="shared" si="43"/>
        <v>500</v>
      </c>
      <c r="G54" s="504">
        <f t="shared" si="44"/>
        <v>0</v>
      </c>
      <c r="H54" s="504">
        <f t="shared" si="45"/>
        <v>0</v>
      </c>
      <c r="I54" s="504">
        <f t="shared" si="46"/>
        <v>500</v>
      </c>
      <c r="L54" s="371" t="s">
        <v>372</v>
      </c>
      <c r="M54" s="372">
        <v>2209212</v>
      </c>
      <c r="N54" s="372">
        <f t="shared" si="47"/>
        <v>2209.212</v>
      </c>
      <c r="P54" s="371" t="s">
        <v>820</v>
      </c>
      <c r="Q54" s="372">
        <v>500000</v>
      </c>
      <c r="R54" s="372">
        <v>0</v>
      </c>
      <c r="S54" s="372">
        <v>0</v>
      </c>
      <c r="T54" s="372">
        <v>500000</v>
      </c>
      <c r="U54" s="372">
        <f t="shared" si="48"/>
        <v>500</v>
      </c>
      <c r="V54" s="505">
        <f t="shared" si="49"/>
        <v>0</v>
      </c>
      <c r="W54" s="505">
        <f t="shared" si="50"/>
        <v>0</v>
      </c>
      <c r="X54" s="505">
        <f t="shared" si="51"/>
        <v>500</v>
      </c>
      <c r="AA54" s="371" t="s">
        <v>548</v>
      </c>
      <c r="AB54" s="372">
        <v>1245532</v>
      </c>
      <c r="AC54" s="505">
        <f t="shared" si="52"/>
        <v>1245.5319999999999</v>
      </c>
      <c r="AE54" s="373" t="s">
        <v>820</v>
      </c>
      <c r="AF54" s="504">
        <v>500000</v>
      </c>
      <c r="AG54" s="504">
        <v>0</v>
      </c>
      <c r="AH54" s="504">
        <v>0</v>
      </c>
      <c r="AI54" s="504">
        <v>500000</v>
      </c>
      <c r="AJ54" s="504">
        <f t="shared" si="53"/>
        <v>500</v>
      </c>
      <c r="AK54" s="504">
        <f t="shared" si="54"/>
        <v>0</v>
      </c>
      <c r="AL54" s="504">
        <f t="shared" si="55"/>
        <v>0</v>
      </c>
      <c r="AM54" s="504">
        <f t="shared" si="56"/>
        <v>500</v>
      </c>
      <c r="AP54" s="371" t="s">
        <v>366</v>
      </c>
      <c r="AQ54" s="372">
        <v>176274</v>
      </c>
      <c r="AR54" s="372">
        <f t="shared" si="18"/>
        <v>176.274</v>
      </c>
      <c r="AT54" s="371" t="s">
        <v>820</v>
      </c>
      <c r="AU54" s="372">
        <v>500000</v>
      </c>
      <c r="AV54" s="372">
        <v>0</v>
      </c>
      <c r="AW54" s="372">
        <v>0</v>
      </c>
      <c r="AX54" s="372">
        <v>500000</v>
      </c>
      <c r="AY54" s="504">
        <f t="shared" si="19"/>
        <v>500</v>
      </c>
      <c r="AZ54" s="504">
        <f t="shared" si="20"/>
        <v>0</v>
      </c>
      <c r="BA54" s="504">
        <f t="shared" si="21"/>
        <v>0</v>
      </c>
      <c r="BB54" s="504">
        <f t="shared" si="22"/>
        <v>500</v>
      </c>
      <c r="BD54" s="782" t="s">
        <v>373</v>
      </c>
      <c r="BE54" s="644">
        <v>130600</v>
      </c>
      <c r="BF54" s="650">
        <f t="shared" si="23"/>
        <v>130.6</v>
      </c>
      <c r="BH54" s="782" t="s">
        <v>820</v>
      </c>
      <c r="BI54" s="644">
        <v>500000</v>
      </c>
      <c r="BJ54" s="644">
        <v>0</v>
      </c>
      <c r="BK54" s="644">
        <v>0</v>
      </c>
      <c r="BL54" s="644">
        <v>500000</v>
      </c>
      <c r="BM54" s="548">
        <f t="shared" si="24"/>
        <v>500</v>
      </c>
      <c r="BN54" s="548">
        <f t="shared" si="25"/>
        <v>0</v>
      </c>
      <c r="BO54" s="548">
        <f t="shared" si="26"/>
        <v>0</v>
      </c>
      <c r="BP54" s="650">
        <f t="shared" si="27"/>
        <v>500</v>
      </c>
      <c r="BS54" s="373" t="s">
        <v>548</v>
      </c>
      <c r="BT54" s="597">
        <v>453389</v>
      </c>
      <c r="BU54" s="597">
        <f t="shared" si="28"/>
        <v>453.38900000000001</v>
      </c>
      <c r="BW54" s="597" t="s">
        <v>820</v>
      </c>
      <c r="BX54" s="597">
        <v>500000</v>
      </c>
      <c r="BY54" s="597">
        <v>0</v>
      </c>
      <c r="BZ54" s="597">
        <v>500000</v>
      </c>
      <c r="CA54" s="597">
        <v>0</v>
      </c>
      <c r="CB54" s="597">
        <f t="shared" si="29"/>
        <v>500</v>
      </c>
      <c r="CC54" s="597">
        <f t="shared" si="30"/>
        <v>0</v>
      </c>
      <c r="CD54" s="597">
        <f t="shared" si="31"/>
        <v>500</v>
      </c>
      <c r="CE54" s="597">
        <f t="shared" si="32"/>
        <v>0</v>
      </c>
      <c r="CG54" s="373" t="s">
        <v>378</v>
      </c>
      <c r="CH54" s="597">
        <v>2493119</v>
      </c>
      <c r="CI54" s="597">
        <f t="shared" si="33"/>
        <v>2493.1190000000001</v>
      </c>
      <c r="CK54" s="371" t="s">
        <v>820</v>
      </c>
      <c r="CL54" s="372">
        <v>1500000</v>
      </c>
      <c r="CM54" s="372">
        <v>0</v>
      </c>
      <c r="CN54" s="372">
        <v>0</v>
      </c>
      <c r="CO54" s="372">
        <v>1500000</v>
      </c>
      <c r="CP54" s="597">
        <f t="shared" si="34"/>
        <v>1500</v>
      </c>
      <c r="CQ54" s="597">
        <f t="shared" si="35"/>
        <v>0</v>
      </c>
      <c r="CR54" s="597">
        <f t="shared" si="36"/>
        <v>0</v>
      </c>
      <c r="CS54" s="597">
        <f t="shared" si="37"/>
        <v>1500</v>
      </c>
      <c r="CU54" s="548"/>
      <c r="CV54" s="371" t="s">
        <v>374</v>
      </c>
      <c r="CW54" s="372">
        <v>1521188</v>
      </c>
      <c r="CX54" s="372">
        <f t="shared" si="38"/>
        <v>1521.1880000000001</v>
      </c>
      <c r="CZ54" s="1059" t="s">
        <v>820</v>
      </c>
      <c r="DA54" s="1060">
        <v>1500000</v>
      </c>
      <c r="DB54" s="1060">
        <v>0</v>
      </c>
      <c r="DC54" s="1060">
        <v>0</v>
      </c>
      <c r="DD54" s="1060">
        <v>1500000</v>
      </c>
      <c r="DE54" s="1060">
        <f t="shared" si="39"/>
        <v>1500</v>
      </c>
      <c r="DF54" s="1060">
        <f t="shared" si="40"/>
        <v>0</v>
      </c>
      <c r="DG54" s="1060">
        <f t="shared" si="41"/>
        <v>0</v>
      </c>
      <c r="DH54" s="1060">
        <f t="shared" si="42"/>
        <v>1500</v>
      </c>
    </row>
    <row r="55" spans="1:112" x14ac:dyDescent="0.25">
      <c r="A55" s="504" t="s">
        <v>355</v>
      </c>
      <c r="B55" s="504">
        <v>119357391</v>
      </c>
      <c r="C55" s="504">
        <v>24079041</v>
      </c>
      <c r="D55" s="504">
        <v>24079041</v>
      </c>
      <c r="E55" s="504">
        <v>95278350</v>
      </c>
      <c r="F55" s="504">
        <f t="shared" si="43"/>
        <v>119357.391</v>
      </c>
      <c r="G55" s="504">
        <f t="shared" si="44"/>
        <v>24079.041000000001</v>
      </c>
      <c r="H55" s="504">
        <f t="shared" si="45"/>
        <v>24079.041000000001</v>
      </c>
      <c r="I55" s="504">
        <f t="shared" si="46"/>
        <v>95278.35</v>
      </c>
      <c r="L55" s="371" t="s">
        <v>374</v>
      </c>
      <c r="M55" s="372">
        <v>1490</v>
      </c>
      <c r="N55" s="372">
        <f t="shared" si="47"/>
        <v>1.49</v>
      </c>
      <c r="P55" s="371" t="s">
        <v>355</v>
      </c>
      <c r="Q55" s="372">
        <v>119357391</v>
      </c>
      <c r="R55" s="372">
        <v>24079041</v>
      </c>
      <c r="S55" s="372">
        <v>24079041</v>
      </c>
      <c r="T55" s="372">
        <v>95278350</v>
      </c>
      <c r="U55" s="372">
        <f t="shared" si="48"/>
        <v>119357.391</v>
      </c>
      <c r="V55" s="505">
        <f t="shared" si="49"/>
        <v>24079.041000000001</v>
      </c>
      <c r="W55" s="505">
        <f t="shared" si="50"/>
        <v>24079.041000000001</v>
      </c>
      <c r="X55" s="505">
        <f t="shared" si="51"/>
        <v>95278.35</v>
      </c>
      <c r="AA55" s="371" t="s">
        <v>359</v>
      </c>
      <c r="AB55" s="372">
        <v>2987993</v>
      </c>
      <c r="AC55" s="505">
        <f t="shared" si="52"/>
        <v>2987.9929999999999</v>
      </c>
      <c r="AE55" s="373" t="s">
        <v>355</v>
      </c>
      <c r="AF55" s="504">
        <v>119357391</v>
      </c>
      <c r="AG55" s="504">
        <v>32702241</v>
      </c>
      <c r="AH55" s="504">
        <v>32702241</v>
      </c>
      <c r="AI55" s="504">
        <v>86655150</v>
      </c>
      <c r="AJ55" s="504">
        <f t="shared" si="53"/>
        <v>119357.391</v>
      </c>
      <c r="AK55" s="504">
        <f t="shared" si="54"/>
        <v>32702.241000000002</v>
      </c>
      <c r="AL55" s="504">
        <f t="shared" si="55"/>
        <v>32702.241000000002</v>
      </c>
      <c r="AM55" s="504">
        <f t="shared" si="56"/>
        <v>86655.15</v>
      </c>
      <c r="AP55" s="371" t="s">
        <v>367</v>
      </c>
      <c r="AQ55" s="372">
        <v>68740</v>
      </c>
      <c r="AR55" s="372">
        <f t="shared" si="18"/>
        <v>68.739999999999995</v>
      </c>
      <c r="AT55" s="371" t="s">
        <v>355</v>
      </c>
      <c r="AU55" s="372">
        <v>119357391</v>
      </c>
      <c r="AV55" s="372">
        <v>32702241</v>
      </c>
      <c r="AW55" s="372">
        <v>32702241</v>
      </c>
      <c r="AX55" s="372">
        <v>86655150</v>
      </c>
      <c r="AY55" s="504">
        <f t="shared" si="19"/>
        <v>119357.391</v>
      </c>
      <c r="AZ55" s="504">
        <f t="shared" si="20"/>
        <v>32702.241000000002</v>
      </c>
      <c r="BA55" s="504">
        <f t="shared" si="21"/>
        <v>32702.241000000002</v>
      </c>
      <c r="BB55" s="504">
        <f t="shared" si="22"/>
        <v>86655.15</v>
      </c>
      <c r="BD55" s="782" t="s">
        <v>374</v>
      </c>
      <c r="BE55" s="644">
        <v>779558</v>
      </c>
      <c r="BF55" s="650">
        <f t="shared" si="23"/>
        <v>779.55799999999999</v>
      </c>
      <c r="BH55" s="782" t="s">
        <v>355</v>
      </c>
      <c r="BI55" s="644">
        <v>119357391</v>
      </c>
      <c r="BJ55" s="644">
        <v>32702241</v>
      </c>
      <c r="BK55" s="644">
        <v>32702241</v>
      </c>
      <c r="BL55" s="644">
        <v>86655150</v>
      </c>
      <c r="BM55" s="548">
        <f t="shared" si="24"/>
        <v>119357.391</v>
      </c>
      <c r="BN55" s="548">
        <f t="shared" si="25"/>
        <v>32702.241000000002</v>
      </c>
      <c r="BO55" s="548">
        <f t="shared" si="26"/>
        <v>32702.241000000002</v>
      </c>
      <c r="BP55" s="650">
        <f t="shared" si="27"/>
        <v>86655.15</v>
      </c>
      <c r="BS55" s="373" t="s">
        <v>361</v>
      </c>
      <c r="BT55" s="597">
        <v>449618811</v>
      </c>
      <c r="BU55" s="597">
        <f t="shared" si="28"/>
        <v>449618.81099999999</v>
      </c>
      <c r="BW55" s="597" t="s">
        <v>355</v>
      </c>
      <c r="BX55" s="597">
        <v>119357391</v>
      </c>
      <c r="BY55" s="597">
        <v>42230877</v>
      </c>
      <c r="BZ55" s="597">
        <v>77126514</v>
      </c>
      <c r="CA55" s="597">
        <v>42230877</v>
      </c>
      <c r="CB55" s="597">
        <f t="shared" si="29"/>
        <v>119357.391</v>
      </c>
      <c r="CC55" s="597">
        <f t="shared" si="30"/>
        <v>42230.877</v>
      </c>
      <c r="CD55" s="597">
        <f t="shared" si="31"/>
        <v>77126.513999999996</v>
      </c>
      <c r="CE55" s="597">
        <f t="shared" si="32"/>
        <v>42230.877</v>
      </c>
      <c r="CG55" s="373" t="s">
        <v>557</v>
      </c>
      <c r="CH55" s="597">
        <v>217769</v>
      </c>
      <c r="CI55" s="597">
        <f t="shared" si="33"/>
        <v>217.76900000000001</v>
      </c>
      <c r="CK55" s="371" t="s">
        <v>355</v>
      </c>
      <c r="CL55" s="372">
        <v>119357391</v>
      </c>
      <c r="CM55" s="372">
        <v>42230877</v>
      </c>
      <c r="CN55" s="372">
        <v>42230877</v>
      </c>
      <c r="CO55" s="372">
        <v>77126514</v>
      </c>
      <c r="CP55" s="597">
        <f t="shared" si="34"/>
        <v>119357.391</v>
      </c>
      <c r="CQ55" s="597">
        <f t="shared" si="35"/>
        <v>42230.877</v>
      </c>
      <c r="CR55" s="597">
        <f t="shared" si="36"/>
        <v>42230.877</v>
      </c>
      <c r="CS55" s="597">
        <f t="shared" si="37"/>
        <v>77126.513999999996</v>
      </c>
      <c r="CU55" s="548"/>
      <c r="CV55" s="371" t="s">
        <v>376</v>
      </c>
      <c r="CW55" s="372">
        <v>675900</v>
      </c>
      <c r="CX55" s="372">
        <f t="shared" si="38"/>
        <v>675.9</v>
      </c>
      <c r="CZ55" s="1059" t="s">
        <v>355</v>
      </c>
      <c r="DA55" s="1060">
        <v>119357391</v>
      </c>
      <c r="DB55" s="1060">
        <v>42230877</v>
      </c>
      <c r="DC55" s="1060">
        <v>42230877</v>
      </c>
      <c r="DD55" s="1060">
        <v>77126514</v>
      </c>
      <c r="DE55" s="1060">
        <f t="shared" si="39"/>
        <v>119357.391</v>
      </c>
      <c r="DF55" s="1060">
        <f t="shared" si="40"/>
        <v>42230.877</v>
      </c>
      <c r="DG55" s="1060">
        <f t="shared" si="41"/>
        <v>42230.877</v>
      </c>
      <c r="DH55" s="1060">
        <f t="shared" si="42"/>
        <v>77126.513999999996</v>
      </c>
    </row>
    <row r="56" spans="1:112" x14ac:dyDescent="0.25">
      <c r="A56" s="504" t="s">
        <v>356</v>
      </c>
      <c r="B56" s="504">
        <v>38806479</v>
      </c>
      <c r="C56" s="504">
        <v>0</v>
      </c>
      <c r="D56" s="504">
        <v>0</v>
      </c>
      <c r="E56" s="504">
        <v>38806479</v>
      </c>
      <c r="F56" s="504">
        <f t="shared" si="43"/>
        <v>38806.478999999999</v>
      </c>
      <c r="G56" s="504">
        <f t="shared" si="44"/>
        <v>0</v>
      </c>
      <c r="H56" s="504">
        <f t="shared" si="45"/>
        <v>0</v>
      </c>
      <c r="I56" s="504">
        <f t="shared" si="46"/>
        <v>38806.478999999999</v>
      </c>
      <c r="L56" s="371" t="s">
        <v>375</v>
      </c>
      <c r="M56" s="372">
        <v>27325740</v>
      </c>
      <c r="N56" s="372">
        <f t="shared" si="47"/>
        <v>27325.74</v>
      </c>
      <c r="P56" s="371" t="s">
        <v>356</v>
      </c>
      <c r="Q56" s="372">
        <v>38806479</v>
      </c>
      <c r="R56" s="372">
        <v>0</v>
      </c>
      <c r="S56" s="372">
        <v>0</v>
      </c>
      <c r="T56" s="372">
        <v>38806479</v>
      </c>
      <c r="U56" s="372">
        <f t="shared" si="48"/>
        <v>38806.478999999999</v>
      </c>
      <c r="V56" s="505">
        <f t="shared" si="49"/>
        <v>0</v>
      </c>
      <c r="W56" s="505">
        <f t="shared" si="50"/>
        <v>0</v>
      </c>
      <c r="X56" s="505">
        <f t="shared" si="51"/>
        <v>38806.478999999999</v>
      </c>
      <c r="AA56" s="371" t="s">
        <v>361</v>
      </c>
      <c r="AB56" s="372">
        <v>370557702</v>
      </c>
      <c r="AC56" s="505">
        <f t="shared" si="52"/>
        <v>370557.70199999999</v>
      </c>
      <c r="AE56" s="373" t="s">
        <v>356</v>
      </c>
      <c r="AF56" s="504">
        <v>38806479</v>
      </c>
      <c r="AG56" s="504">
        <v>0</v>
      </c>
      <c r="AH56" s="504">
        <v>0</v>
      </c>
      <c r="AI56" s="504">
        <v>38806479</v>
      </c>
      <c r="AJ56" s="504">
        <f t="shared" si="53"/>
        <v>38806.478999999999</v>
      </c>
      <c r="AK56" s="504">
        <f t="shared" si="54"/>
        <v>0</v>
      </c>
      <c r="AL56" s="504">
        <f t="shared" si="55"/>
        <v>0</v>
      </c>
      <c r="AM56" s="504">
        <f t="shared" si="56"/>
        <v>38806.478999999999</v>
      </c>
      <c r="AP56" s="371" t="s">
        <v>368</v>
      </c>
      <c r="AQ56" s="372">
        <v>359556</v>
      </c>
      <c r="AR56" s="372">
        <f t="shared" si="18"/>
        <v>359.55599999999998</v>
      </c>
      <c r="AT56" s="371" t="s">
        <v>356</v>
      </c>
      <c r="AU56" s="372">
        <v>38806479</v>
      </c>
      <c r="AV56" s="372">
        <v>0</v>
      </c>
      <c r="AW56" s="372">
        <v>0</v>
      </c>
      <c r="AX56" s="372">
        <v>38806479</v>
      </c>
      <c r="AY56" s="504">
        <f t="shared" si="19"/>
        <v>38806.478999999999</v>
      </c>
      <c r="AZ56" s="504">
        <f t="shared" si="20"/>
        <v>0</v>
      </c>
      <c r="BA56" s="504">
        <f t="shared" si="21"/>
        <v>0</v>
      </c>
      <c r="BB56" s="504">
        <f t="shared" si="22"/>
        <v>38806.478999999999</v>
      </c>
      <c r="BD56" s="782" t="s">
        <v>375</v>
      </c>
      <c r="BE56" s="644">
        <v>16395468</v>
      </c>
      <c r="BF56" s="650">
        <f t="shared" si="23"/>
        <v>16395.468000000001</v>
      </c>
      <c r="BH56" s="782" t="s">
        <v>356</v>
      </c>
      <c r="BI56" s="644">
        <v>38806479</v>
      </c>
      <c r="BJ56" s="644">
        <v>0</v>
      </c>
      <c r="BK56" s="644">
        <v>0</v>
      </c>
      <c r="BL56" s="644">
        <v>38806479</v>
      </c>
      <c r="BM56" s="548">
        <f t="shared" si="24"/>
        <v>38806.478999999999</v>
      </c>
      <c r="BN56" s="548">
        <f t="shared" si="25"/>
        <v>0</v>
      </c>
      <c r="BO56" s="548">
        <f t="shared" si="26"/>
        <v>0</v>
      </c>
      <c r="BP56" s="650">
        <f t="shared" si="27"/>
        <v>38806.478999999999</v>
      </c>
      <c r="BS56" s="373" t="s">
        <v>364</v>
      </c>
      <c r="BT56" s="597">
        <v>2232793</v>
      </c>
      <c r="BU56" s="597">
        <f t="shared" si="28"/>
        <v>2232.7930000000001</v>
      </c>
      <c r="BW56" s="597" t="s">
        <v>356</v>
      </c>
      <c r="BX56" s="597">
        <v>38806479</v>
      </c>
      <c r="BY56" s="597">
        <v>0</v>
      </c>
      <c r="BZ56" s="597">
        <v>38806479</v>
      </c>
      <c r="CA56" s="597">
        <v>0</v>
      </c>
      <c r="CB56" s="597">
        <f t="shared" si="29"/>
        <v>38806.478999999999</v>
      </c>
      <c r="CC56" s="597">
        <f t="shared" si="30"/>
        <v>0</v>
      </c>
      <c r="CD56" s="597">
        <f t="shared" si="31"/>
        <v>38806.478999999999</v>
      </c>
      <c r="CE56" s="597">
        <f t="shared" si="32"/>
        <v>0</v>
      </c>
      <c r="CG56" s="373" t="s">
        <v>558</v>
      </c>
      <c r="CH56" s="597">
        <v>1865250</v>
      </c>
      <c r="CI56" s="597">
        <f t="shared" si="33"/>
        <v>1865.25</v>
      </c>
      <c r="CK56" s="371" t="s">
        <v>356</v>
      </c>
      <c r="CL56" s="372">
        <v>38806479</v>
      </c>
      <c r="CM56" s="372">
        <v>0</v>
      </c>
      <c r="CN56" s="372">
        <v>0</v>
      </c>
      <c r="CO56" s="372">
        <v>38806479</v>
      </c>
      <c r="CP56" s="597">
        <f t="shared" si="34"/>
        <v>38806.478999999999</v>
      </c>
      <c r="CQ56" s="597">
        <f t="shared" si="35"/>
        <v>0</v>
      </c>
      <c r="CR56" s="597">
        <f t="shared" si="36"/>
        <v>0</v>
      </c>
      <c r="CS56" s="597">
        <f t="shared" si="37"/>
        <v>38806.478999999999</v>
      </c>
      <c r="CU56" s="548"/>
      <c r="CV56" s="371" t="s">
        <v>556</v>
      </c>
      <c r="CW56" s="372">
        <v>3733333</v>
      </c>
      <c r="CX56" s="372">
        <f t="shared" si="38"/>
        <v>3733.3330000000001</v>
      </c>
      <c r="CZ56" s="1059" t="s">
        <v>356</v>
      </c>
      <c r="DA56" s="1060">
        <v>38806479</v>
      </c>
      <c r="DB56" s="1060">
        <v>0</v>
      </c>
      <c r="DC56" s="1060">
        <v>0</v>
      </c>
      <c r="DD56" s="1060">
        <v>38806479</v>
      </c>
      <c r="DE56" s="1060">
        <f t="shared" si="39"/>
        <v>38806.478999999999</v>
      </c>
      <c r="DF56" s="1060">
        <f t="shared" si="40"/>
        <v>0</v>
      </c>
      <c r="DG56" s="1060">
        <f t="shared" si="41"/>
        <v>0</v>
      </c>
      <c r="DH56" s="1060">
        <f t="shared" si="42"/>
        <v>38806.478999999999</v>
      </c>
    </row>
    <row r="57" spans="1:112" x14ac:dyDescent="0.25">
      <c r="A57" s="504" t="s">
        <v>458</v>
      </c>
      <c r="B57" s="504">
        <v>18445888</v>
      </c>
      <c r="C57" s="504">
        <v>0</v>
      </c>
      <c r="D57" s="504">
        <v>0</v>
      </c>
      <c r="E57" s="504">
        <v>18445888</v>
      </c>
      <c r="F57" s="504">
        <f t="shared" si="43"/>
        <v>18445.887999999999</v>
      </c>
      <c r="G57" s="504">
        <f t="shared" si="44"/>
        <v>0</v>
      </c>
      <c r="H57" s="504">
        <f t="shared" si="45"/>
        <v>0</v>
      </c>
      <c r="I57" s="504">
        <f t="shared" si="46"/>
        <v>18445.887999999999</v>
      </c>
      <c r="L57" s="371" t="s">
        <v>556</v>
      </c>
      <c r="M57" s="372">
        <v>3733333</v>
      </c>
      <c r="N57" s="372">
        <f t="shared" si="47"/>
        <v>3733.3330000000001</v>
      </c>
      <c r="P57" s="371" t="s">
        <v>458</v>
      </c>
      <c r="Q57" s="372">
        <v>18445888</v>
      </c>
      <c r="R57" s="372">
        <v>0</v>
      </c>
      <c r="S57" s="372">
        <v>0</v>
      </c>
      <c r="T57" s="372">
        <v>18445888</v>
      </c>
      <c r="U57" s="372">
        <f t="shared" si="48"/>
        <v>18445.887999999999</v>
      </c>
      <c r="V57" s="505">
        <f t="shared" si="49"/>
        <v>0</v>
      </c>
      <c r="W57" s="505">
        <f t="shared" si="50"/>
        <v>0</v>
      </c>
      <c r="X57" s="505">
        <f t="shared" si="51"/>
        <v>18445.887999999999</v>
      </c>
      <c r="AA57" s="371" t="s">
        <v>1044</v>
      </c>
      <c r="AB57" s="372">
        <v>150000</v>
      </c>
      <c r="AC57" s="505">
        <f t="shared" si="52"/>
        <v>150</v>
      </c>
      <c r="AE57" s="373" t="s">
        <v>458</v>
      </c>
      <c r="AF57" s="504">
        <v>18445888</v>
      </c>
      <c r="AG57" s="504">
        <v>8623200</v>
      </c>
      <c r="AH57" s="504">
        <v>8623200</v>
      </c>
      <c r="AI57" s="504">
        <v>9822688</v>
      </c>
      <c r="AJ57" s="504">
        <f t="shared" si="53"/>
        <v>18445.887999999999</v>
      </c>
      <c r="AK57" s="504">
        <f t="shared" si="54"/>
        <v>8623.2000000000007</v>
      </c>
      <c r="AL57" s="504">
        <f t="shared" si="55"/>
        <v>8623.2000000000007</v>
      </c>
      <c r="AM57" s="504">
        <f t="shared" si="56"/>
        <v>9822.6880000000001</v>
      </c>
      <c r="AP57" s="371" t="s">
        <v>370</v>
      </c>
      <c r="AQ57" s="372">
        <v>17261512</v>
      </c>
      <c r="AR57" s="372">
        <f t="shared" si="18"/>
        <v>17261.511999999999</v>
      </c>
      <c r="AT57" s="371" t="s">
        <v>458</v>
      </c>
      <c r="AU57" s="372">
        <v>18445888</v>
      </c>
      <c r="AV57" s="372">
        <v>8623200</v>
      </c>
      <c r="AW57" s="372">
        <v>8623200</v>
      </c>
      <c r="AX57" s="372">
        <v>9822688</v>
      </c>
      <c r="AY57" s="504">
        <f t="shared" si="19"/>
        <v>18445.887999999999</v>
      </c>
      <c r="AZ57" s="504">
        <f t="shared" si="20"/>
        <v>8623.2000000000007</v>
      </c>
      <c r="BA57" s="504">
        <f t="shared" si="21"/>
        <v>8623.2000000000007</v>
      </c>
      <c r="BB57" s="504">
        <f t="shared" si="22"/>
        <v>9822.6880000000001</v>
      </c>
      <c r="BD57" s="782" t="s">
        <v>556</v>
      </c>
      <c r="BE57" s="644">
        <v>7466666</v>
      </c>
      <c r="BF57" s="650">
        <f t="shared" si="23"/>
        <v>7466.6660000000002</v>
      </c>
      <c r="BH57" s="782" t="s">
        <v>458</v>
      </c>
      <c r="BI57" s="644">
        <v>18445888</v>
      </c>
      <c r="BJ57" s="644">
        <v>8623200</v>
      </c>
      <c r="BK57" s="644">
        <v>8623200</v>
      </c>
      <c r="BL57" s="644">
        <v>9822688</v>
      </c>
      <c r="BM57" s="548">
        <f t="shared" si="24"/>
        <v>18445.887999999999</v>
      </c>
      <c r="BN57" s="548">
        <f t="shared" si="25"/>
        <v>8623.2000000000007</v>
      </c>
      <c r="BO57" s="548">
        <f t="shared" si="26"/>
        <v>8623.2000000000007</v>
      </c>
      <c r="BP57" s="650">
        <f t="shared" si="27"/>
        <v>9822.6880000000001</v>
      </c>
      <c r="BS57" s="373" t="s">
        <v>365</v>
      </c>
      <c r="BT57" s="597">
        <v>22300</v>
      </c>
      <c r="BU57" s="597">
        <f t="shared" si="28"/>
        <v>22.3</v>
      </c>
      <c r="BW57" s="597" t="s">
        <v>458</v>
      </c>
      <c r="BX57" s="597">
        <v>18445888</v>
      </c>
      <c r="BY57" s="597">
        <v>18151836</v>
      </c>
      <c r="BZ57" s="597">
        <v>294052</v>
      </c>
      <c r="CA57" s="597">
        <v>18151836</v>
      </c>
      <c r="CB57" s="597">
        <f t="shared" si="29"/>
        <v>18445.887999999999</v>
      </c>
      <c r="CC57" s="597">
        <f t="shared" si="30"/>
        <v>18151.835999999999</v>
      </c>
      <c r="CD57" s="597">
        <f t="shared" si="31"/>
        <v>294.05200000000002</v>
      </c>
      <c r="CE57" s="597">
        <f t="shared" si="32"/>
        <v>18151.835999999999</v>
      </c>
      <c r="CG57" s="373" t="s">
        <v>379</v>
      </c>
      <c r="CH57" s="597">
        <v>410100</v>
      </c>
      <c r="CI57" s="597">
        <f t="shared" si="33"/>
        <v>410.1</v>
      </c>
      <c r="CK57" s="371" t="s">
        <v>458</v>
      </c>
      <c r="CL57" s="372">
        <v>18445888</v>
      </c>
      <c r="CM57" s="372">
        <v>18151836</v>
      </c>
      <c r="CN57" s="372">
        <v>18151836</v>
      </c>
      <c r="CO57" s="372">
        <v>294052</v>
      </c>
      <c r="CP57" s="597">
        <f t="shared" si="34"/>
        <v>18445.887999999999</v>
      </c>
      <c r="CQ57" s="597">
        <f t="shared" si="35"/>
        <v>18151.835999999999</v>
      </c>
      <c r="CR57" s="597">
        <f t="shared" si="36"/>
        <v>18151.835999999999</v>
      </c>
      <c r="CS57" s="597">
        <f t="shared" si="37"/>
        <v>294.05200000000002</v>
      </c>
      <c r="CU57" s="548"/>
      <c r="CV57" s="371" t="s">
        <v>378</v>
      </c>
      <c r="CW57" s="372">
        <v>1915117</v>
      </c>
      <c r="CX57" s="372">
        <f t="shared" si="38"/>
        <v>1915.117</v>
      </c>
      <c r="CZ57" s="1059" t="s">
        <v>458</v>
      </c>
      <c r="DA57" s="1060">
        <v>18445888</v>
      </c>
      <c r="DB57" s="1060">
        <v>18151836</v>
      </c>
      <c r="DC57" s="1060">
        <v>18151836</v>
      </c>
      <c r="DD57" s="1060">
        <v>294052</v>
      </c>
      <c r="DE57" s="1060">
        <f t="shared" si="39"/>
        <v>18445.887999999999</v>
      </c>
      <c r="DF57" s="1060">
        <f t="shared" si="40"/>
        <v>18151.835999999999</v>
      </c>
      <c r="DG57" s="1060">
        <f t="shared" si="41"/>
        <v>18151.835999999999</v>
      </c>
      <c r="DH57" s="1060">
        <f t="shared" si="42"/>
        <v>294.05200000000002</v>
      </c>
    </row>
    <row r="58" spans="1:112" x14ac:dyDescent="0.25">
      <c r="A58" s="504" t="s">
        <v>357</v>
      </c>
      <c r="B58" s="504">
        <v>62105024</v>
      </c>
      <c r="C58" s="504">
        <v>24079041</v>
      </c>
      <c r="D58" s="504">
        <v>24079041</v>
      </c>
      <c r="E58" s="504">
        <v>38025983</v>
      </c>
      <c r="F58" s="504">
        <f t="shared" si="43"/>
        <v>62105.023999999998</v>
      </c>
      <c r="G58" s="504">
        <f t="shared" si="44"/>
        <v>24079.041000000001</v>
      </c>
      <c r="H58" s="504">
        <f t="shared" si="45"/>
        <v>24079.041000000001</v>
      </c>
      <c r="I58" s="504">
        <f t="shared" si="46"/>
        <v>38025.983</v>
      </c>
      <c r="L58" s="371" t="s">
        <v>378</v>
      </c>
      <c r="M58" s="372">
        <v>3011057</v>
      </c>
      <c r="N58" s="372">
        <f t="shared" si="47"/>
        <v>3011.0569999999998</v>
      </c>
      <c r="P58" s="371" t="s">
        <v>357</v>
      </c>
      <c r="Q58" s="372">
        <v>62105024</v>
      </c>
      <c r="R58" s="372">
        <v>24079041</v>
      </c>
      <c r="S58" s="372">
        <v>24079041</v>
      </c>
      <c r="T58" s="372">
        <v>38025983</v>
      </c>
      <c r="U58" s="372">
        <f t="shared" si="48"/>
        <v>62105.023999999998</v>
      </c>
      <c r="V58" s="505">
        <f t="shared" si="49"/>
        <v>24079.041000000001</v>
      </c>
      <c r="W58" s="505">
        <f t="shared" si="50"/>
        <v>24079.041000000001</v>
      </c>
      <c r="X58" s="505">
        <f t="shared" si="51"/>
        <v>38025.983</v>
      </c>
      <c r="AA58" s="371" t="s">
        <v>1045</v>
      </c>
      <c r="AB58" s="372">
        <v>150000</v>
      </c>
      <c r="AC58" s="505">
        <f t="shared" si="52"/>
        <v>150</v>
      </c>
      <c r="AE58" s="373" t="s">
        <v>357</v>
      </c>
      <c r="AF58" s="504">
        <v>62105024</v>
      </c>
      <c r="AG58" s="504">
        <v>24079041</v>
      </c>
      <c r="AH58" s="504">
        <v>24079041</v>
      </c>
      <c r="AI58" s="504">
        <v>38025983</v>
      </c>
      <c r="AJ58" s="504">
        <f t="shared" si="53"/>
        <v>62105.023999999998</v>
      </c>
      <c r="AK58" s="504">
        <f t="shared" si="54"/>
        <v>24079.041000000001</v>
      </c>
      <c r="AL58" s="504">
        <f t="shared" si="55"/>
        <v>24079.041000000001</v>
      </c>
      <c r="AM58" s="504">
        <f t="shared" si="56"/>
        <v>38025.983</v>
      </c>
      <c r="AP58" s="371" t="s">
        <v>371</v>
      </c>
      <c r="AQ58" s="372">
        <v>1775326</v>
      </c>
      <c r="AR58" s="372">
        <f t="shared" si="18"/>
        <v>1775.326</v>
      </c>
      <c r="AT58" s="371" t="s">
        <v>357</v>
      </c>
      <c r="AU58" s="372">
        <v>62105024</v>
      </c>
      <c r="AV58" s="372">
        <v>24079041</v>
      </c>
      <c r="AW58" s="372">
        <v>24079041</v>
      </c>
      <c r="AX58" s="372">
        <v>38025983</v>
      </c>
      <c r="AY58" s="504">
        <f t="shared" si="19"/>
        <v>62105.023999999998</v>
      </c>
      <c r="AZ58" s="504">
        <f t="shared" si="20"/>
        <v>24079.041000000001</v>
      </c>
      <c r="BA58" s="504">
        <f t="shared" si="21"/>
        <v>24079.041000000001</v>
      </c>
      <c r="BB58" s="504">
        <f t="shared" si="22"/>
        <v>38025.983</v>
      </c>
      <c r="BD58" s="782" t="s">
        <v>378</v>
      </c>
      <c r="BE58" s="644">
        <v>4866788</v>
      </c>
      <c r="BF58" s="650">
        <f t="shared" si="23"/>
        <v>4866.7879999999996</v>
      </c>
      <c r="BH58" s="782" t="s">
        <v>357</v>
      </c>
      <c r="BI58" s="644">
        <v>62105024</v>
      </c>
      <c r="BJ58" s="644">
        <v>24079041</v>
      </c>
      <c r="BK58" s="644">
        <v>24079041</v>
      </c>
      <c r="BL58" s="644">
        <v>38025983</v>
      </c>
      <c r="BM58" s="548">
        <f t="shared" si="24"/>
        <v>62105.023999999998</v>
      </c>
      <c r="BN58" s="548">
        <f t="shared" si="25"/>
        <v>24079.041000000001</v>
      </c>
      <c r="BO58" s="548">
        <f t="shared" si="26"/>
        <v>24079.041000000001</v>
      </c>
      <c r="BP58" s="650">
        <f t="shared" si="27"/>
        <v>38025.983</v>
      </c>
      <c r="BS58" s="373" t="s">
        <v>367</v>
      </c>
      <c r="BT58" s="597">
        <v>79650</v>
      </c>
      <c r="BU58" s="597">
        <f t="shared" si="28"/>
        <v>79.650000000000006</v>
      </c>
      <c r="BW58" s="597" t="s">
        <v>357</v>
      </c>
      <c r="BX58" s="597">
        <v>62105024</v>
      </c>
      <c r="BY58" s="597">
        <v>24079041</v>
      </c>
      <c r="BZ58" s="597">
        <v>38025983</v>
      </c>
      <c r="CA58" s="597">
        <v>24079041</v>
      </c>
      <c r="CB58" s="597">
        <f t="shared" si="29"/>
        <v>62105.023999999998</v>
      </c>
      <c r="CC58" s="597">
        <f t="shared" si="30"/>
        <v>24079.041000000001</v>
      </c>
      <c r="CD58" s="597">
        <f t="shared" si="31"/>
        <v>38025.983</v>
      </c>
      <c r="CE58" s="597">
        <f t="shared" si="32"/>
        <v>24079.041000000001</v>
      </c>
      <c r="CG58" s="373" t="s">
        <v>383</v>
      </c>
      <c r="CH58" s="597">
        <v>73261538</v>
      </c>
      <c r="CI58" s="597">
        <f t="shared" si="33"/>
        <v>73261.538</v>
      </c>
      <c r="CK58" s="371" t="s">
        <v>357</v>
      </c>
      <c r="CL58" s="372">
        <v>62105024</v>
      </c>
      <c r="CM58" s="372">
        <v>24079041</v>
      </c>
      <c r="CN58" s="372">
        <v>24079041</v>
      </c>
      <c r="CO58" s="372">
        <v>38025983</v>
      </c>
      <c r="CP58" s="597">
        <f t="shared" si="34"/>
        <v>62105.023999999998</v>
      </c>
      <c r="CQ58" s="597">
        <f t="shared" si="35"/>
        <v>24079.041000000001</v>
      </c>
      <c r="CR58" s="597">
        <f t="shared" si="36"/>
        <v>24079.041000000001</v>
      </c>
      <c r="CS58" s="597">
        <f t="shared" si="37"/>
        <v>38025.983</v>
      </c>
      <c r="CU58" s="548"/>
      <c r="CV58" s="371" t="s">
        <v>558</v>
      </c>
      <c r="CW58" s="372">
        <v>1328199</v>
      </c>
      <c r="CX58" s="372">
        <f t="shared" si="38"/>
        <v>1328.1990000000001</v>
      </c>
      <c r="CZ58" s="1059" t="s">
        <v>357</v>
      </c>
      <c r="DA58" s="1060">
        <v>62105024</v>
      </c>
      <c r="DB58" s="1060">
        <v>24079041</v>
      </c>
      <c r="DC58" s="1060">
        <v>24079041</v>
      </c>
      <c r="DD58" s="1060">
        <v>38025983</v>
      </c>
      <c r="DE58" s="1060">
        <f t="shared" si="39"/>
        <v>62105.023999999998</v>
      </c>
      <c r="DF58" s="1060">
        <f t="shared" si="40"/>
        <v>24079.041000000001</v>
      </c>
      <c r="DG58" s="1060">
        <f t="shared" si="41"/>
        <v>24079.041000000001</v>
      </c>
      <c r="DH58" s="1060">
        <f t="shared" si="42"/>
        <v>38025.983</v>
      </c>
    </row>
    <row r="59" spans="1:112" x14ac:dyDescent="0.25">
      <c r="A59" s="504" t="s">
        <v>358</v>
      </c>
      <c r="B59" s="504">
        <v>1131969563</v>
      </c>
      <c r="C59" s="504">
        <v>79652243</v>
      </c>
      <c r="D59" s="504">
        <v>79652243</v>
      </c>
      <c r="E59" s="504">
        <v>1052317320</v>
      </c>
      <c r="F59" s="504">
        <f t="shared" si="43"/>
        <v>1131969.5630000001</v>
      </c>
      <c r="G59" s="504">
        <f t="shared" si="44"/>
        <v>79652.243000000002</v>
      </c>
      <c r="H59" s="504">
        <f t="shared" si="45"/>
        <v>79652.243000000002</v>
      </c>
      <c r="I59" s="504">
        <f t="shared" si="46"/>
        <v>1052317.32</v>
      </c>
      <c r="L59" s="371" t="s">
        <v>557</v>
      </c>
      <c r="M59" s="372">
        <v>2618595</v>
      </c>
      <c r="N59" s="372">
        <f t="shared" si="47"/>
        <v>2618.5949999999998</v>
      </c>
      <c r="P59" s="371" t="s">
        <v>358</v>
      </c>
      <c r="Q59" s="372">
        <v>1131969563</v>
      </c>
      <c r="R59" s="372">
        <v>157169983</v>
      </c>
      <c r="S59" s="372">
        <v>157169983</v>
      </c>
      <c r="T59" s="372">
        <v>974799580</v>
      </c>
      <c r="U59" s="372">
        <f t="shared" si="48"/>
        <v>1131969.5630000001</v>
      </c>
      <c r="V59" s="505">
        <f t="shared" si="49"/>
        <v>157169.98300000001</v>
      </c>
      <c r="W59" s="505">
        <f t="shared" si="50"/>
        <v>157169.98300000001</v>
      </c>
      <c r="X59" s="505">
        <f t="shared" si="51"/>
        <v>974799.58</v>
      </c>
      <c r="AA59" s="371" t="s">
        <v>362</v>
      </c>
      <c r="AB59" s="372">
        <v>358969</v>
      </c>
      <c r="AC59" s="505">
        <f t="shared" si="52"/>
        <v>358.96899999999999</v>
      </c>
      <c r="AE59" s="373" t="s">
        <v>358</v>
      </c>
      <c r="AF59" s="504">
        <v>1131969563</v>
      </c>
      <c r="AG59" s="504">
        <v>236471384</v>
      </c>
      <c r="AH59" s="504">
        <v>236471384</v>
      </c>
      <c r="AI59" s="504">
        <v>895498179</v>
      </c>
      <c r="AJ59" s="504">
        <f t="shared" si="53"/>
        <v>1131969.5630000001</v>
      </c>
      <c r="AK59" s="504">
        <f t="shared" si="54"/>
        <v>236471.38399999999</v>
      </c>
      <c r="AL59" s="504">
        <f t="shared" si="55"/>
        <v>236471.38399999999</v>
      </c>
      <c r="AM59" s="504">
        <f t="shared" si="56"/>
        <v>895498.179</v>
      </c>
      <c r="AP59" s="371" t="s">
        <v>372</v>
      </c>
      <c r="AQ59" s="372">
        <v>1619131</v>
      </c>
      <c r="AR59" s="372">
        <f t="shared" si="18"/>
        <v>1619.1310000000001</v>
      </c>
      <c r="AT59" s="371" t="s">
        <v>358</v>
      </c>
      <c r="AU59" s="372">
        <v>1132002612</v>
      </c>
      <c r="AV59" s="372">
        <v>310829506</v>
      </c>
      <c r="AW59" s="372">
        <v>310829506</v>
      </c>
      <c r="AX59" s="372">
        <v>821173106</v>
      </c>
      <c r="AY59" s="504">
        <f t="shared" si="19"/>
        <v>1132002.612</v>
      </c>
      <c r="AZ59" s="504">
        <f t="shared" si="20"/>
        <v>310829.50599999999</v>
      </c>
      <c r="BA59" s="504">
        <f t="shared" si="21"/>
        <v>310829.50599999999</v>
      </c>
      <c r="BB59" s="504">
        <f t="shared" si="22"/>
        <v>821173.10600000003</v>
      </c>
      <c r="BD59" s="782" t="s">
        <v>557</v>
      </c>
      <c r="BE59" s="644">
        <v>3784950</v>
      </c>
      <c r="BF59" s="650">
        <f t="shared" si="23"/>
        <v>3784.95</v>
      </c>
      <c r="BH59" s="782" t="s">
        <v>358</v>
      </c>
      <c r="BI59" s="644">
        <v>1134305130</v>
      </c>
      <c r="BJ59" s="644">
        <v>386376154</v>
      </c>
      <c r="BK59" s="644">
        <v>386376154</v>
      </c>
      <c r="BL59" s="644">
        <v>747928976</v>
      </c>
      <c r="BM59" s="548">
        <f t="shared" si="24"/>
        <v>1134305.1299999999</v>
      </c>
      <c r="BN59" s="548">
        <f t="shared" si="25"/>
        <v>386376.15399999998</v>
      </c>
      <c r="BO59" s="548">
        <f t="shared" si="26"/>
        <v>386376.15399999998</v>
      </c>
      <c r="BP59" s="650">
        <f t="shared" si="27"/>
        <v>747928.97600000002</v>
      </c>
      <c r="BS59" s="373" t="s">
        <v>554</v>
      </c>
      <c r="BT59" s="597">
        <v>107100</v>
      </c>
      <c r="BU59" s="597">
        <f t="shared" si="28"/>
        <v>107.1</v>
      </c>
      <c r="BW59" s="597" t="s">
        <v>358</v>
      </c>
      <c r="BX59" s="597">
        <v>1181305130</v>
      </c>
      <c r="BY59" s="597">
        <v>459394002</v>
      </c>
      <c r="BZ59" s="597">
        <v>721911128</v>
      </c>
      <c r="CA59" s="597">
        <v>459394002</v>
      </c>
      <c r="CB59" s="597">
        <f t="shared" si="29"/>
        <v>1181305.1299999999</v>
      </c>
      <c r="CC59" s="597">
        <f t="shared" si="30"/>
        <v>459394.00199999998</v>
      </c>
      <c r="CD59" s="597">
        <f t="shared" si="31"/>
        <v>721911.12800000003</v>
      </c>
      <c r="CE59" s="597">
        <f t="shared" si="32"/>
        <v>459394.00199999998</v>
      </c>
      <c r="CG59" s="373" t="s">
        <v>384</v>
      </c>
      <c r="CH59" s="597">
        <v>9572075</v>
      </c>
      <c r="CI59" s="597">
        <f t="shared" si="33"/>
        <v>9572.0750000000007</v>
      </c>
      <c r="CK59" s="371" t="s">
        <v>358</v>
      </c>
      <c r="CL59" s="372">
        <v>1181272081</v>
      </c>
      <c r="CM59" s="372">
        <v>543810975</v>
      </c>
      <c r="CN59" s="372">
        <v>543810975</v>
      </c>
      <c r="CO59" s="372">
        <v>637461106</v>
      </c>
      <c r="CP59" s="597">
        <f t="shared" si="34"/>
        <v>1181272.081</v>
      </c>
      <c r="CQ59" s="597">
        <f t="shared" si="35"/>
        <v>543810.97499999998</v>
      </c>
      <c r="CR59" s="597">
        <f t="shared" si="36"/>
        <v>543810.97499999998</v>
      </c>
      <c r="CS59" s="597">
        <f t="shared" si="37"/>
        <v>637461.10600000003</v>
      </c>
      <c r="CU59" s="548"/>
      <c r="CV59" s="371" t="s">
        <v>561</v>
      </c>
      <c r="CW59" s="372">
        <v>586918</v>
      </c>
      <c r="CX59" s="372">
        <f t="shared" si="38"/>
        <v>586.91800000000001</v>
      </c>
      <c r="CZ59" s="1059" t="s">
        <v>358</v>
      </c>
      <c r="DA59" s="1060">
        <v>1181272081</v>
      </c>
      <c r="DB59" s="1060">
        <v>629636352</v>
      </c>
      <c r="DC59" s="1060">
        <v>629636352</v>
      </c>
      <c r="DD59" s="1060">
        <v>551635729</v>
      </c>
      <c r="DE59" s="1060">
        <f t="shared" si="39"/>
        <v>1181272.081</v>
      </c>
      <c r="DF59" s="1060">
        <f t="shared" si="40"/>
        <v>629636.35199999996</v>
      </c>
      <c r="DG59" s="1060">
        <f t="shared" si="41"/>
        <v>629636.35199999996</v>
      </c>
      <c r="DH59" s="1060">
        <f t="shared" si="42"/>
        <v>551635.72900000005</v>
      </c>
    </row>
    <row r="60" spans="1:112" x14ac:dyDescent="0.25">
      <c r="A60" s="504" t="s">
        <v>546</v>
      </c>
      <c r="B60" s="504">
        <v>1038046000</v>
      </c>
      <c r="C60" s="504">
        <v>75001527</v>
      </c>
      <c r="D60" s="504">
        <v>75001527</v>
      </c>
      <c r="E60" s="504">
        <v>963044473</v>
      </c>
      <c r="F60" s="504">
        <f t="shared" si="43"/>
        <v>1038046</v>
      </c>
      <c r="G60" s="504">
        <f t="shared" si="44"/>
        <v>75001.527000000002</v>
      </c>
      <c r="H60" s="504">
        <f t="shared" si="45"/>
        <v>75001.527000000002</v>
      </c>
      <c r="I60" s="504">
        <f t="shared" si="46"/>
        <v>963044.473</v>
      </c>
      <c r="L60" s="371" t="s">
        <v>558</v>
      </c>
      <c r="M60" s="372">
        <v>172550</v>
      </c>
      <c r="N60" s="372">
        <f t="shared" si="47"/>
        <v>172.55</v>
      </c>
      <c r="P60" s="371" t="s">
        <v>546</v>
      </c>
      <c r="Q60" s="372">
        <v>1038046000</v>
      </c>
      <c r="R60" s="372">
        <v>150193909</v>
      </c>
      <c r="S60" s="372">
        <v>150193909</v>
      </c>
      <c r="T60" s="372">
        <v>887852091</v>
      </c>
      <c r="U60" s="372">
        <f t="shared" si="48"/>
        <v>1038046</v>
      </c>
      <c r="V60" s="505">
        <f t="shared" si="49"/>
        <v>150193.90900000001</v>
      </c>
      <c r="W60" s="505">
        <f t="shared" si="50"/>
        <v>150193.90900000001</v>
      </c>
      <c r="X60" s="505">
        <f t="shared" si="51"/>
        <v>887852.09100000001</v>
      </c>
      <c r="AA60" s="371" t="s">
        <v>549</v>
      </c>
      <c r="AB60" s="372">
        <v>297378</v>
      </c>
      <c r="AC60" s="505">
        <f t="shared" si="52"/>
        <v>297.37799999999999</v>
      </c>
      <c r="AE60" s="373" t="s">
        <v>546</v>
      </c>
      <c r="AF60" s="504">
        <v>1038046000</v>
      </c>
      <c r="AG60" s="504">
        <v>226507317</v>
      </c>
      <c r="AH60" s="504">
        <v>226507317</v>
      </c>
      <c r="AI60" s="504">
        <v>811538683</v>
      </c>
      <c r="AJ60" s="504">
        <f t="shared" si="53"/>
        <v>1038046</v>
      </c>
      <c r="AK60" s="504">
        <f t="shared" si="54"/>
        <v>226507.31700000001</v>
      </c>
      <c r="AL60" s="504">
        <f t="shared" si="55"/>
        <v>226507.31700000001</v>
      </c>
      <c r="AM60" s="504">
        <f t="shared" si="56"/>
        <v>811538.68299999996</v>
      </c>
      <c r="AP60" s="371" t="s">
        <v>373</v>
      </c>
      <c r="AQ60" s="372">
        <v>101850</v>
      </c>
      <c r="AR60" s="372">
        <f t="shared" si="18"/>
        <v>101.85</v>
      </c>
      <c r="AT60" s="371" t="s">
        <v>546</v>
      </c>
      <c r="AU60" s="372">
        <v>1038079049</v>
      </c>
      <c r="AV60" s="372">
        <v>300865439</v>
      </c>
      <c r="AW60" s="372">
        <v>300865439</v>
      </c>
      <c r="AX60" s="372">
        <v>737213610</v>
      </c>
      <c r="AY60" s="504">
        <f t="shared" si="19"/>
        <v>1038079.049</v>
      </c>
      <c r="AZ60" s="504">
        <f t="shared" si="20"/>
        <v>300865.43900000001</v>
      </c>
      <c r="BA60" s="504">
        <f t="shared" si="21"/>
        <v>300865.43900000001</v>
      </c>
      <c r="BB60" s="504">
        <f t="shared" si="22"/>
        <v>737213.61</v>
      </c>
      <c r="BD60" s="782" t="s">
        <v>558</v>
      </c>
      <c r="BE60" s="644">
        <v>494920</v>
      </c>
      <c r="BF60" s="650">
        <f t="shared" si="23"/>
        <v>494.92</v>
      </c>
      <c r="BH60" s="782" t="s">
        <v>546</v>
      </c>
      <c r="BI60" s="644">
        <v>1038079049</v>
      </c>
      <c r="BJ60" s="644">
        <v>374109569</v>
      </c>
      <c r="BK60" s="644">
        <v>374109569</v>
      </c>
      <c r="BL60" s="644">
        <v>663969480</v>
      </c>
      <c r="BM60" s="548">
        <f t="shared" si="24"/>
        <v>1038079.049</v>
      </c>
      <c r="BN60" s="548">
        <f t="shared" si="25"/>
        <v>374109.56900000002</v>
      </c>
      <c r="BO60" s="548">
        <f t="shared" si="26"/>
        <v>374109.56900000002</v>
      </c>
      <c r="BP60" s="650">
        <f t="shared" si="27"/>
        <v>663969.48</v>
      </c>
      <c r="BS60" s="373" t="s">
        <v>368</v>
      </c>
      <c r="BT60" s="597">
        <v>1940467</v>
      </c>
      <c r="BU60" s="597">
        <f t="shared" si="28"/>
        <v>1940.4670000000001</v>
      </c>
      <c r="BW60" s="597" t="s">
        <v>546</v>
      </c>
      <c r="BX60" s="597">
        <v>1085079049</v>
      </c>
      <c r="BY60" s="597">
        <v>447127417</v>
      </c>
      <c r="BZ60" s="597">
        <v>637951632</v>
      </c>
      <c r="CA60" s="597">
        <v>447127417</v>
      </c>
      <c r="CB60" s="597">
        <f t="shared" si="29"/>
        <v>1085079.0490000001</v>
      </c>
      <c r="CC60" s="597">
        <f t="shared" si="30"/>
        <v>447127.41700000002</v>
      </c>
      <c r="CD60" s="597">
        <f t="shared" si="31"/>
        <v>637951.63199999998</v>
      </c>
      <c r="CE60" s="597">
        <f t="shared" si="32"/>
        <v>447127.41700000002</v>
      </c>
      <c r="CG60" s="373" t="s">
        <v>562</v>
      </c>
      <c r="CH60" s="597">
        <v>8104208</v>
      </c>
      <c r="CI60" s="597">
        <f t="shared" si="33"/>
        <v>8104.2079999999996</v>
      </c>
      <c r="CK60" s="371" t="s">
        <v>546</v>
      </c>
      <c r="CL60" s="372">
        <v>1085046000</v>
      </c>
      <c r="CM60" s="372">
        <v>531544390</v>
      </c>
      <c r="CN60" s="372">
        <v>531544390</v>
      </c>
      <c r="CO60" s="372">
        <v>553501610</v>
      </c>
      <c r="CP60" s="597">
        <f t="shared" si="34"/>
        <v>1085046</v>
      </c>
      <c r="CQ60" s="597">
        <f t="shared" si="35"/>
        <v>531544.39</v>
      </c>
      <c r="CR60" s="597">
        <f t="shared" si="36"/>
        <v>531544.39</v>
      </c>
      <c r="CS60" s="597">
        <f t="shared" si="37"/>
        <v>553501.61</v>
      </c>
      <c r="CU60" s="548"/>
      <c r="CV60" s="371" t="s">
        <v>380</v>
      </c>
      <c r="CW60" s="372">
        <v>2180992</v>
      </c>
      <c r="CX60" s="372">
        <f t="shared" si="38"/>
        <v>2180.9920000000002</v>
      </c>
      <c r="CZ60" s="1059" t="s">
        <v>546</v>
      </c>
      <c r="DA60" s="1060">
        <v>1085046000</v>
      </c>
      <c r="DB60" s="1060">
        <v>617369767</v>
      </c>
      <c r="DC60" s="1060">
        <v>617369767</v>
      </c>
      <c r="DD60" s="1060">
        <v>467676233</v>
      </c>
      <c r="DE60" s="1060">
        <f t="shared" si="39"/>
        <v>1085046</v>
      </c>
      <c r="DF60" s="1060">
        <f t="shared" si="40"/>
        <v>617369.76699999999</v>
      </c>
      <c r="DG60" s="1060">
        <f t="shared" si="41"/>
        <v>617369.76699999999</v>
      </c>
      <c r="DH60" s="1060">
        <f t="shared" si="42"/>
        <v>467676.23300000001</v>
      </c>
    </row>
    <row r="61" spans="1:112" x14ac:dyDescent="0.25">
      <c r="A61" s="504" t="s">
        <v>547</v>
      </c>
      <c r="B61" s="504">
        <v>1018733000</v>
      </c>
      <c r="C61" s="504">
        <v>74008732</v>
      </c>
      <c r="D61" s="504">
        <v>74008732</v>
      </c>
      <c r="E61" s="504">
        <v>944724268</v>
      </c>
      <c r="F61" s="504">
        <f t="shared" si="43"/>
        <v>1018733</v>
      </c>
      <c r="G61" s="504">
        <f t="shared" si="44"/>
        <v>74008.732000000004</v>
      </c>
      <c r="H61" s="504">
        <f t="shared" si="45"/>
        <v>74008.732000000004</v>
      </c>
      <c r="I61" s="504">
        <f t="shared" si="46"/>
        <v>944724.26800000004</v>
      </c>
      <c r="L61" s="371" t="s">
        <v>560</v>
      </c>
      <c r="M61" s="372">
        <v>219912</v>
      </c>
      <c r="N61" s="372">
        <f t="shared" si="47"/>
        <v>219.91200000000001</v>
      </c>
      <c r="P61" s="371" t="s">
        <v>547</v>
      </c>
      <c r="Q61" s="372">
        <v>1018733000</v>
      </c>
      <c r="R61" s="372">
        <v>148388246</v>
      </c>
      <c r="S61" s="372">
        <v>148388246</v>
      </c>
      <c r="T61" s="372">
        <v>870344754</v>
      </c>
      <c r="U61" s="372">
        <f t="shared" si="48"/>
        <v>1018733</v>
      </c>
      <c r="V61" s="505">
        <f t="shared" si="49"/>
        <v>148388.24600000001</v>
      </c>
      <c r="W61" s="505">
        <f t="shared" si="50"/>
        <v>148388.24600000001</v>
      </c>
      <c r="X61" s="505">
        <f t="shared" si="51"/>
        <v>870344.75399999996</v>
      </c>
      <c r="AA61" s="371" t="s">
        <v>363</v>
      </c>
      <c r="AB61" s="372">
        <v>61591</v>
      </c>
      <c r="AC61" s="505">
        <f t="shared" si="52"/>
        <v>61.591000000000001</v>
      </c>
      <c r="AE61" s="373" t="s">
        <v>547</v>
      </c>
      <c r="AF61" s="504">
        <v>1018733000</v>
      </c>
      <c r="AG61" s="504">
        <v>223456122</v>
      </c>
      <c r="AH61" s="504">
        <v>223456122</v>
      </c>
      <c r="AI61" s="504">
        <v>795276878</v>
      </c>
      <c r="AJ61" s="504">
        <f t="shared" si="53"/>
        <v>1018733</v>
      </c>
      <c r="AK61" s="504">
        <f t="shared" si="54"/>
        <v>223456.122</v>
      </c>
      <c r="AL61" s="504">
        <f t="shared" si="55"/>
        <v>223456.122</v>
      </c>
      <c r="AM61" s="504">
        <f t="shared" si="56"/>
        <v>795276.87800000003</v>
      </c>
      <c r="AP61" s="371" t="s">
        <v>374</v>
      </c>
      <c r="AQ61" s="372">
        <v>2565206</v>
      </c>
      <c r="AR61" s="372">
        <f t="shared" si="18"/>
        <v>2565.2060000000001</v>
      </c>
      <c r="AT61" s="371" t="s">
        <v>547</v>
      </c>
      <c r="AU61" s="372">
        <v>1018733000</v>
      </c>
      <c r="AV61" s="372">
        <v>296607652</v>
      </c>
      <c r="AW61" s="372">
        <v>296607652</v>
      </c>
      <c r="AX61" s="372">
        <v>722125348</v>
      </c>
      <c r="AY61" s="504">
        <f t="shared" si="19"/>
        <v>1018733</v>
      </c>
      <c r="AZ61" s="504">
        <f t="shared" si="20"/>
        <v>296607.652</v>
      </c>
      <c r="BA61" s="504">
        <f t="shared" si="21"/>
        <v>296607.652</v>
      </c>
      <c r="BB61" s="504">
        <f t="shared" si="22"/>
        <v>722125.348</v>
      </c>
      <c r="BD61" s="782" t="s">
        <v>561</v>
      </c>
      <c r="BE61" s="644">
        <v>586918</v>
      </c>
      <c r="BF61" s="650">
        <f t="shared" si="23"/>
        <v>586.91800000000001</v>
      </c>
      <c r="BH61" s="782" t="s">
        <v>547</v>
      </c>
      <c r="BI61" s="644">
        <v>1018733000</v>
      </c>
      <c r="BJ61" s="644">
        <v>369023286</v>
      </c>
      <c r="BK61" s="644">
        <v>369023286</v>
      </c>
      <c r="BL61" s="644">
        <v>649709714</v>
      </c>
      <c r="BM61" s="548">
        <f t="shared" si="24"/>
        <v>1018733</v>
      </c>
      <c r="BN61" s="548">
        <f t="shared" si="25"/>
        <v>369023.28600000002</v>
      </c>
      <c r="BO61" s="548">
        <f t="shared" si="26"/>
        <v>369023.28600000002</v>
      </c>
      <c r="BP61" s="650">
        <f t="shared" si="27"/>
        <v>649709.71400000004</v>
      </c>
      <c r="BS61" s="373" t="s">
        <v>369</v>
      </c>
      <c r="BT61" s="597">
        <v>83276</v>
      </c>
      <c r="BU61" s="597">
        <f t="shared" si="28"/>
        <v>83.275999999999996</v>
      </c>
      <c r="BW61" s="597" t="s">
        <v>547</v>
      </c>
      <c r="BX61" s="597">
        <v>1065733000</v>
      </c>
      <c r="BY61" s="597">
        <v>441587745</v>
      </c>
      <c r="BZ61" s="597">
        <v>624145255</v>
      </c>
      <c r="CA61" s="597">
        <v>441587745</v>
      </c>
      <c r="CB61" s="597">
        <f t="shared" si="29"/>
        <v>1065733</v>
      </c>
      <c r="CC61" s="597">
        <f t="shared" si="30"/>
        <v>441587.745</v>
      </c>
      <c r="CD61" s="597">
        <f t="shared" si="31"/>
        <v>624145.255</v>
      </c>
      <c r="CE61" s="597">
        <f t="shared" si="32"/>
        <v>441587.745</v>
      </c>
      <c r="CG61" s="373" t="s">
        <v>563</v>
      </c>
      <c r="CH61" s="597">
        <v>5629167</v>
      </c>
      <c r="CI61" s="597">
        <f t="shared" si="33"/>
        <v>5629.1670000000004</v>
      </c>
      <c r="CK61" s="371" t="s">
        <v>547</v>
      </c>
      <c r="CL61" s="372">
        <v>1065733000</v>
      </c>
      <c r="CM61" s="372">
        <v>525427687</v>
      </c>
      <c r="CN61" s="372">
        <v>525427687</v>
      </c>
      <c r="CO61" s="372">
        <v>540305313</v>
      </c>
      <c r="CP61" s="597">
        <f t="shared" si="34"/>
        <v>1065733</v>
      </c>
      <c r="CQ61" s="597">
        <f t="shared" si="35"/>
        <v>525427.68700000003</v>
      </c>
      <c r="CR61" s="597">
        <f t="shared" si="36"/>
        <v>525427.68700000003</v>
      </c>
      <c r="CS61" s="597">
        <f t="shared" si="37"/>
        <v>540305.31299999997</v>
      </c>
      <c r="CU61" s="548"/>
      <c r="CV61" s="371" t="s">
        <v>381</v>
      </c>
      <c r="CW61" s="372">
        <v>2180992</v>
      </c>
      <c r="CX61" s="372">
        <f t="shared" si="38"/>
        <v>2180.9920000000002</v>
      </c>
      <c r="CZ61" s="1059" t="s">
        <v>547</v>
      </c>
      <c r="DA61" s="1060">
        <v>1065733000</v>
      </c>
      <c r="DB61" s="1060">
        <v>611227249</v>
      </c>
      <c r="DC61" s="1060">
        <v>611227249</v>
      </c>
      <c r="DD61" s="1060">
        <v>454505751</v>
      </c>
      <c r="DE61" s="1060">
        <f t="shared" si="39"/>
        <v>1065733</v>
      </c>
      <c r="DF61" s="1060">
        <f t="shared" si="40"/>
        <v>611227.24899999995</v>
      </c>
      <c r="DG61" s="1060">
        <f t="shared" si="41"/>
        <v>611227.24899999995</v>
      </c>
      <c r="DH61" s="1060">
        <f t="shared" si="42"/>
        <v>454505.75099999999</v>
      </c>
    </row>
    <row r="62" spans="1:112" x14ac:dyDescent="0.25">
      <c r="A62" s="504" t="s">
        <v>548</v>
      </c>
      <c r="B62" s="504">
        <v>19313000</v>
      </c>
      <c r="C62" s="504">
        <v>992795</v>
      </c>
      <c r="D62" s="504">
        <v>992795</v>
      </c>
      <c r="E62" s="504">
        <v>18320205</v>
      </c>
      <c r="F62" s="504">
        <f t="shared" si="43"/>
        <v>19313</v>
      </c>
      <c r="G62" s="504">
        <f t="shared" si="44"/>
        <v>992.79499999999996</v>
      </c>
      <c r="H62" s="504">
        <f t="shared" si="45"/>
        <v>992.79499999999996</v>
      </c>
      <c r="I62" s="504">
        <f t="shared" si="46"/>
        <v>18320.205000000002</v>
      </c>
      <c r="L62" s="371" t="s">
        <v>380</v>
      </c>
      <c r="M62" s="372">
        <v>3465203</v>
      </c>
      <c r="N62" s="372">
        <f t="shared" si="47"/>
        <v>3465.203</v>
      </c>
      <c r="P62" s="371" t="s">
        <v>548</v>
      </c>
      <c r="Q62" s="372">
        <v>19313000</v>
      </c>
      <c r="R62" s="372">
        <v>1805663</v>
      </c>
      <c r="S62" s="372">
        <v>1805663</v>
      </c>
      <c r="T62" s="372">
        <v>17507337</v>
      </c>
      <c r="U62" s="372">
        <f t="shared" si="48"/>
        <v>19313</v>
      </c>
      <c r="V62" s="505">
        <f t="shared" si="49"/>
        <v>1805.663</v>
      </c>
      <c r="W62" s="505">
        <f t="shared" si="50"/>
        <v>1805.663</v>
      </c>
      <c r="X62" s="505">
        <f t="shared" si="51"/>
        <v>17507.337</v>
      </c>
      <c r="AA62" s="371" t="s">
        <v>364</v>
      </c>
      <c r="AB62" s="372">
        <v>2531116</v>
      </c>
      <c r="AC62" s="505">
        <f t="shared" si="52"/>
        <v>2531.116</v>
      </c>
      <c r="AE62" s="373" t="s">
        <v>548</v>
      </c>
      <c r="AF62" s="504">
        <v>19313000</v>
      </c>
      <c r="AG62" s="504">
        <v>3051195</v>
      </c>
      <c r="AH62" s="504">
        <v>3051195</v>
      </c>
      <c r="AI62" s="504">
        <v>16261805</v>
      </c>
      <c r="AJ62" s="504">
        <f t="shared" si="53"/>
        <v>19313</v>
      </c>
      <c r="AK62" s="504">
        <f t="shared" si="54"/>
        <v>3051.1950000000002</v>
      </c>
      <c r="AL62" s="504">
        <f t="shared" si="55"/>
        <v>3051.1950000000002</v>
      </c>
      <c r="AM62" s="504">
        <f t="shared" si="56"/>
        <v>16261.805</v>
      </c>
      <c r="AP62" s="371" t="s">
        <v>556</v>
      </c>
      <c r="AQ62" s="372">
        <v>11199999</v>
      </c>
      <c r="AR62" s="372">
        <f t="shared" si="18"/>
        <v>11199.999</v>
      </c>
      <c r="AT62" s="371" t="s">
        <v>548</v>
      </c>
      <c r="AU62" s="372">
        <v>19346049</v>
      </c>
      <c r="AV62" s="372">
        <v>4257787</v>
      </c>
      <c r="AW62" s="372">
        <v>4257787</v>
      </c>
      <c r="AX62" s="372">
        <v>15088262</v>
      </c>
      <c r="AY62" s="504">
        <f t="shared" si="19"/>
        <v>19346.048999999999</v>
      </c>
      <c r="AZ62" s="504">
        <f t="shared" si="20"/>
        <v>4257.7870000000003</v>
      </c>
      <c r="BA62" s="504">
        <f t="shared" si="21"/>
        <v>4257.7870000000003</v>
      </c>
      <c r="BB62" s="504">
        <f t="shared" si="22"/>
        <v>15088.262000000001</v>
      </c>
      <c r="BD62" s="782" t="s">
        <v>380</v>
      </c>
      <c r="BE62" s="644">
        <v>707983</v>
      </c>
      <c r="BF62" s="650">
        <f t="shared" si="23"/>
        <v>707.98299999999995</v>
      </c>
      <c r="BH62" s="782" t="s">
        <v>548</v>
      </c>
      <c r="BI62" s="644">
        <v>19346049</v>
      </c>
      <c r="BJ62" s="644">
        <v>5086283</v>
      </c>
      <c r="BK62" s="644">
        <v>5086283</v>
      </c>
      <c r="BL62" s="644">
        <v>14259766</v>
      </c>
      <c r="BM62" s="548">
        <f t="shared" si="24"/>
        <v>19346.048999999999</v>
      </c>
      <c r="BN62" s="548">
        <f t="shared" si="25"/>
        <v>5086.2830000000004</v>
      </c>
      <c r="BO62" s="548">
        <f t="shared" si="26"/>
        <v>5086.2830000000004</v>
      </c>
      <c r="BP62" s="650">
        <f t="shared" si="27"/>
        <v>14259.766</v>
      </c>
      <c r="BS62" s="373" t="s">
        <v>370</v>
      </c>
      <c r="BT62" s="597">
        <v>11645457</v>
      </c>
      <c r="BU62" s="597">
        <f t="shared" si="28"/>
        <v>11645.457</v>
      </c>
      <c r="BW62" s="597" t="s">
        <v>548</v>
      </c>
      <c r="BX62" s="597">
        <v>19346049</v>
      </c>
      <c r="BY62" s="597">
        <v>5539672</v>
      </c>
      <c r="BZ62" s="597">
        <v>13806377</v>
      </c>
      <c r="CA62" s="597">
        <v>5539672</v>
      </c>
      <c r="CB62" s="597">
        <f t="shared" si="29"/>
        <v>19346.048999999999</v>
      </c>
      <c r="CC62" s="597">
        <f t="shared" si="30"/>
        <v>5539.6719999999996</v>
      </c>
      <c r="CD62" s="597">
        <f t="shared" si="31"/>
        <v>13806.377</v>
      </c>
      <c r="CE62" s="597">
        <f t="shared" si="32"/>
        <v>5539.6719999999996</v>
      </c>
      <c r="CG62" s="373" t="s">
        <v>385</v>
      </c>
      <c r="CH62" s="597">
        <v>49956088</v>
      </c>
      <c r="CI62" s="597">
        <f t="shared" si="33"/>
        <v>49956.088000000003</v>
      </c>
      <c r="CK62" s="371" t="s">
        <v>548</v>
      </c>
      <c r="CL62" s="372">
        <v>19313000</v>
      </c>
      <c r="CM62" s="372">
        <v>6116703</v>
      </c>
      <c r="CN62" s="372">
        <v>6116703</v>
      </c>
      <c r="CO62" s="372">
        <v>13196297</v>
      </c>
      <c r="CP62" s="597">
        <f t="shared" si="34"/>
        <v>19313</v>
      </c>
      <c r="CQ62" s="597">
        <f t="shared" si="35"/>
        <v>6116.7030000000004</v>
      </c>
      <c r="CR62" s="597">
        <f t="shared" si="36"/>
        <v>6116.7030000000004</v>
      </c>
      <c r="CS62" s="597">
        <f t="shared" si="37"/>
        <v>13196.297</v>
      </c>
      <c r="CU62" s="548"/>
      <c r="CV62" s="371" t="s">
        <v>383</v>
      </c>
      <c r="CW62" s="372">
        <v>121645042</v>
      </c>
      <c r="CX62" s="372">
        <f t="shared" si="38"/>
        <v>121645.042</v>
      </c>
      <c r="CZ62" s="1059" t="s">
        <v>548</v>
      </c>
      <c r="DA62" s="1060">
        <v>19313000</v>
      </c>
      <c r="DB62" s="1060">
        <v>6142518</v>
      </c>
      <c r="DC62" s="1060">
        <v>6142518</v>
      </c>
      <c r="DD62" s="1060">
        <v>13170482</v>
      </c>
      <c r="DE62" s="1060">
        <f t="shared" si="39"/>
        <v>19313</v>
      </c>
      <c r="DF62" s="1060">
        <f t="shared" si="40"/>
        <v>6142.518</v>
      </c>
      <c r="DG62" s="1060">
        <f t="shared" si="41"/>
        <v>6142.518</v>
      </c>
      <c r="DH62" s="1060">
        <f t="shared" si="42"/>
        <v>13170.482</v>
      </c>
    </row>
    <row r="63" spans="1:112" x14ac:dyDescent="0.25">
      <c r="A63" s="504" t="s">
        <v>359</v>
      </c>
      <c r="B63" s="504">
        <v>93923563</v>
      </c>
      <c r="C63" s="504">
        <v>4650716</v>
      </c>
      <c r="D63" s="504">
        <v>4650716</v>
      </c>
      <c r="E63" s="504">
        <v>89272847</v>
      </c>
      <c r="F63" s="504">
        <f t="shared" si="43"/>
        <v>93923.562999999995</v>
      </c>
      <c r="G63" s="504">
        <f t="shared" si="44"/>
        <v>4650.7160000000003</v>
      </c>
      <c r="H63" s="504">
        <f t="shared" si="45"/>
        <v>4650.7160000000003</v>
      </c>
      <c r="I63" s="504">
        <f t="shared" si="46"/>
        <v>89272.846999999994</v>
      </c>
      <c r="L63" s="371" t="s">
        <v>381</v>
      </c>
      <c r="M63" s="372">
        <v>3405703</v>
      </c>
      <c r="N63" s="372">
        <f t="shared" si="47"/>
        <v>3405.703</v>
      </c>
      <c r="P63" s="371" t="s">
        <v>359</v>
      </c>
      <c r="Q63" s="372">
        <v>93923563</v>
      </c>
      <c r="R63" s="372">
        <v>6976074</v>
      </c>
      <c r="S63" s="372">
        <v>6976074</v>
      </c>
      <c r="T63" s="372">
        <v>86947489</v>
      </c>
      <c r="U63" s="372">
        <f t="shared" si="48"/>
        <v>93923.562999999995</v>
      </c>
      <c r="V63" s="505">
        <f t="shared" si="49"/>
        <v>6976.0739999999996</v>
      </c>
      <c r="W63" s="505">
        <f t="shared" si="50"/>
        <v>6976.0739999999996</v>
      </c>
      <c r="X63" s="505">
        <f t="shared" si="51"/>
        <v>86947.489000000001</v>
      </c>
      <c r="AA63" s="371" t="s">
        <v>552</v>
      </c>
      <c r="AB63" s="372">
        <v>2060366</v>
      </c>
      <c r="AC63" s="505">
        <f t="shared" si="52"/>
        <v>2060.366</v>
      </c>
      <c r="AE63" s="373" t="s">
        <v>359</v>
      </c>
      <c r="AF63" s="504">
        <v>93923563</v>
      </c>
      <c r="AG63" s="504">
        <v>9964067</v>
      </c>
      <c r="AH63" s="504">
        <v>9964067</v>
      </c>
      <c r="AI63" s="504">
        <v>83959496</v>
      </c>
      <c r="AJ63" s="504">
        <f t="shared" si="53"/>
        <v>93923.562999999995</v>
      </c>
      <c r="AK63" s="504">
        <f t="shared" si="54"/>
        <v>9964.0669999999991</v>
      </c>
      <c r="AL63" s="504">
        <f t="shared" si="55"/>
        <v>9964.0669999999991</v>
      </c>
      <c r="AM63" s="504">
        <f t="shared" si="56"/>
        <v>83959.495999999999</v>
      </c>
      <c r="AP63" s="371" t="s">
        <v>378</v>
      </c>
      <c r="AQ63" s="372">
        <v>1225489</v>
      </c>
      <c r="AR63" s="372">
        <f t="shared" si="18"/>
        <v>1225.489</v>
      </c>
      <c r="AT63" s="371" t="s">
        <v>359</v>
      </c>
      <c r="AU63" s="372">
        <v>93923563</v>
      </c>
      <c r="AV63" s="372">
        <v>9964067</v>
      </c>
      <c r="AW63" s="372">
        <v>9964067</v>
      </c>
      <c r="AX63" s="372">
        <v>83959496</v>
      </c>
      <c r="AY63" s="504">
        <f t="shared" si="19"/>
        <v>93923.562999999995</v>
      </c>
      <c r="AZ63" s="504">
        <f t="shared" si="20"/>
        <v>9964.0669999999991</v>
      </c>
      <c r="BA63" s="504">
        <f t="shared" si="21"/>
        <v>9964.0669999999991</v>
      </c>
      <c r="BB63" s="504">
        <f t="shared" si="22"/>
        <v>83959.495999999999</v>
      </c>
      <c r="BD63" s="782" t="s">
        <v>381</v>
      </c>
      <c r="BE63" s="644">
        <v>707983</v>
      </c>
      <c r="BF63" s="650">
        <f t="shared" si="23"/>
        <v>707.98299999999995</v>
      </c>
      <c r="BH63" s="782" t="s">
        <v>359</v>
      </c>
      <c r="BI63" s="644">
        <v>93923563</v>
      </c>
      <c r="BJ63" s="644">
        <v>9964067</v>
      </c>
      <c r="BK63" s="644">
        <v>9964067</v>
      </c>
      <c r="BL63" s="644">
        <v>83959496</v>
      </c>
      <c r="BM63" s="548">
        <f t="shared" si="24"/>
        <v>93923.562999999995</v>
      </c>
      <c r="BN63" s="548">
        <f t="shared" si="25"/>
        <v>9964.0669999999991</v>
      </c>
      <c r="BO63" s="548">
        <f t="shared" si="26"/>
        <v>9964.0669999999991</v>
      </c>
      <c r="BP63" s="650">
        <f t="shared" si="27"/>
        <v>83959.495999999999</v>
      </c>
      <c r="BS63" s="373" t="s">
        <v>371</v>
      </c>
      <c r="BT63" s="597">
        <v>2091393</v>
      </c>
      <c r="BU63" s="597">
        <f t="shared" si="28"/>
        <v>2091.393</v>
      </c>
      <c r="BW63" s="597" t="s">
        <v>359</v>
      </c>
      <c r="BX63" s="597">
        <v>93923563</v>
      </c>
      <c r="BY63" s="597">
        <v>9964067</v>
      </c>
      <c r="BZ63" s="597">
        <v>83959496</v>
      </c>
      <c r="CA63" s="597">
        <v>9964067</v>
      </c>
      <c r="CB63" s="597">
        <f t="shared" si="29"/>
        <v>93923.562999999995</v>
      </c>
      <c r="CC63" s="597">
        <f t="shared" si="30"/>
        <v>9964.0669999999991</v>
      </c>
      <c r="CD63" s="597">
        <f t="shared" si="31"/>
        <v>83959.495999999999</v>
      </c>
      <c r="CE63" s="597">
        <f t="shared" si="32"/>
        <v>9964.0669999999991</v>
      </c>
      <c r="CG63" s="373" t="s">
        <v>386</v>
      </c>
      <c r="CH63" s="597">
        <v>83240692</v>
      </c>
      <c r="CI63" s="597">
        <f t="shared" si="33"/>
        <v>83240.691999999995</v>
      </c>
      <c r="CK63" s="371" t="s">
        <v>359</v>
      </c>
      <c r="CL63" s="372">
        <v>93923563</v>
      </c>
      <c r="CM63" s="372">
        <v>9964067</v>
      </c>
      <c r="CN63" s="372">
        <v>9964067</v>
      </c>
      <c r="CO63" s="372">
        <v>83959496</v>
      </c>
      <c r="CP63" s="597">
        <f t="shared" si="34"/>
        <v>93923.562999999995</v>
      </c>
      <c r="CQ63" s="597">
        <f t="shared" si="35"/>
        <v>9964.0669999999991</v>
      </c>
      <c r="CR63" s="597">
        <f t="shared" si="36"/>
        <v>9964.0669999999991</v>
      </c>
      <c r="CS63" s="597">
        <f t="shared" si="37"/>
        <v>83959.495999999999</v>
      </c>
      <c r="CU63" s="548"/>
      <c r="CV63" s="371" t="s">
        <v>384</v>
      </c>
      <c r="CW63" s="372">
        <v>10097585</v>
      </c>
      <c r="CX63" s="372">
        <f t="shared" si="38"/>
        <v>10097.584999999999</v>
      </c>
      <c r="CZ63" s="1059" t="s">
        <v>359</v>
      </c>
      <c r="DA63" s="1060">
        <v>93923563</v>
      </c>
      <c r="DB63" s="1060">
        <v>9964067</v>
      </c>
      <c r="DC63" s="1060">
        <v>9964067</v>
      </c>
      <c r="DD63" s="1060">
        <v>83959496</v>
      </c>
      <c r="DE63" s="1060">
        <f t="shared" si="39"/>
        <v>93923.562999999995</v>
      </c>
      <c r="DF63" s="1060">
        <f t="shared" si="40"/>
        <v>9964.0669999999991</v>
      </c>
      <c r="DG63" s="1060">
        <f t="shared" si="41"/>
        <v>9964.0669999999991</v>
      </c>
      <c r="DH63" s="1060">
        <f t="shared" si="42"/>
        <v>83959.495999999999</v>
      </c>
    </row>
    <row r="64" spans="1:112" x14ac:dyDescent="0.25">
      <c r="A64" s="504" t="s">
        <v>361</v>
      </c>
      <c r="B64" s="504">
        <v>2796789000</v>
      </c>
      <c r="C64" s="504">
        <v>26731971</v>
      </c>
      <c r="D64" s="504">
        <v>1622134291</v>
      </c>
      <c r="E64" s="504">
        <v>1174654709</v>
      </c>
      <c r="F64" s="504">
        <f t="shared" si="43"/>
        <v>2796789</v>
      </c>
      <c r="G64" s="504">
        <f t="shared" si="44"/>
        <v>26731.971000000001</v>
      </c>
      <c r="H64" s="504">
        <f t="shared" si="45"/>
        <v>1622134.291</v>
      </c>
      <c r="I64" s="504">
        <f t="shared" si="46"/>
        <v>1174654.709</v>
      </c>
      <c r="L64" s="371" t="s">
        <v>382</v>
      </c>
      <c r="M64" s="372">
        <v>59500</v>
      </c>
      <c r="N64" s="372">
        <f t="shared" si="47"/>
        <v>59.5</v>
      </c>
      <c r="P64" s="371" t="s">
        <v>361</v>
      </c>
      <c r="Q64" s="372">
        <v>2796789000</v>
      </c>
      <c r="R64" s="372">
        <v>172037897</v>
      </c>
      <c r="S64" s="372">
        <v>2312863070</v>
      </c>
      <c r="T64" s="372">
        <v>483925930</v>
      </c>
      <c r="U64" s="372">
        <f t="shared" si="48"/>
        <v>2796789</v>
      </c>
      <c r="V64" s="505">
        <f t="shared" si="49"/>
        <v>172037.897</v>
      </c>
      <c r="W64" s="505">
        <f t="shared" si="50"/>
        <v>2312863.0699999998</v>
      </c>
      <c r="X64" s="505">
        <f t="shared" si="51"/>
        <v>483925.93</v>
      </c>
      <c r="AA64" s="371" t="s">
        <v>553</v>
      </c>
      <c r="AB64" s="372">
        <v>457060</v>
      </c>
      <c r="AC64" s="505">
        <f t="shared" si="52"/>
        <v>457.06</v>
      </c>
      <c r="AE64" s="373" t="s">
        <v>361</v>
      </c>
      <c r="AF64" s="504">
        <v>4467359000</v>
      </c>
      <c r="AG64" s="504">
        <v>542595599</v>
      </c>
      <c r="AH64" s="504">
        <v>2691536477</v>
      </c>
      <c r="AI64" s="504">
        <v>1775822523</v>
      </c>
      <c r="AJ64" s="504">
        <f t="shared" si="53"/>
        <v>4467359</v>
      </c>
      <c r="AK64" s="504">
        <f t="shared" si="54"/>
        <v>542595.59900000005</v>
      </c>
      <c r="AL64" s="504">
        <f t="shared" si="55"/>
        <v>2691536.477</v>
      </c>
      <c r="AM64" s="504">
        <f t="shared" si="56"/>
        <v>1775822.523</v>
      </c>
      <c r="AP64" s="371" t="s">
        <v>558</v>
      </c>
      <c r="AQ64" s="372">
        <v>1225489</v>
      </c>
      <c r="AR64" s="372">
        <f t="shared" si="18"/>
        <v>1225.489</v>
      </c>
      <c r="AT64" s="371" t="s">
        <v>361</v>
      </c>
      <c r="AU64" s="372">
        <v>4467359000</v>
      </c>
      <c r="AV64" s="372">
        <v>854394387</v>
      </c>
      <c r="AW64" s="372">
        <v>2782366586</v>
      </c>
      <c r="AX64" s="372">
        <v>1684992414</v>
      </c>
      <c r="AY64" s="504">
        <f t="shared" si="19"/>
        <v>4467359</v>
      </c>
      <c r="AZ64" s="504">
        <f t="shared" si="20"/>
        <v>854394.38699999999</v>
      </c>
      <c r="BA64" s="504">
        <f t="shared" si="21"/>
        <v>2782366.5860000001</v>
      </c>
      <c r="BB64" s="504">
        <f t="shared" si="22"/>
        <v>1684992.4140000001</v>
      </c>
      <c r="BD64" s="782" t="s">
        <v>383</v>
      </c>
      <c r="BE64" s="644">
        <v>27940294</v>
      </c>
      <c r="BF64" s="650">
        <f t="shared" si="23"/>
        <v>27940.294000000002</v>
      </c>
      <c r="BH64" s="782" t="s">
        <v>980</v>
      </c>
      <c r="BI64" s="644">
        <v>2302518</v>
      </c>
      <c r="BJ64" s="644">
        <v>2302518</v>
      </c>
      <c r="BK64" s="644">
        <v>2302518</v>
      </c>
      <c r="BL64" s="644">
        <v>0</v>
      </c>
      <c r="BM64" s="548">
        <f t="shared" si="24"/>
        <v>2302.518</v>
      </c>
      <c r="BN64" s="548">
        <f t="shared" si="25"/>
        <v>2302.518</v>
      </c>
      <c r="BO64" s="548">
        <f t="shared" si="26"/>
        <v>2302.518</v>
      </c>
      <c r="BP64" s="650">
        <f t="shared" si="27"/>
        <v>0</v>
      </c>
      <c r="BS64" s="373" t="s">
        <v>372</v>
      </c>
      <c r="BT64" s="597">
        <v>1453323</v>
      </c>
      <c r="BU64" s="597">
        <f t="shared" si="28"/>
        <v>1453.3230000000001</v>
      </c>
      <c r="BW64" s="597" t="s">
        <v>980</v>
      </c>
      <c r="BX64" s="597">
        <v>2302518</v>
      </c>
      <c r="BY64" s="597">
        <v>2302518</v>
      </c>
      <c r="BZ64" s="597">
        <v>0</v>
      </c>
      <c r="CA64" s="597">
        <v>2302518</v>
      </c>
      <c r="CB64" s="597">
        <f t="shared" si="29"/>
        <v>2302.518</v>
      </c>
      <c r="CC64" s="597">
        <f t="shared" si="30"/>
        <v>2302.518</v>
      </c>
      <c r="CD64" s="597">
        <f t="shared" si="31"/>
        <v>0</v>
      </c>
      <c r="CE64" s="597">
        <f t="shared" si="32"/>
        <v>2302.518</v>
      </c>
      <c r="CG64" s="373" t="s">
        <v>387</v>
      </c>
      <c r="CH64" s="597">
        <v>66363564</v>
      </c>
      <c r="CI64" s="597">
        <f t="shared" si="33"/>
        <v>66363.563999999998</v>
      </c>
      <c r="CK64" s="371" t="s">
        <v>980</v>
      </c>
      <c r="CL64" s="372">
        <v>2302518</v>
      </c>
      <c r="CM64" s="372">
        <v>2302518</v>
      </c>
      <c r="CN64" s="372">
        <v>2302518</v>
      </c>
      <c r="CO64" s="372">
        <v>0</v>
      </c>
      <c r="CP64" s="597">
        <f t="shared" si="34"/>
        <v>2302.518</v>
      </c>
      <c r="CQ64" s="597">
        <f t="shared" si="35"/>
        <v>2302.518</v>
      </c>
      <c r="CR64" s="597">
        <f t="shared" si="36"/>
        <v>2302.518</v>
      </c>
      <c r="CS64" s="597">
        <f t="shared" si="37"/>
        <v>0</v>
      </c>
      <c r="CU64" s="548"/>
      <c r="CV64" s="371" t="s">
        <v>468</v>
      </c>
      <c r="CW64" s="372">
        <v>2916165</v>
      </c>
      <c r="CX64" s="372">
        <f t="shared" si="38"/>
        <v>2916.165</v>
      </c>
      <c r="CZ64" s="1059" t="s">
        <v>980</v>
      </c>
      <c r="DA64" s="1060">
        <v>2302518</v>
      </c>
      <c r="DB64" s="1060">
        <v>2302518</v>
      </c>
      <c r="DC64" s="1060">
        <v>2302518</v>
      </c>
      <c r="DD64" s="1060">
        <v>0</v>
      </c>
      <c r="DE64" s="1060">
        <f t="shared" si="39"/>
        <v>2302.518</v>
      </c>
      <c r="DF64" s="1060">
        <f t="shared" si="40"/>
        <v>2302.518</v>
      </c>
      <c r="DG64" s="1060">
        <f t="shared" si="41"/>
        <v>2302.518</v>
      </c>
      <c r="DH64" s="1060">
        <f t="shared" si="42"/>
        <v>0</v>
      </c>
    </row>
    <row r="65" spans="1:112" x14ac:dyDescent="0.25">
      <c r="A65" s="504" t="s">
        <v>362</v>
      </c>
      <c r="B65" s="504">
        <v>23000000</v>
      </c>
      <c r="C65" s="504">
        <v>0</v>
      </c>
      <c r="D65" s="504">
        <v>0</v>
      </c>
      <c r="E65" s="504">
        <v>23000000</v>
      </c>
      <c r="F65" s="504">
        <f t="shared" si="43"/>
        <v>23000</v>
      </c>
      <c r="G65" s="504">
        <f t="shared" si="44"/>
        <v>0</v>
      </c>
      <c r="H65" s="504">
        <f t="shared" si="45"/>
        <v>0</v>
      </c>
      <c r="I65" s="504">
        <f t="shared" si="46"/>
        <v>23000</v>
      </c>
      <c r="L65" s="371" t="s">
        <v>383</v>
      </c>
      <c r="M65" s="372">
        <v>29443782</v>
      </c>
      <c r="N65" s="372">
        <f t="shared" si="47"/>
        <v>29443.781999999999</v>
      </c>
      <c r="P65" s="371" t="s">
        <v>1044</v>
      </c>
      <c r="Q65" s="372">
        <v>150000</v>
      </c>
      <c r="R65" s="372">
        <v>0</v>
      </c>
      <c r="S65" s="372">
        <v>149999</v>
      </c>
      <c r="T65" s="372">
        <v>1</v>
      </c>
      <c r="U65" s="372">
        <f t="shared" si="48"/>
        <v>150</v>
      </c>
      <c r="V65" s="505">
        <f t="shared" si="49"/>
        <v>0</v>
      </c>
      <c r="W65" s="505">
        <f t="shared" si="50"/>
        <v>149.999</v>
      </c>
      <c r="X65" s="505">
        <f t="shared" si="51"/>
        <v>1E-3</v>
      </c>
      <c r="AA65" s="371" t="s">
        <v>554</v>
      </c>
      <c r="AB65" s="372">
        <v>13690</v>
      </c>
      <c r="AC65" s="505">
        <f t="shared" si="52"/>
        <v>13.69</v>
      </c>
      <c r="AE65" s="373" t="s">
        <v>1044</v>
      </c>
      <c r="AF65" s="504">
        <v>150000</v>
      </c>
      <c r="AG65" s="504">
        <v>150000</v>
      </c>
      <c r="AH65" s="504">
        <v>150000</v>
      </c>
      <c r="AI65" s="504">
        <v>0</v>
      </c>
      <c r="AJ65" s="504">
        <f t="shared" si="53"/>
        <v>150</v>
      </c>
      <c r="AK65" s="504">
        <f t="shared" si="54"/>
        <v>150</v>
      </c>
      <c r="AL65" s="504">
        <f t="shared" si="55"/>
        <v>150</v>
      </c>
      <c r="AM65" s="504">
        <f t="shared" si="56"/>
        <v>0</v>
      </c>
      <c r="AP65" s="371" t="s">
        <v>380</v>
      </c>
      <c r="AQ65" s="372">
        <v>76000</v>
      </c>
      <c r="AR65" s="372">
        <f t="shared" si="18"/>
        <v>76</v>
      </c>
      <c r="AT65" s="371" t="s">
        <v>1044</v>
      </c>
      <c r="AU65" s="372">
        <v>150000</v>
      </c>
      <c r="AV65" s="372">
        <v>150000</v>
      </c>
      <c r="AW65" s="372">
        <v>150000</v>
      </c>
      <c r="AX65" s="372">
        <v>0</v>
      </c>
      <c r="AY65" s="504">
        <f t="shared" si="19"/>
        <v>150</v>
      </c>
      <c r="AZ65" s="504">
        <f t="shared" si="20"/>
        <v>150</v>
      </c>
      <c r="BA65" s="504">
        <f t="shared" si="21"/>
        <v>150</v>
      </c>
      <c r="BB65" s="504">
        <f t="shared" si="22"/>
        <v>0</v>
      </c>
      <c r="BD65" s="782" t="s">
        <v>384</v>
      </c>
      <c r="BE65" s="644">
        <v>8975257</v>
      </c>
      <c r="BF65" s="650">
        <f t="shared" si="23"/>
        <v>8975.2569999999996</v>
      </c>
      <c r="BH65" s="782" t="s">
        <v>361</v>
      </c>
      <c r="BI65" s="644">
        <v>4467359000</v>
      </c>
      <c r="BJ65" s="644">
        <v>1069167835</v>
      </c>
      <c r="BK65" s="644">
        <v>2967574713</v>
      </c>
      <c r="BL65" s="644">
        <v>1499784287</v>
      </c>
      <c r="BM65" s="548">
        <f t="shared" si="24"/>
        <v>4467359</v>
      </c>
      <c r="BN65" s="548">
        <f t="shared" si="25"/>
        <v>1069167.835</v>
      </c>
      <c r="BO65" s="548">
        <f t="shared" si="26"/>
        <v>2967574.713</v>
      </c>
      <c r="BP65" s="650">
        <f t="shared" si="27"/>
        <v>1499784.287</v>
      </c>
      <c r="BS65" s="373" t="s">
        <v>373</v>
      </c>
      <c r="BT65" s="597">
        <v>335900</v>
      </c>
      <c r="BU65" s="597">
        <f t="shared" si="28"/>
        <v>335.9</v>
      </c>
      <c r="BW65" s="597" t="s">
        <v>361</v>
      </c>
      <c r="BX65" s="597">
        <v>4547359000</v>
      </c>
      <c r="BY65" s="597">
        <v>3151100519</v>
      </c>
      <c r="BZ65" s="597">
        <v>1396258481</v>
      </c>
      <c r="CA65" s="597">
        <v>1518786646</v>
      </c>
      <c r="CB65" s="597">
        <f t="shared" si="29"/>
        <v>4547359</v>
      </c>
      <c r="CC65" s="597">
        <f t="shared" si="30"/>
        <v>3151100.5189999999</v>
      </c>
      <c r="CD65" s="597">
        <f t="shared" si="31"/>
        <v>1396258.4809999999</v>
      </c>
      <c r="CE65" s="597">
        <f t="shared" si="32"/>
        <v>1518786.6459999999</v>
      </c>
      <c r="CG65" s="373" t="s">
        <v>565</v>
      </c>
      <c r="CH65" s="597">
        <v>4024715</v>
      </c>
      <c r="CI65" s="597">
        <f t="shared" si="33"/>
        <v>4024.7150000000001</v>
      </c>
      <c r="CK65" s="371" t="s">
        <v>361</v>
      </c>
      <c r="CL65" s="372">
        <v>4547359000</v>
      </c>
      <c r="CM65" s="372">
        <v>1729538644</v>
      </c>
      <c r="CN65" s="372">
        <v>3424734615</v>
      </c>
      <c r="CO65" s="372">
        <v>1122624385</v>
      </c>
      <c r="CP65" s="597">
        <f t="shared" si="34"/>
        <v>4547359</v>
      </c>
      <c r="CQ65" s="597">
        <f t="shared" si="35"/>
        <v>1729538.6440000001</v>
      </c>
      <c r="CR65" s="597">
        <f t="shared" si="36"/>
        <v>3424734.6150000002</v>
      </c>
      <c r="CS65" s="597">
        <f t="shared" si="37"/>
        <v>1122624.385</v>
      </c>
      <c r="CU65" s="548"/>
      <c r="CV65" s="371" t="s">
        <v>562</v>
      </c>
      <c r="CW65" s="372">
        <v>18065933</v>
      </c>
      <c r="CX65" s="372">
        <f t="shared" si="38"/>
        <v>18065.933000000001</v>
      </c>
      <c r="CZ65" s="1059" t="s">
        <v>361</v>
      </c>
      <c r="DA65" s="1060">
        <v>4547359000</v>
      </c>
      <c r="DB65" s="1060">
        <v>2115228989</v>
      </c>
      <c r="DC65" s="1060">
        <v>3609582405</v>
      </c>
      <c r="DD65" s="1060">
        <v>937776595</v>
      </c>
      <c r="DE65" s="1060">
        <f t="shared" si="39"/>
        <v>4547359</v>
      </c>
      <c r="DF65" s="1060">
        <f t="shared" si="40"/>
        <v>2115228.9890000001</v>
      </c>
      <c r="DG65" s="1060">
        <f t="shared" si="41"/>
        <v>3609582.4049999998</v>
      </c>
      <c r="DH65" s="1060">
        <f t="shared" si="42"/>
        <v>937776.59499999997</v>
      </c>
    </row>
    <row r="66" spans="1:112" x14ac:dyDescent="0.25">
      <c r="A66" s="504" t="s">
        <v>549</v>
      </c>
      <c r="B66" s="504">
        <v>18000000</v>
      </c>
      <c r="C66" s="504">
        <v>0</v>
      </c>
      <c r="D66" s="504">
        <v>0</v>
      </c>
      <c r="E66" s="504">
        <v>18000000</v>
      </c>
      <c r="F66" s="504">
        <f t="shared" si="43"/>
        <v>18000</v>
      </c>
      <c r="G66" s="504">
        <f t="shared" si="44"/>
        <v>0</v>
      </c>
      <c r="H66" s="504">
        <f t="shared" si="45"/>
        <v>0</v>
      </c>
      <c r="I66" s="504">
        <f t="shared" si="46"/>
        <v>18000</v>
      </c>
      <c r="L66" s="371" t="s">
        <v>384</v>
      </c>
      <c r="M66" s="372">
        <v>8118847</v>
      </c>
      <c r="N66" s="372">
        <f t="shared" si="47"/>
        <v>8118.8469999999998</v>
      </c>
      <c r="P66" s="371" t="s">
        <v>1045</v>
      </c>
      <c r="Q66" s="372">
        <v>150000</v>
      </c>
      <c r="R66" s="372">
        <v>0</v>
      </c>
      <c r="S66" s="372">
        <v>149999</v>
      </c>
      <c r="T66" s="372">
        <v>1</v>
      </c>
      <c r="U66" s="372">
        <f t="shared" si="48"/>
        <v>150</v>
      </c>
      <c r="V66" s="505">
        <f t="shared" si="49"/>
        <v>0</v>
      </c>
      <c r="W66" s="505">
        <f t="shared" si="50"/>
        <v>149.999</v>
      </c>
      <c r="X66" s="505">
        <f t="shared" si="51"/>
        <v>1E-3</v>
      </c>
      <c r="AA66" s="371" t="s">
        <v>370</v>
      </c>
      <c r="AB66" s="372">
        <v>5818837</v>
      </c>
      <c r="AC66" s="505">
        <f t="shared" si="52"/>
        <v>5818.8370000000004</v>
      </c>
      <c r="AE66" s="373" t="s">
        <v>1045</v>
      </c>
      <c r="AF66" s="504">
        <v>150000</v>
      </c>
      <c r="AG66" s="504">
        <v>150000</v>
      </c>
      <c r="AH66" s="504">
        <v>150000</v>
      </c>
      <c r="AI66" s="504">
        <v>0</v>
      </c>
      <c r="AJ66" s="504">
        <f t="shared" si="53"/>
        <v>150</v>
      </c>
      <c r="AK66" s="504">
        <f t="shared" si="54"/>
        <v>150</v>
      </c>
      <c r="AL66" s="504">
        <f t="shared" si="55"/>
        <v>150</v>
      </c>
      <c r="AM66" s="504">
        <f t="shared" si="56"/>
        <v>0</v>
      </c>
      <c r="AP66" s="371" t="s">
        <v>382</v>
      </c>
      <c r="AQ66" s="372">
        <v>76000</v>
      </c>
      <c r="AR66" s="372">
        <f t="shared" si="18"/>
        <v>76</v>
      </c>
      <c r="AT66" s="371" t="s">
        <v>1045</v>
      </c>
      <c r="AU66" s="372">
        <v>150000</v>
      </c>
      <c r="AV66" s="372">
        <v>150000</v>
      </c>
      <c r="AW66" s="372">
        <v>150000</v>
      </c>
      <c r="AX66" s="372">
        <v>0</v>
      </c>
      <c r="AY66" s="504">
        <f t="shared" si="19"/>
        <v>150</v>
      </c>
      <c r="AZ66" s="504">
        <f t="shared" si="20"/>
        <v>150</v>
      </c>
      <c r="BA66" s="504">
        <f t="shared" si="21"/>
        <v>150</v>
      </c>
      <c r="BB66" s="504">
        <f t="shared" si="22"/>
        <v>0</v>
      </c>
      <c r="BD66" s="782" t="s">
        <v>562</v>
      </c>
      <c r="BE66" s="644">
        <v>8370921</v>
      </c>
      <c r="BF66" s="650">
        <f t="shared" si="23"/>
        <v>8370.9210000000003</v>
      </c>
      <c r="BH66" s="782" t="s">
        <v>1044</v>
      </c>
      <c r="BI66" s="644">
        <v>150000</v>
      </c>
      <c r="BJ66" s="644">
        <v>150000</v>
      </c>
      <c r="BK66" s="644">
        <v>150000</v>
      </c>
      <c r="BL66" s="644">
        <v>0</v>
      </c>
      <c r="BM66" s="548">
        <f t="shared" si="24"/>
        <v>150</v>
      </c>
      <c r="BN66" s="548">
        <f t="shared" si="25"/>
        <v>150</v>
      </c>
      <c r="BO66" s="548">
        <f t="shared" si="26"/>
        <v>150</v>
      </c>
      <c r="BP66" s="650">
        <f t="shared" si="27"/>
        <v>0</v>
      </c>
      <c r="BS66" s="373" t="s">
        <v>374</v>
      </c>
      <c r="BT66" s="597">
        <v>794345</v>
      </c>
      <c r="BU66" s="597">
        <f t="shared" si="28"/>
        <v>794.34500000000003</v>
      </c>
      <c r="BW66" s="597" t="s">
        <v>1044</v>
      </c>
      <c r="BX66" s="597">
        <v>150000</v>
      </c>
      <c r="BY66" s="597">
        <v>150000</v>
      </c>
      <c r="BZ66" s="597">
        <v>0</v>
      </c>
      <c r="CA66" s="597">
        <v>150000</v>
      </c>
      <c r="CB66" s="597">
        <f t="shared" si="29"/>
        <v>150</v>
      </c>
      <c r="CC66" s="597">
        <f t="shared" si="30"/>
        <v>150</v>
      </c>
      <c r="CD66" s="597">
        <f t="shared" si="31"/>
        <v>0</v>
      </c>
      <c r="CE66" s="597">
        <f t="shared" si="32"/>
        <v>150</v>
      </c>
      <c r="CG66" s="373" t="s">
        <v>566</v>
      </c>
      <c r="CH66" s="597">
        <v>10463555</v>
      </c>
      <c r="CI66" s="597">
        <f t="shared" si="33"/>
        <v>10463.555</v>
      </c>
      <c r="CK66" s="371" t="s">
        <v>1044</v>
      </c>
      <c r="CL66" s="372">
        <v>150000</v>
      </c>
      <c r="CM66" s="372">
        <v>150000</v>
      </c>
      <c r="CN66" s="372">
        <v>150000</v>
      </c>
      <c r="CO66" s="372">
        <v>0</v>
      </c>
      <c r="CP66" s="597">
        <f t="shared" si="34"/>
        <v>150</v>
      </c>
      <c r="CQ66" s="597">
        <f t="shared" si="35"/>
        <v>150</v>
      </c>
      <c r="CR66" s="597">
        <f t="shared" si="36"/>
        <v>150</v>
      </c>
      <c r="CS66" s="597">
        <f t="shared" si="37"/>
        <v>0</v>
      </c>
      <c r="CU66" s="548"/>
      <c r="CV66" s="371" t="s">
        <v>563</v>
      </c>
      <c r="CW66" s="372">
        <v>6265962</v>
      </c>
      <c r="CX66" s="372">
        <f t="shared" si="38"/>
        <v>6265.9620000000004</v>
      </c>
      <c r="CZ66" s="1059" t="s">
        <v>1044</v>
      </c>
      <c r="DA66" s="1060">
        <v>150000</v>
      </c>
      <c r="DB66" s="1060">
        <v>150000</v>
      </c>
      <c r="DC66" s="1060">
        <v>150000</v>
      </c>
      <c r="DD66" s="1060">
        <v>0</v>
      </c>
      <c r="DE66" s="1060">
        <f t="shared" si="39"/>
        <v>150</v>
      </c>
      <c r="DF66" s="1060">
        <f t="shared" si="40"/>
        <v>150</v>
      </c>
      <c r="DG66" s="1060">
        <f t="shared" si="41"/>
        <v>150</v>
      </c>
      <c r="DH66" s="1060">
        <f t="shared" si="42"/>
        <v>0</v>
      </c>
    </row>
    <row r="67" spans="1:112" x14ac:dyDescent="0.25">
      <c r="A67" s="504" t="s">
        <v>363</v>
      </c>
      <c r="B67" s="504">
        <v>5000000</v>
      </c>
      <c r="C67" s="504">
        <v>0</v>
      </c>
      <c r="D67" s="504">
        <v>0</v>
      </c>
      <c r="E67" s="504">
        <v>5000000</v>
      </c>
      <c r="F67" s="504">
        <f t="shared" ref="F67:F98" si="57">+B67/$H$1*$I$1</f>
        <v>5000</v>
      </c>
      <c r="G67" s="504">
        <f t="shared" ref="G67:G98" si="58">+C67/$H$1*$I$1</f>
        <v>0</v>
      </c>
      <c r="H67" s="504">
        <f t="shared" ref="H67:H98" si="59">+D67/$H$1*$I$1</f>
        <v>0</v>
      </c>
      <c r="I67" s="504">
        <f t="shared" ref="I67:I98" si="60">+E67/$H$1*$I$1</f>
        <v>5000</v>
      </c>
      <c r="L67" s="371" t="s">
        <v>468</v>
      </c>
      <c r="M67" s="372">
        <v>972055</v>
      </c>
      <c r="N67" s="372">
        <f t="shared" ref="N67:N92" si="61">+M67/$M$1*$N$1</f>
        <v>972.05499999999995</v>
      </c>
      <c r="P67" s="371" t="s">
        <v>362</v>
      </c>
      <c r="Q67" s="372">
        <v>23000000</v>
      </c>
      <c r="R67" s="372">
        <v>7179392</v>
      </c>
      <c r="S67" s="372">
        <v>7179392</v>
      </c>
      <c r="T67" s="372">
        <v>15820608</v>
      </c>
      <c r="U67" s="372">
        <f t="shared" ref="U67:U98" si="62">+Q67/$W$1*$X$1</f>
        <v>23000</v>
      </c>
      <c r="V67" s="505">
        <f t="shared" ref="V67:V98" si="63">+R67/$W$1*$X$1</f>
        <v>7179.3919999999998</v>
      </c>
      <c r="W67" s="505">
        <f t="shared" ref="W67:W98" si="64">+S67/$W$1*$X$1</f>
        <v>7179.3919999999998</v>
      </c>
      <c r="X67" s="505">
        <f t="shared" ref="X67:X98" si="65">+T67/$W$1*$X$1</f>
        <v>15820.608</v>
      </c>
      <c r="AA67" s="371" t="s">
        <v>371</v>
      </c>
      <c r="AB67" s="372">
        <v>1410700</v>
      </c>
      <c r="AC67" s="505">
        <f t="shared" ref="AC67:AC98" si="66">+AB67/$AB$1*$AC$1</f>
        <v>1410.7</v>
      </c>
      <c r="AE67" s="373" t="s">
        <v>362</v>
      </c>
      <c r="AF67" s="504">
        <v>23000000</v>
      </c>
      <c r="AG67" s="504">
        <v>7538361</v>
      </c>
      <c r="AH67" s="504">
        <v>7538361</v>
      </c>
      <c r="AI67" s="504">
        <v>15461639</v>
      </c>
      <c r="AJ67" s="504">
        <f t="shared" ref="AJ67:AJ98" si="67">+AF67/$AL$1*$AM$1</f>
        <v>23000</v>
      </c>
      <c r="AK67" s="504">
        <f t="shared" ref="AK67:AK98" si="68">+AG67/$AL$1*$AM$1</f>
        <v>7538.3609999999999</v>
      </c>
      <c r="AL67" s="504">
        <f t="shared" ref="AL67:AL98" si="69">+AH67/$AL$1*$AM$1</f>
        <v>7538.3609999999999</v>
      </c>
      <c r="AM67" s="504">
        <f t="shared" ref="AM67:AM98" si="70">+AI67/$AL$1*$AM$1</f>
        <v>15461.638999999999</v>
      </c>
      <c r="AP67" s="371" t="s">
        <v>383</v>
      </c>
      <c r="AQ67" s="372">
        <v>50895673</v>
      </c>
      <c r="AR67" s="372">
        <f t="shared" si="18"/>
        <v>50895.673000000003</v>
      </c>
      <c r="AT67" s="371" t="s">
        <v>362</v>
      </c>
      <c r="AU67" s="372">
        <v>23000000</v>
      </c>
      <c r="AV67" s="372">
        <v>16588783</v>
      </c>
      <c r="AW67" s="372">
        <v>18251745</v>
      </c>
      <c r="AX67" s="372">
        <v>4748255</v>
      </c>
      <c r="AY67" s="504">
        <f t="shared" si="19"/>
        <v>23000</v>
      </c>
      <c r="AZ67" s="504">
        <f t="shared" si="20"/>
        <v>16588.782999999999</v>
      </c>
      <c r="BA67" s="504">
        <f t="shared" si="21"/>
        <v>18251.744999999999</v>
      </c>
      <c r="BB67" s="504">
        <f t="shared" si="22"/>
        <v>4748.2550000000001</v>
      </c>
      <c r="BD67" s="782" t="s">
        <v>563</v>
      </c>
      <c r="BE67" s="644">
        <v>6332726</v>
      </c>
      <c r="BF67" s="650">
        <f t="shared" si="23"/>
        <v>6332.7259999999997</v>
      </c>
      <c r="BH67" s="782" t="s">
        <v>1045</v>
      </c>
      <c r="BI67" s="644">
        <v>150000</v>
      </c>
      <c r="BJ67" s="644">
        <v>150000</v>
      </c>
      <c r="BK67" s="644">
        <v>150000</v>
      </c>
      <c r="BL67" s="644">
        <v>0</v>
      </c>
      <c r="BM67" s="548">
        <f t="shared" si="24"/>
        <v>150</v>
      </c>
      <c r="BN67" s="548">
        <f t="shared" si="25"/>
        <v>150</v>
      </c>
      <c r="BO67" s="548">
        <f t="shared" si="26"/>
        <v>150</v>
      </c>
      <c r="BP67" s="650">
        <f t="shared" si="27"/>
        <v>0</v>
      </c>
      <c r="BS67" s="373" t="s">
        <v>375</v>
      </c>
      <c r="BT67" s="597">
        <v>5465146</v>
      </c>
      <c r="BU67" s="597">
        <f t="shared" si="28"/>
        <v>5465.1459999999997</v>
      </c>
      <c r="BW67" s="597" t="s">
        <v>1045</v>
      </c>
      <c r="BX67" s="597">
        <v>150000</v>
      </c>
      <c r="BY67" s="597">
        <v>150000</v>
      </c>
      <c r="BZ67" s="597">
        <v>0</v>
      </c>
      <c r="CA67" s="597">
        <v>150000</v>
      </c>
      <c r="CB67" s="597">
        <f t="shared" si="29"/>
        <v>150</v>
      </c>
      <c r="CC67" s="597">
        <f t="shared" si="30"/>
        <v>150</v>
      </c>
      <c r="CD67" s="597">
        <f t="shared" si="31"/>
        <v>0</v>
      </c>
      <c r="CE67" s="597">
        <f t="shared" si="32"/>
        <v>150</v>
      </c>
      <c r="CG67" s="373" t="s">
        <v>469</v>
      </c>
      <c r="CH67" s="597">
        <v>2388858</v>
      </c>
      <c r="CI67" s="597">
        <f t="shared" si="33"/>
        <v>2388.8580000000002</v>
      </c>
      <c r="CK67" s="371" t="s">
        <v>1045</v>
      </c>
      <c r="CL67" s="372">
        <v>150000</v>
      </c>
      <c r="CM67" s="372">
        <v>150000</v>
      </c>
      <c r="CN67" s="372">
        <v>150000</v>
      </c>
      <c r="CO67" s="372">
        <v>0</v>
      </c>
      <c r="CP67" s="597">
        <f t="shared" si="34"/>
        <v>150</v>
      </c>
      <c r="CQ67" s="597">
        <f t="shared" si="35"/>
        <v>150</v>
      </c>
      <c r="CR67" s="597">
        <f t="shared" si="36"/>
        <v>150</v>
      </c>
      <c r="CS67" s="597">
        <f t="shared" si="37"/>
        <v>0</v>
      </c>
      <c r="CU67" s="548"/>
      <c r="CV67" s="371" t="s">
        <v>385</v>
      </c>
      <c r="CW67" s="372">
        <v>84299397</v>
      </c>
      <c r="CX67" s="372">
        <f t="shared" si="38"/>
        <v>84299.396999999997</v>
      </c>
      <c r="CZ67" s="1059" t="s">
        <v>1045</v>
      </c>
      <c r="DA67" s="1060">
        <v>150000</v>
      </c>
      <c r="DB67" s="1060">
        <v>150000</v>
      </c>
      <c r="DC67" s="1060">
        <v>150000</v>
      </c>
      <c r="DD67" s="1060">
        <v>0</v>
      </c>
      <c r="DE67" s="1060">
        <f t="shared" si="39"/>
        <v>150</v>
      </c>
      <c r="DF67" s="1060">
        <f t="shared" si="40"/>
        <v>150</v>
      </c>
      <c r="DG67" s="1060">
        <f t="shared" si="41"/>
        <v>150</v>
      </c>
      <c r="DH67" s="1060">
        <f t="shared" si="42"/>
        <v>0</v>
      </c>
    </row>
    <row r="68" spans="1:112" x14ac:dyDescent="0.25">
      <c r="A68" s="504" t="s">
        <v>476</v>
      </c>
      <c r="B68" s="504">
        <v>0</v>
      </c>
      <c r="C68" s="504">
        <v>0</v>
      </c>
      <c r="D68" s="504">
        <v>0</v>
      </c>
      <c r="E68" s="504">
        <v>0</v>
      </c>
      <c r="F68" s="504">
        <f t="shared" si="57"/>
        <v>0</v>
      </c>
      <c r="G68" s="504">
        <f t="shared" si="58"/>
        <v>0</v>
      </c>
      <c r="H68" s="504">
        <f t="shared" si="59"/>
        <v>0</v>
      </c>
      <c r="I68" s="504">
        <f t="shared" si="60"/>
        <v>0</v>
      </c>
      <c r="L68" s="371" t="s">
        <v>562</v>
      </c>
      <c r="M68" s="372">
        <v>9602362</v>
      </c>
      <c r="N68" s="372">
        <f t="shared" si="61"/>
        <v>9602.3619999999992</v>
      </c>
      <c r="P68" s="371" t="s">
        <v>549</v>
      </c>
      <c r="Q68" s="372">
        <v>18000000</v>
      </c>
      <c r="R68" s="372">
        <v>5947568</v>
      </c>
      <c r="S68" s="372">
        <v>5947568</v>
      </c>
      <c r="T68" s="372">
        <v>12052432</v>
      </c>
      <c r="U68" s="372">
        <f t="shared" si="62"/>
        <v>18000</v>
      </c>
      <c r="V68" s="505">
        <f t="shared" si="63"/>
        <v>5947.5680000000002</v>
      </c>
      <c r="W68" s="505">
        <f t="shared" si="64"/>
        <v>5947.5680000000002</v>
      </c>
      <c r="X68" s="505">
        <f t="shared" si="65"/>
        <v>12052.432000000001</v>
      </c>
      <c r="AA68" s="371" t="s">
        <v>372</v>
      </c>
      <c r="AB68" s="372">
        <v>797562</v>
      </c>
      <c r="AC68" s="505">
        <f t="shared" si="66"/>
        <v>797.56200000000001</v>
      </c>
      <c r="AE68" s="373" t="s">
        <v>549</v>
      </c>
      <c r="AF68" s="504">
        <v>18000000</v>
      </c>
      <c r="AG68" s="504">
        <v>6244946</v>
      </c>
      <c r="AH68" s="504">
        <v>6244946</v>
      </c>
      <c r="AI68" s="504">
        <v>11755054</v>
      </c>
      <c r="AJ68" s="504">
        <f t="shared" si="67"/>
        <v>18000</v>
      </c>
      <c r="AK68" s="504">
        <f t="shared" si="68"/>
        <v>6244.9459999999999</v>
      </c>
      <c r="AL68" s="504">
        <f t="shared" si="69"/>
        <v>6244.9459999999999</v>
      </c>
      <c r="AM68" s="504">
        <f t="shared" si="70"/>
        <v>11755.054</v>
      </c>
      <c r="AP68" s="371" t="s">
        <v>384</v>
      </c>
      <c r="AQ68" s="372">
        <v>10307261</v>
      </c>
      <c r="AR68" s="372">
        <f t="shared" ref="AR68:AR94" si="71">+AQ68/$AQ$1*$AR$1</f>
        <v>10307.261</v>
      </c>
      <c r="AT68" s="371" t="s">
        <v>549</v>
      </c>
      <c r="AU68" s="372">
        <v>18000000</v>
      </c>
      <c r="AV68" s="372">
        <v>15295368</v>
      </c>
      <c r="AW68" s="372">
        <v>15295368</v>
      </c>
      <c r="AX68" s="372">
        <v>2704632</v>
      </c>
      <c r="AY68" s="504">
        <f t="shared" ref="AY68:AY131" si="72">+AU68/$AZ$1*$BA$1</f>
        <v>18000</v>
      </c>
      <c r="AZ68" s="504">
        <f t="shared" ref="AZ68:AZ131" si="73">+AV68/$AZ$1*$BA$1</f>
        <v>15295.368</v>
      </c>
      <c r="BA68" s="504">
        <f t="shared" ref="BA68:BA131" si="74">+AW68/$AZ$1*$BA$1</f>
        <v>15295.368</v>
      </c>
      <c r="BB68" s="504">
        <f t="shared" ref="BB68:BB131" si="75">+AX68/$AZ$1*$BA$1</f>
        <v>2704.6320000000001</v>
      </c>
      <c r="BD68" s="782" t="s">
        <v>385</v>
      </c>
      <c r="BE68" s="644">
        <v>4261390</v>
      </c>
      <c r="BF68" s="650">
        <f t="shared" ref="BF68:BF83" si="76">BE68/$BE$1*$BF$1</f>
        <v>4261.3900000000003</v>
      </c>
      <c r="BH68" s="782" t="s">
        <v>362</v>
      </c>
      <c r="BI68" s="644">
        <v>23000000</v>
      </c>
      <c r="BJ68" s="644">
        <v>18251745</v>
      </c>
      <c r="BK68" s="644">
        <v>18251745</v>
      </c>
      <c r="BL68" s="644">
        <v>4748255</v>
      </c>
      <c r="BM68" s="548">
        <f t="shared" ref="BM68:BM131" si="77">BI68/$BN$1*$BO$1</f>
        <v>23000</v>
      </c>
      <c r="BN68" s="548">
        <f t="shared" ref="BN68:BN131" si="78">BJ68/$BN$1*$BO$1</f>
        <v>18251.744999999999</v>
      </c>
      <c r="BO68" s="548">
        <f t="shared" ref="BO68:BO131" si="79">BK68/$BN$1*$BO$1</f>
        <v>18251.744999999999</v>
      </c>
      <c r="BP68" s="650">
        <f t="shared" ref="BP68:BP131" si="80">BL68/$BN$1*$BO$1</f>
        <v>4748.2550000000001</v>
      </c>
      <c r="BS68" s="373" t="s">
        <v>556</v>
      </c>
      <c r="BT68" s="597">
        <v>1505350</v>
      </c>
      <c r="BU68" s="597">
        <f t="shared" ref="BU68:BU101" si="81">+BT68/$BT$1*$BU$1</f>
        <v>1505.35</v>
      </c>
      <c r="BW68" s="597" t="s">
        <v>362</v>
      </c>
      <c r="BX68" s="597">
        <v>23000000</v>
      </c>
      <c r="BY68" s="597">
        <v>18251745</v>
      </c>
      <c r="BZ68" s="597">
        <v>4748255</v>
      </c>
      <c r="CA68" s="597">
        <v>18251745</v>
      </c>
      <c r="CB68" s="597">
        <f t="shared" ref="CB68:CB131" si="82">+BX68/$CD$1*$CE$1</f>
        <v>23000</v>
      </c>
      <c r="CC68" s="597">
        <f t="shared" ref="CC68:CC131" si="83">+BY68/$CD$1*$CE$1</f>
        <v>18251.744999999999</v>
      </c>
      <c r="CD68" s="597">
        <f t="shared" ref="CD68:CD131" si="84">+BZ68/$CD$1*$CE$1</f>
        <v>4748.2550000000001</v>
      </c>
      <c r="CE68" s="597">
        <f t="shared" ref="CE68:CE131" si="85">+CA68/$CD$1*$CE$1</f>
        <v>18251.744999999999</v>
      </c>
      <c r="CG68" s="373" t="s">
        <v>567</v>
      </c>
      <c r="CH68" s="597">
        <v>2899836</v>
      </c>
      <c r="CI68" s="597">
        <f t="shared" ref="CI68:CI89" si="86">+CH68/$CH$1*$CI$1</f>
        <v>2899.8359999999998</v>
      </c>
      <c r="CK68" s="371" t="s">
        <v>362</v>
      </c>
      <c r="CL68" s="372">
        <v>23000000</v>
      </c>
      <c r="CM68" s="372">
        <v>18251745</v>
      </c>
      <c r="CN68" s="372">
        <v>18251745</v>
      </c>
      <c r="CO68" s="372">
        <v>4748255</v>
      </c>
      <c r="CP68" s="597">
        <f t="shared" ref="CP68:CP131" si="87">+CL68/$CR$1*$CS$1</f>
        <v>23000</v>
      </c>
      <c r="CQ68" s="597">
        <f t="shared" ref="CQ68:CQ131" si="88">+CM68/$CR$1*$CS$1</f>
        <v>18251.744999999999</v>
      </c>
      <c r="CR68" s="597">
        <f t="shared" ref="CR68:CR131" si="89">+CN68/$CR$1*$CS$1</f>
        <v>18251.744999999999</v>
      </c>
      <c r="CS68" s="597">
        <f t="shared" ref="CS68:CS131" si="90">+CO68/$CR$1*$CS$1</f>
        <v>4748.2550000000001</v>
      </c>
      <c r="CU68" s="548"/>
      <c r="CV68" s="371" t="s">
        <v>386</v>
      </c>
      <c r="CW68" s="372">
        <v>45869264</v>
      </c>
      <c r="CX68" s="372">
        <f t="shared" ref="CX68:CX99" si="91">+CW68/$CW$1*$CX$1</f>
        <v>45869.264000000003</v>
      </c>
      <c r="CZ68" s="1059" t="s">
        <v>362</v>
      </c>
      <c r="DA68" s="1060">
        <v>23000000</v>
      </c>
      <c r="DB68" s="1060">
        <v>18251745</v>
      </c>
      <c r="DC68" s="1060">
        <v>18251745</v>
      </c>
      <c r="DD68" s="1060">
        <v>4748255</v>
      </c>
      <c r="DE68" s="1060">
        <f t="shared" ref="DE68:DE131" si="92">+DA68/$DG$1*$DH$1</f>
        <v>23000</v>
      </c>
      <c r="DF68" s="1060">
        <f t="shared" ref="DF68:DF131" si="93">+DB68/$DG$1*$DH$1</f>
        <v>18251.744999999999</v>
      </c>
      <c r="DG68" s="1060">
        <f t="shared" ref="DG68:DG131" si="94">+DC68/$DG$1*$DH$1</f>
        <v>18251.744999999999</v>
      </c>
      <c r="DH68" s="1060">
        <f t="shared" ref="DH68:DH131" si="95">+DD68/$DG$1*$DH$1</f>
        <v>4748.2550000000001</v>
      </c>
    </row>
    <row r="69" spans="1:112" x14ac:dyDescent="0.25">
      <c r="A69" s="504" t="s">
        <v>477</v>
      </c>
      <c r="B69" s="504">
        <v>0</v>
      </c>
      <c r="C69" s="504">
        <v>0</v>
      </c>
      <c r="D69" s="504">
        <v>0</v>
      </c>
      <c r="E69" s="504">
        <v>0</v>
      </c>
      <c r="F69" s="504">
        <f t="shared" si="57"/>
        <v>0</v>
      </c>
      <c r="G69" s="504">
        <f t="shared" si="58"/>
        <v>0</v>
      </c>
      <c r="H69" s="504">
        <f t="shared" si="59"/>
        <v>0</v>
      </c>
      <c r="I69" s="504">
        <f t="shared" si="60"/>
        <v>0</v>
      </c>
      <c r="L69" s="371" t="s">
        <v>563</v>
      </c>
      <c r="M69" s="372">
        <v>4512180</v>
      </c>
      <c r="N69" s="372">
        <f t="shared" si="61"/>
        <v>4512.18</v>
      </c>
      <c r="P69" s="371" t="s">
        <v>363</v>
      </c>
      <c r="Q69" s="372">
        <v>5000000</v>
      </c>
      <c r="R69" s="372">
        <v>1231824</v>
      </c>
      <c r="S69" s="372">
        <v>1231824</v>
      </c>
      <c r="T69" s="372">
        <v>3768176</v>
      </c>
      <c r="U69" s="372">
        <f t="shared" si="62"/>
        <v>5000</v>
      </c>
      <c r="V69" s="505">
        <f t="shared" si="63"/>
        <v>1231.8240000000001</v>
      </c>
      <c r="W69" s="505">
        <f t="shared" si="64"/>
        <v>1231.8240000000001</v>
      </c>
      <c r="X69" s="505">
        <f t="shared" si="65"/>
        <v>3768.1759999999999</v>
      </c>
      <c r="AA69" s="371" t="s">
        <v>373</v>
      </c>
      <c r="AB69" s="372">
        <v>85200</v>
      </c>
      <c r="AC69" s="505">
        <f t="shared" si="66"/>
        <v>85.2</v>
      </c>
      <c r="AE69" s="373" t="s">
        <v>363</v>
      </c>
      <c r="AF69" s="504">
        <v>5000000</v>
      </c>
      <c r="AG69" s="504">
        <v>1293415</v>
      </c>
      <c r="AH69" s="504">
        <v>1293415</v>
      </c>
      <c r="AI69" s="504">
        <v>3706585</v>
      </c>
      <c r="AJ69" s="504">
        <f t="shared" si="67"/>
        <v>5000</v>
      </c>
      <c r="AK69" s="504">
        <f t="shared" si="68"/>
        <v>1293.415</v>
      </c>
      <c r="AL69" s="504">
        <f t="shared" si="69"/>
        <v>1293.415</v>
      </c>
      <c r="AM69" s="504">
        <f t="shared" si="70"/>
        <v>3706.585</v>
      </c>
      <c r="AP69" s="371" t="s">
        <v>468</v>
      </c>
      <c r="AQ69" s="372">
        <v>972055</v>
      </c>
      <c r="AR69" s="372">
        <f t="shared" si="71"/>
        <v>972.05499999999995</v>
      </c>
      <c r="AT69" s="371" t="s">
        <v>363</v>
      </c>
      <c r="AU69" s="372">
        <v>5000000</v>
      </c>
      <c r="AV69" s="372">
        <v>1293415</v>
      </c>
      <c r="AW69" s="372">
        <v>2956377</v>
      </c>
      <c r="AX69" s="372">
        <v>2043623</v>
      </c>
      <c r="AY69" s="504">
        <f t="shared" si="72"/>
        <v>5000</v>
      </c>
      <c r="AZ69" s="504">
        <f t="shared" si="73"/>
        <v>1293.415</v>
      </c>
      <c r="BA69" s="504">
        <f t="shared" si="74"/>
        <v>2956.377</v>
      </c>
      <c r="BB69" s="504">
        <f t="shared" si="75"/>
        <v>2043.623</v>
      </c>
      <c r="BD69" s="782" t="s">
        <v>386</v>
      </c>
      <c r="BE69" s="644">
        <v>53880138</v>
      </c>
      <c r="BF69" s="650">
        <f t="shared" si="76"/>
        <v>53880.137999999999</v>
      </c>
      <c r="BH69" s="782" t="s">
        <v>549</v>
      </c>
      <c r="BI69" s="644">
        <v>18000000</v>
      </c>
      <c r="BJ69" s="644">
        <v>15295368</v>
      </c>
      <c r="BK69" s="644">
        <v>15295368</v>
      </c>
      <c r="BL69" s="644">
        <v>2704632</v>
      </c>
      <c r="BM69" s="548">
        <f t="shared" si="77"/>
        <v>18000</v>
      </c>
      <c r="BN69" s="548">
        <f t="shared" si="78"/>
        <v>15295.368</v>
      </c>
      <c r="BO69" s="548">
        <f t="shared" si="79"/>
        <v>15295.368</v>
      </c>
      <c r="BP69" s="650">
        <f t="shared" si="80"/>
        <v>2704.6320000000001</v>
      </c>
      <c r="BS69" s="373" t="s">
        <v>378</v>
      </c>
      <c r="BT69" s="597">
        <v>4028778</v>
      </c>
      <c r="BU69" s="597">
        <f t="shared" si="81"/>
        <v>4028.7779999999998</v>
      </c>
      <c r="BW69" s="597" t="s">
        <v>549</v>
      </c>
      <c r="BX69" s="597">
        <v>18000000</v>
      </c>
      <c r="BY69" s="597">
        <v>15295368</v>
      </c>
      <c r="BZ69" s="597">
        <v>2704632</v>
      </c>
      <c r="CA69" s="597">
        <v>15295368</v>
      </c>
      <c r="CB69" s="597">
        <f t="shared" si="82"/>
        <v>18000</v>
      </c>
      <c r="CC69" s="597">
        <f t="shared" si="83"/>
        <v>15295.368</v>
      </c>
      <c r="CD69" s="597">
        <f t="shared" si="84"/>
        <v>2704.6320000000001</v>
      </c>
      <c r="CE69" s="597">
        <f t="shared" si="85"/>
        <v>15295.368</v>
      </c>
      <c r="CG69" s="373" t="s">
        <v>388</v>
      </c>
      <c r="CH69" s="597">
        <v>2899836</v>
      </c>
      <c r="CI69" s="597">
        <f t="shared" si="86"/>
        <v>2899.8359999999998</v>
      </c>
      <c r="CK69" s="371" t="s">
        <v>549</v>
      </c>
      <c r="CL69" s="372">
        <v>18000000</v>
      </c>
      <c r="CM69" s="372">
        <v>15295368</v>
      </c>
      <c r="CN69" s="372">
        <v>15295368</v>
      </c>
      <c r="CO69" s="372">
        <v>2704632</v>
      </c>
      <c r="CP69" s="597">
        <f t="shared" si="87"/>
        <v>18000</v>
      </c>
      <c r="CQ69" s="597">
        <f t="shared" si="88"/>
        <v>15295.368</v>
      </c>
      <c r="CR69" s="597">
        <f t="shared" si="89"/>
        <v>15295.368</v>
      </c>
      <c r="CS69" s="597">
        <f t="shared" si="90"/>
        <v>2704.6320000000001</v>
      </c>
      <c r="CU69" s="548"/>
      <c r="CV69" s="371" t="s">
        <v>387</v>
      </c>
      <c r="CW69" s="372">
        <v>31166323</v>
      </c>
      <c r="CX69" s="372">
        <f t="shared" si="91"/>
        <v>31166.323</v>
      </c>
      <c r="CZ69" s="1059" t="s">
        <v>549</v>
      </c>
      <c r="DA69" s="1060">
        <v>18000000</v>
      </c>
      <c r="DB69" s="1060">
        <v>15295368</v>
      </c>
      <c r="DC69" s="1060">
        <v>15295368</v>
      </c>
      <c r="DD69" s="1060">
        <v>2704632</v>
      </c>
      <c r="DE69" s="1060">
        <f t="shared" si="92"/>
        <v>18000</v>
      </c>
      <c r="DF69" s="1060">
        <f t="shared" si="93"/>
        <v>15295.368</v>
      </c>
      <c r="DG69" s="1060">
        <f t="shared" si="94"/>
        <v>15295.368</v>
      </c>
      <c r="DH69" s="1060">
        <f t="shared" si="95"/>
        <v>2704.6320000000001</v>
      </c>
    </row>
    <row r="70" spans="1:112" x14ac:dyDescent="0.25">
      <c r="A70" s="504" t="s">
        <v>364</v>
      </c>
      <c r="B70" s="504">
        <v>35764204</v>
      </c>
      <c r="C70" s="504">
        <v>921992</v>
      </c>
      <c r="D70" s="504">
        <v>13332163</v>
      </c>
      <c r="E70" s="504">
        <v>22432041</v>
      </c>
      <c r="F70" s="504">
        <f t="shared" si="57"/>
        <v>35764.203999999998</v>
      </c>
      <c r="G70" s="504">
        <f t="shared" si="58"/>
        <v>921.99199999999996</v>
      </c>
      <c r="H70" s="504">
        <f t="shared" si="59"/>
        <v>13332.163</v>
      </c>
      <c r="I70" s="504">
        <f t="shared" si="60"/>
        <v>22432.041000000001</v>
      </c>
      <c r="L70" s="371" t="s">
        <v>564</v>
      </c>
      <c r="M70" s="372">
        <v>149881</v>
      </c>
      <c r="N70" s="372">
        <f t="shared" si="61"/>
        <v>149.881</v>
      </c>
      <c r="P70" s="371" t="s">
        <v>476</v>
      </c>
      <c r="Q70" s="372">
        <v>0</v>
      </c>
      <c r="R70" s="372">
        <v>0</v>
      </c>
      <c r="S70" s="372">
        <v>0</v>
      </c>
      <c r="T70" s="372">
        <v>0</v>
      </c>
      <c r="U70" s="372">
        <f t="shared" si="62"/>
        <v>0</v>
      </c>
      <c r="V70" s="505">
        <f t="shared" si="63"/>
        <v>0</v>
      </c>
      <c r="W70" s="505">
        <f t="shared" si="64"/>
        <v>0</v>
      </c>
      <c r="X70" s="505">
        <f t="shared" si="65"/>
        <v>0</v>
      </c>
      <c r="AA70" s="371" t="s">
        <v>374</v>
      </c>
      <c r="AB70" s="372">
        <v>3525375</v>
      </c>
      <c r="AC70" s="505">
        <f t="shared" si="66"/>
        <v>3525.375</v>
      </c>
      <c r="AE70" s="373" t="s">
        <v>476</v>
      </c>
      <c r="AF70" s="504">
        <v>0</v>
      </c>
      <c r="AG70" s="504">
        <v>0</v>
      </c>
      <c r="AH70" s="504">
        <v>0</v>
      </c>
      <c r="AI70" s="504">
        <v>0</v>
      </c>
      <c r="AJ70" s="504">
        <f t="shared" si="67"/>
        <v>0</v>
      </c>
      <c r="AK70" s="504">
        <f t="shared" si="68"/>
        <v>0</v>
      </c>
      <c r="AL70" s="504">
        <f t="shared" si="69"/>
        <v>0</v>
      </c>
      <c r="AM70" s="504">
        <f t="shared" si="70"/>
        <v>0</v>
      </c>
      <c r="AP70" s="371" t="s">
        <v>562</v>
      </c>
      <c r="AQ70" s="372">
        <v>19741949</v>
      </c>
      <c r="AR70" s="372">
        <f t="shared" si="71"/>
        <v>19741.949000000001</v>
      </c>
      <c r="AT70" s="371" t="s">
        <v>476</v>
      </c>
      <c r="AU70" s="372">
        <v>0</v>
      </c>
      <c r="AV70" s="372">
        <v>0</v>
      </c>
      <c r="AW70" s="372">
        <v>0</v>
      </c>
      <c r="AX70" s="372">
        <v>0</v>
      </c>
      <c r="AY70" s="504">
        <f t="shared" si="72"/>
        <v>0</v>
      </c>
      <c r="AZ70" s="504">
        <f t="shared" si="73"/>
        <v>0</v>
      </c>
      <c r="BA70" s="504">
        <f t="shared" si="74"/>
        <v>0</v>
      </c>
      <c r="BB70" s="504">
        <f t="shared" si="75"/>
        <v>0</v>
      </c>
      <c r="BD70" s="782" t="s">
        <v>387</v>
      </c>
      <c r="BE70" s="644">
        <v>41226091</v>
      </c>
      <c r="BF70" s="650">
        <f t="shared" si="76"/>
        <v>41226.091</v>
      </c>
      <c r="BH70" s="782" t="s">
        <v>363</v>
      </c>
      <c r="BI70" s="644">
        <v>5000000</v>
      </c>
      <c r="BJ70" s="644">
        <v>2956377</v>
      </c>
      <c r="BK70" s="644">
        <v>2956377</v>
      </c>
      <c r="BL70" s="644">
        <v>2043623</v>
      </c>
      <c r="BM70" s="548">
        <f t="shared" si="77"/>
        <v>5000</v>
      </c>
      <c r="BN70" s="548">
        <f t="shared" si="78"/>
        <v>2956.377</v>
      </c>
      <c r="BO70" s="548">
        <f t="shared" si="79"/>
        <v>2956.377</v>
      </c>
      <c r="BP70" s="650">
        <f t="shared" si="80"/>
        <v>2043.623</v>
      </c>
      <c r="BS70" s="373" t="s">
        <v>557</v>
      </c>
      <c r="BT70" s="597">
        <v>487900</v>
      </c>
      <c r="BU70" s="597">
        <f t="shared" si="81"/>
        <v>487.9</v>
      </c>
      <c r="BW70" s="597" t="s">
        <v>363</v>
      </c>
      <c r="BX70" s="597">
        <v>5000000</v>
      </c>
      <c r="BY70" s="597">
        <v>2956377</v>
      </c>
      <c r="BZ70" s="597">
        <v>2043623</v>
      </c>
      <c r="CA70" s="597">
        <v>2956377</v>
      </c>
      <c r="CB70" s="597">
        <f t="shared" si="82"/>
        <v>5000</v>
      </c>
      <c r="CC70" s="597">
        <f t="shared" si="83"/>
        <v>2956.377</v>
      </c>
      <c r="CD70" s="597">
        <f t="shared" si="84"/>
        <v>2043.623</v>
      </c>
      <c r="CE70" s="597">
        <f t="shared" si="85"/>
        <v>2956.377</v>
      </c>
      <c r="CG70" s="373" t="s">
        <v>568</v>
      </c>
      <c r="CH70" s="597">
        <v>35078132</v>
      </c>
      <c r="CI70" s="597">
        <f t="shared" si="86"/>
        <v>35078.131999999998</v>
      </c>
      <c r="CK70" s="371" t="s">
        <v>363</v>
      </c>
      <c r="CL70" s="372">
        <v>5000000</v>
      </c>
      <c r="CM70" s="372">
        <v>2956377</v>
      </c>
      <c r="CN70" s="372">
        <v>2956377</v>
      </c>
      <c r="CO70" s="372">
        <v>2043623</v>
      </c>
      <c r="CP70" s="597">
        <f t="shared" si="87"/>
        <v>5000</v>
      </c>
      <c r="CQ70" s="597">
        <f t="shared" si="88"/>
        <v>2956.377</v>
      </c>
      <c r="CR70" s="597">
        <f t="shared" si="89"/>
        <v>2956.377</v>
      </c>
      <c r="CS70" s="597">
        <f t="shared" si="90"/>
        <v>2043.623</v>
      </c>
      <c r="CU70" s="548"/>
      <c r="CV70" s="371" t="s">
        <v>565</v>
      </c>
      <c r="CW70" s="372">
        <v>1882775</v>
      </c>
      <c r="CX70" s="372">
        <f t="shared" si="91"/>
        <v>1882.7750000000001</v>
      </c>
      <c r="CZ70" s="1059" t="s">
        <v>363</v>
      </c>
      <c r="DA70" s="1060">
        <v>5000000</v>
      </c>
      <c r="DB70" s="1060">
        <v>2956377</v>
      </c>
      <c r="DC70" s="1060">
        <v>2956377</v>
      </c>
      <c r="DD70" s="1060">
        <v>2043623</v>
      </c>
      <c r="DE70" s="1060">
        <f t="shared" si="92"/>
        <v>5000</v>
      </c>
      <c r="DF70" s="1060">
        <f t="shared" si="93"/>
        <v>2956.377</v>
      </c>
      <c r="DG70" s="1060">
        <f t="shared" si="94"/>
        <v>2956.377</v>
      </c>
      <c r="DH70" s="1060">
        <f t="shared" si="95"/>
        <v>2043.623</v>
      </c>
    </row>
    <row r="71" spans="1:112" x14ac:dyDescent="0.25">
      <c r="A71" s="504" t="s">
        <v>365</v>
      </c>
      <c r="B71" s="504">
        <v>10321700</v>
      </c>
      <c r="C71" s="504">
        <v>70001</v>
      </c>
      <c r="D71" s="504">
        <v>3342478</v>
      </c>
      <c r="E71" s="504">
        <v>6979222</v>
      </c>
      <c r="F71" s="504">
        <f t="shared" si="57"/>
        <v>10321.700000000001</v>
      </c>
      <c r="G71" s="504">
        <f t="shared" si="58"/>
        <v>70.001000000000005</v>
      </c>
      <c r="H71" s="504">
        <f t="shared" si="59"/>
        <v>3342.4780000000001</v>
      </c>
      <c r="I71" s="504">
        <f t="shared" si="60"/>
        <v>6979.2219999999998</v>
      </c>
      <c r="L71" s="371" t="s">
        <v>385</v>
      </c>
      <c r="M71" s="372">
        <v>6088457</v>
      </c>
      <c r="N71" s="372">
        <f t="shared" si="61"/>
        <v>6088.4570000000003</v>
      </c>
      <c r="P71" s="371" t="s">
        <v>477</v>
      </c>
      <c r="Q71" s="372">
        <v>0</v>
      </c>
      <c r="R71" s="372">
        <v>0</v>
      </c>
      <c r="S71" s="372">
        <v>0</v>
      </c>
      <c r="T71" s="372">
        <v>0</v>
      </c>
      <c r="U71" s="372">
        <f t="shared" si="62"/>
        <v>0</v>
      </c>
      <c r="V71" s="505">
        <f t="shared" si="63"/>
        <v>0</v>
      </c>
      <c r="W71" s="505">
        <f t="shared" si="64"/>
        <v>0</v>
      </c>
      <c r="X71" s="505">
        <f t="shared" si="65"/>
        <v>0</v>
      </c>
      <c r="AA71" s="371" t="s">
        <v>378</v>
      </c>
      <c r="AB71" s="372">
        <v>18861074</v>
      </c>
      <c r="AC71" s="505">
        <f t="shared" si="66"/>
        <v>18861.074000000001</v>
      </c>
      <c r="AE71" s="373" t="s">
        <v>477</v>
      </c>
      <c r="AF71" s="504">
        <v>0</v>
      </c>
      <c r="AG71" s="504">
        <v>0</v>
      </c>
      <c r="AH71" s="504">
        <v>0</v>
      </c>
      <c r="AI71" s="504">
        <v>0</v>
      </c>
      <c r="AJ71" s="504">
        <f t="shared" si="67"/>
        <v>0</v>
      </c>
      <c r="AK71" s="504">
        <f t="shared" si="68"/>
        <v>0</v>
      </c>
      <c r="AL71" s="504">
        <f t="shared" si="69"/>
        <v>0</v>
      </c>
      <c r="AM71" s="504">
        <f t="shared" si="70"/>
        <v>0</v>
      </c>
      <c r="AP71" s="371" t="s">
        <v>563</v>
      </c>
      <c r="AQ71" s="372">
        <v>7444804</v>
      </c>
      <c r="AR71" s="372">
        <f t="shared" si="71"/>
        <v>7444.8040000000001</v>
      </c>
      <c r="AT71" s="371" t="s">
        <v>477</v>
      </c>
      <c r="AU71" s="372">
        <v>0</v>
      </c>
      <c r="AV71" s="372">
        <v>0</v>
      </c>
      <c r="AW71" s="372">
        <v>0</v>
      </c>
      <c r="AX71" s="372">
        <v>0</v>
      </c>
      <c r="AY71" s="504">
        <f t="shared" si="72"/>
        <v>0</v>
      </c>
      <c r="AZ71" s="504">
        <f t="shared" si="73"/>
        <v>0</v>
      </c>
      <c r="BA71" s="504">
        <f t="shared" si="74"/>
        <v>0</v>
      </c>
      <c r="BB71" s="504">
        <f t="shared" si="75"/>
        <v>0</v>
      </c>
      <c r="BD71" s="782" t="s">
        <v>566</v>
      </c>
      <c r="BE71" s="644">
        <v>10265189</v>
      </c>
      <c r="BF71" s="650">
        <f t="shared" si="76"/>
        <v>10265.189</v>
      </c>
      <c r="BH71" s="782" t="s">
        <v>364</v>
      </c>
      <c r="BI71" s="644">
        <v>36964075</v>
      </c>
      <c r="BJ71" s="644">
        <v>28771030</v>
      </c>
      <c r="BK71" s="644">
        <v>32468037</v>
      </c>
      <c r="BL71" s="644">
        <v>4496038</v>
      </c>
      <c r="BM71" s="548">
        <f t="shared" si="77"/>
        <v>36964.074999999997</v>
      </c>
      <c r="BN71" s="548">
        <f t="shared" si="78"/>
        <v>28771.03</v>
      </c>
      <c r="BO71" s="548">
        <f t="shared" si="79"/>
        <v>32468.037</v>
      </c>
      <c r="BP71" s="650">
        <f t="shared" si="80"/>
        <v>4496.0379999999996</v>
      </c>
      <c r="BS71" s="373" t="s">
        <v>558</v>
      </c>
      <c r="BT71" s="597">
        <v>1627110</v>
      </c>
      <c r="BU71" s="597">
        <f t="shared" si="81"/>
        <v>1627.11</v>
      </c>
      <c r="BW71" s="597" t="s">
        <v>476</v>
      </c>
      <c r="BX71" s="597">
        <v>0</v>
      </c>
      <c r="BY71" s="597">
        <v>0</v>
      </c>
      <c r="BZ71" s="597">
        <v>0</v>
      </c>
      <c r="CA71" s="597">
        <v>0</v>
      </c>
      <c r="CB71" s="597">
        <f t="shared" si="82"/>
        <v>0</v>
      </c>
      <c r="CC71" s="597">
        <f t="shared" si="83"/>
        <v>0</v>
      </c>
      <c r="CD71" s="597">
        <f t="shared" si="84"/>
        <v>0</v>
      </c>
      <c r="CE71" s="597">
        <f t="shared" si="85"/>
        <v>0</v>
      </c>
      <c r="CG71" s="373" t="s">
        <v>389</v>
      </c>
      <c r="CH71" s="597">
        <v>11700000</v>
      </c>
      <c r="CI71" s="597">
        <f t="shared" si="86"/>
        <v>11700</v>
      </c>
      <c r="CK71" s="371" t="s">
        <v>476</v>
      </c>
      <c r="CL71" s="372">
        <v>0</v>
      </c>
      <c r="CM71" s="372">
        <v>0</v>
      </c>
      <c r="CN71" s="372">
        <v>0</v>
      </c>
      <c r="CO71" s="372">
        <v>0</v>
      </c>
      <c r="CP71" s="597">
        <f t="shared" si="87"/>
        <v>0</v>
      </c>
      <c r="CQ71" s="597">
        <f t="shared" si="88"/>
        <v>0</v>
      </c>
      <c r="CR71" s="597">
        <f t="shared" si="89"/>
        <v>0</v>
      </c>
      <c r="CS71" s="597">
        <f t="shared" si="90"/>
        <v>0</v>
      </c>
      <c r="CU71" s="548"/>
      <c r="CV71" s="371" t="s">
        <v>566</v>
      </c>
      <c r="CW71" s="372">
        <v>10431308</v>
      </c>
      <c r="CX71" s="372">
        <f t="shared" si="91"/>
        <v>10431.308000000001</v>
      </c>
      <c r="CZ71" s="1059" t="s">
        <v>476</v>
      </c>
      <c r="DA71" s="1060">
        <v>30000000</v>
      </c>
      <c r="DB71" s="1060">
        <v>0</v>
      </c>
      <c r="DC71" s="1060">
        <v>30000000</v>
      </c>
      <c r="DD71" s="1060">
        <v>0</v>
      </c>
      <c r="DE71" s="1060">
        <f t="shared" si="92"/>
        <v>30000</v>
      </c>
      <c r="DF71" s="1060">
        <f t="shared" si="93"/>
        <v>0</v>
      </c>
      <c r="DG71" s="1060">
        <f t="shared" si="94"/>
        <v>30000</v>
      </c>
      <c r="DH71" s="1060">
        <f t="shared" si="95"/>
        <v>0</v>
      </c>
    </row>
    <row r="72" spans="1:112" x14ac:dyDescent="0.25">
      <c r="A72" s="504" t="s">
        <v>982</v>
      </c>
      <c r="B72" s="504">
        <v>427211</v>
      </c>
      <c r="C72" s="504">
        <v>427211</v>
      </c>
      <c r="D72" s="504">
        <v>427211</v>
      </c>
      <c r="E72" s="504">
        <v>0</v>
      </c>
      <c r="F72" s="504">
        <f t="shared" si="57"/>
        <v>427.21100000000001</v>
      </c>
      <c r="G72" s="504">
        <f t="shared" si="58"/>
        <v>427.21100000000001</v>
      </c>
      <c r="H72" s="504">
        <f t="shared" si="59"/>
        <v>427.21100000000001</v>
      </c>
      <c r="I72" s="504">
        <f t="shared" si="60"/>
        <v>0</v>
      </c>
      <c r="L72" s="371" t="s">
        <v>386</v>
      </c>
      <c r="M72" s="372">
        <v>52687199</v>
      </c>
      <c r="N72" s="372">
        <f t="shared" si="61"/>
        <v>52687.199000000001</v>
      </c>
      <c r="P72" s="371" t="s">
        <v>364</v>
      </c>
      <c r="Q72" s="372">
        <v>31627816</v>
      </c>
      <c r="R72" s="372">
        <v>11880424</v>
      </c>
      <c r="S72" s="372">
        <v>15818495</v>
      </c>
      <c r="T72" s="372">
        <v>15809321</v>
      </c>
      <c r="U72" s="372">
        <f t="shared" si="62"/>
        <v>31627.815999999999</v>
      </c>
      <c r="V72" s="505">
        <f t="shared" si="63"/>
        <v>11880.424000000001</v>
      </c>
      <c r="W72" s="505">
        <f t="shared" si="64"/>
        <v>15818.495000000001</v>
      </c>
      <c r="X72" s="505">
        <f t="shared" si="65"/>
        <v>15809.321</v>
      </c>
      <c r="AA72" s="371" t="s">
        <v>557</v>
      </c>
      <c r="AB72" s="372">
        <v>15149718</v>
      </c>
      <c r="AC72" s="505">
        <f t="shared" si="66"/>
        <v>15149.718000000001</v>
      </c>
      <c r="AE72" s="373" t="s">
        <v>364</v>
      </c>
      <c r="AF72" s="504">
        <v>32098466</v>
      </c>
      <c r="AG72" s="504">
        <v>14411540</v>
      </c>
      <c r="AH72" s="504">
        <v>17426345</v>
      </c>
      <c r="AI72" s="504">
        <v>14672121</v>
      </c>
      <c r="AJ72" s="504">
        <f t="shared" si="67"/>
        <v>32098.466</v>
      </c>
      <c r="AK72" s="504">
        <f t="shared" si="68"/>
        <v>14411.54</v>
      </c>
      <c r="AL72" s="504">
        <f t="shared" si="69"/>
        <v>17426.345000000001</v>
      </c>
      <c r="AM72" s="504">
        <f t="shared" si="70"/>
        <v>14672.120999999999</v>
      </c>
      <c r="AP72" s="371" t="s">
        <v>564</v>
      </c>
      <c r="AQ72" s="372">
        <v>918523</v>
      </c>
      <c r="AR72" s="372">
        <f t="shared" si="71"/>
        <v>918.52300000000002</v>
      </c>
      <c r="AT72" s="371" t="s">
        <v>364</v>
      </c>
      <c r="AU72" s="372">
        <v>37522875</v>
      </c>
      <c r="AV72" s="372">
        <v>15139118</v>
      </c>
      <c r="AW72" s="372">
        <v>28273608</v>
      </c>
      <c r="AX72" s="372">
        <v>9249267</v>
      </c>
      <c r="AY72" s="504">
        <f t="shared" si="72"/>
        <v>37522.875</v>
      </c>
      <c r="AZ72" s="504">
        <f t="shared" si="73"/>
        <v>15139.118</v>
      </c>
      <c r="BA72" s="504">
        <f t="shared" si="74"/>
        <v>28273.608</v>
      </c>
      <c r="BB72" s="504">
        <f t="shared" si="75"/>
        <v>9249.2669999999998</v>
      </c>
      <c r="BD72" s="782" t="s">
        <v>469</v>
      </c>
      <c r="BE72" s="644">
        <v>2388858</v>
      </c>
      <c r="BF72" s="650">
        <f t="shared" si="76"/>
        <v>2388.8580000000002</v>
      </c>
      <c r="BH72" s="782" t="s">
        <v>365</v>
      </c>
      <c r="BI72" s="644">
        <v>4358642</v>
      </c>
      <c r="BJ72" s="644">
        <v>3922446</v>
      </c>
      <c r="BK72" s="644">
        <v>4334186</v>
      </c>
      <c r="BL72" s="644">
        <v>24456</v>
      </c>
      <c r="BM72" s="548">
        <f t="shared" si="77"/>
        <v>4358.6419999999998</v>
      </c>
      <c r="BN72" s="548">
        <f t="shared" si="78"/>
        <v>3922.4459999999999</v>
      </c>
      <c r="BO72" s="548">
        <f t="shared" si="79"/>
        <v>4334.1859999999997</v>
      </c>
      <c r="BP72" s="650">
        <f t="shared" si="80"/>
        <v>24.456</v>
      </c>
      <c r="BS72" s="373" t="s">
        <v>560</v>
      </c>
      <c r="BT72" s="597">
        <v>1326850</v>
      </c>
      <c r="BU72" s="597">
        <f t="shared" si="81"/>
        <v>1326.85</v>
      </c>
      <c r="BW72" s="597" t="s">
        <v>477</v>
      </c>
      <c r="BX72" s="597">
        <v>0</v>
      </c>
      <c r="BY72" s="597">
        <v>0</v>
      </c>
      <c r="BZ72" s="597">
        <v>0</v>
      </c>
      <c r="CA72" s="597">
        <v>0</v>
      </c>
      <c r="CB72" s="597">
        <f t="shared" si="82"/>
        <v>0</v>
      </c>
      <c r="CC72" s="597">
        <f t="shared" si="83"/>
        <v>0</v>
      </c>
      <c r="CD72" s="597">
        <f t="shared" si="84"/>
        <v>0</v>
      </c>
      <c r="CE72" s="597">
        <f t="shared" si="85"/>
        <v>0</v>
      </c>
      <c r="CG72" s="373" t="s">
        <v>390</v>
      </c>
      <c r="CH72" s="597">
        <v>1700000</v>
      </c>
      <c r="CI72" s="597">
        <f t="shared" si="86"/>
        <v>1700</v>
      </c>
      <c r="CK72" s="371" t="s">
        <v>477</v>
      </c>
      <c r="CL72" s="372">
        <v>0</v>
      </c>
      <c r="CM72" s="372">
        <v>0</v>
      </c>
      <c r="CN72" s="372">
        <v>0</v>
      </c>
      <c r="CO72" s="372">
        <v>0</v>
      </c>
      <c r="CP72" s="597">
        <f t="shared" si="87"/>
        <v>0</v>
      </c>
      <c r="CQ72" s="597">
        <f t="shared" si="88"/>
        <v>0</v>
      </c>
      <c r="CR72" s="597">
        <f t="shared" si="89"/>
        <v>0</v>
      </c>
      <c r="CS72" s="597">
        <f t="shared" si="90"/>
        <v>0</v>
      </c>
      <c r="CU72" s="548"/>
      <c r="CV72" s="371" t="s">
        <v>469</v>
      </c>
      <c r="CW72" s="372">
        <v>2388858</v>
      </c>
      <c r="CX72" s="372">
        <f t="shared" si="91"/>
        <v>2388.8580000000002</v>
      </c>
      <c r="CZ72" s="1059" t="s">
        <v>477</v>
      </c>
      <c r="DA72" s="1060">
        <v>30000000</v>
      </c>
      <c r="DB72" s="1060">
        <v>0</v>
      </c>
      <c r="DC72" s="1060">
        <v>30000000</v>
      </c>
      <c r="DD72" s="1060">
        <v>0</v>
      </c>
      <c r="DE72" s="1060">
        <f t="shared" si="92"/>
        <v>30000</v>
      </c>
      <c r="DF72" s="1060">
        <f t="shared" si="93"/>
        <v>0</v>
      </c>
      <c r="DG72" s="1060">
        <f t="shared" si="94"/>
        <v>30000</v>
      </c>
      <c r="DH72" s="1060">
        <f t="shared" si="95"/>
        <v>0</v>
      </c>
    </row>
    <row r="73" spans="1:112" x14ac:dyDescent="0.25">
      <c r="A73" s="504" t="s">
        <v>746</v>
      </c>
      <c r="B73" s="504">
        <v>1013077</v>
      </c>
      <c r="C73" s="504">
        <v>0</v>
      </c>
      <c r="D73" s="504">
        <v>0</v>
      </c>
      <c r="E73" s="504">
        <v>1013077</v>
      </c>
      <c r="F73" s="504">
        <f t="shared" si="57"/>
        <v>1013.077</v>
      </c>
      <c r="G73" s="504">
        <f t="shared" si="58"/>
        <v>0</v>
      </c>
      <c r="H73" s="504">
        <f t="shared" si="59"/>
        <v>0</v>
      </c>
      <c r="I73" s="504">
        <f t="shared" si="60"/>
        <v>1013.077</v>
      </c>
      <c r="L73" s="371" t="s">
        <v>387</v>
      </c>
      <c r="M73" s="372">
        <v>37955685</v>
      </c>
      <c r="N73" s="372">
        <f t="shared" si="61"/>
        <v>37955.684999999998</v>
      </c>
      <c r="P73" s="371" t="s">
        <v>365</v>
      </c>
      <c r="Q73" s="372">
        <v>6203978</v>
      </c>
      <c r="R73" s="372">
        <v>3342478</v>
      </c>
      <c r="S73" s="372">
        <v>3342478</v>
      </c>
      <c r="T73" s="372">
        <v>2861500</v>
      </c>
      <c r="U73" s="372">
        <f t="shared" si="62"/>
        <v>6203.9780000000001</v>
      </c>
      <c r="V73" s="505">
        <f t="shared" si="63"/>
        <v>3342.4780000000001</v>
      </c>
      <c r="W73" s="505">
        <f t="shared" si="64"/>
        <v>3342.4780000000001</v>
      </c>
      <c r="X73" s="505">
        <f t="shared" si="65"/>
        <v>2861.5</v>
      </c>
      <c r="AA73" s="371" t="s">
        <v>558</v>
      </c>
      <c r="AB73" s="372">
        <v>2767081</v>
      </c>
      <c r="AC73" s="505">
        <f t="shared" si="66"/>
        <v>2767.0810000000001</v>
      </c>
      <c r="AE73" s="373" t="s">
        <v>365</v>
      </c>
      <c r="AF73" s="504">
        <v>6660938</v>
      </c>
      <c r="AG73" s="504">
        <v>3342478</v>
      </c>
      <c r="AH73" s="504">
        <v>3799438</v>
      </c>
      <c r="AI73" s="504">
        <v>2861500</v>
      </c>
      <c r="AJ73" s="504">
        <f t="shared" si="67"/>
        <v>6660.9380000000001</v>
      </c>
      <c r="AK73" s="504">
        <f t="shared" si="68"/>
        <v>3342.4780000000001</v>
      </c>
      <c r="AL73" s="504">
        <f t="shared" si="69"/>
        <v>3799.4380000000001</v>
      </c>
      <c r="AM73" s="504">
        <f t="shared" si="70"/>
        <v>2861.5</v>
      </c>
      <c r="AP73" s="371" t="s">
        <v>385</v>
      </c>
      <c r="AQ73" s="372">
        <v>11511081</v>
      </c>
      <c r="AR73" s="372">
        <f t="shared" si="71"/>
        <v>11511.081</v>
      </c>
      <c r="AT73" s="371" t="s">
        <v>365</v>
      </c>
      <c r="AU73" s="372">
        <v>5661338</v>
      </c>
      <c r="AV73" s="372">
        <v>3465486</v>
      </c>
      <c r="AW73" s="372">
        <v>3922446</v>
      </c>
      <c r="AX73" s="372">
        <v>1738892</v>
      </c>
      <c r="AY73" s="504">
        <f t="shared" si="72"/>
        <v>5661.3379999999997</v>
      </c>
      <c r="AZ73" s="504">
        <f t="shared" si="73"/>
        <v>3465.4859999999999</v>
      </c>
      <c r="BA73" s="504">
        <f t="shared" si="74"/>
        <v>3922.4459999999999</v>
      </c>
      <c r="BB73" s="504">
        <f t="shared" si="75"/>
        <v>1738.8920000000001</v>
      </c>
      <c r="BD73" s="782" t="s">
        <v>568</v>
      </c>
      <c r="BE73" s="644">
        <v>83905735</v>
      </c>
      <c r="BF73" s="650">
        <f t="shared" si="76"/>
        <v>83905.735000000001</v>
      </c>
      <c r="BH73" s="782" t="s">
        <v>982</v>
      </c>
      <c r="BI73" s="644">
        <v>427211</v>
      </c>
      <c r="BJ73" s="644">
        <v>427211</v>
      </c>
      <c r="BK73" s="644">
        <v>427211</v>
      </c>
      <c r="BL73" s="644">
        <v>0</v>
      </c>
      <c r="BM73" s="548">
        <f t="shared" si="77"/>
        <v>427.21100000000001</v>
      </c>
      <c r="BN73" s="548">
        <f t="shared" si="78"/>
        <v>427.21100000000001</v>
      </c>
      <c r="BO73" s="548">
        <f t="shared" si="79"/>
        <v>427.21100000000001</v>
      </c>
      <c r="BP73" s="650">
        <f t="shared" si="80"/>
        <v>0</v>
      </c>
      <c r="BS73" s="373" t="s">
        <v>561</v>
      </c>
      <c r="BT73" s="597">
        <v>586918</v>
      </c>
      <c r="BU73" s="597">
        <f t="shared" si="81"/>
        <v>586.91800000000001</v>
      </c>
      <c r="BW73" s="597" t="s">
        <v>364</v>
      </c>
      <c r="BX73" s="597">
        <v>37260427</v>
      </c>
      <c r="BY73" s="597">
        <v>36918969</v>
      </c>
      <c r="BZ73" s="597">
        <v>341458</v>
      </c>
      <c r="CA73" s="597">
        <v>31003823</v>
      </c>
      <c r="CB73" s="597">
        <f t="shared" si="82"/>
        <v>37260.427000000003</v>
      </c>
      <c r="CC73" s="597">
        <f t="shared" si="83"/>
        <v>36918.968999999997</v>
      </c>
      <c r="CD73" s="597">
        <f t="shared" si="84"/>
        <v>341.45800000000003</v>
      </c>
      <c r="CE73" s="597">
        <f t="shared" si="85"/>
        <v>31003.823</v>
      </c>
      <c r="CG73" s="373" t="s">
        <v>391</v>
      </c>
      <c r="CH73" s="597">
        <v>21678132</v>
      </c>
      <c r="CI73" s="597">
        <f t="shared" si="86"/>
        <v>21678.132000000001</v>
      </c>
      <c r="CK73" s="371" t="s">
        <v>364</v>
      </c>
      <c r="CL73" s="372">
        <v>38695626</v>
      </c>
      <c r="CM73" s="372">
        <v>35814666</v>
      </c>
      <c r="CN73" s="372">
        <v>37886351</v>
      </c>
      <c r="CO73" s="372">
        <v>809275</v>
      </c>
      <c r="CP73" s="597">
        <f t="shared" si="87"/>
        <v>38695.625999999997</v>
      </c>
      <c r="CQ73" s="597">
        <f t="shared" si="88"/>
        <v>35814.665999999997</v>
      </c>
      <c r="CR73" s="597">
        <f t="shared" si="89"/>
        <v>37886.351000000002</v>
      </c>
      <c r="CS73" s="597">
        <f t="shared" si="90"/>
        <v>809.27499999999998</v>
      </c>
      <c r="CU73" s="548"/>
      <c r="CV73" s="371" t="s">
        <v>567</v>
      </c>
      <c r="CW73" s="372">
        <v>9874</v>
      </c>
      <c r="CX73" s="372">
        <f t="shared" si="91"/>
        <v>9.8740000000000006</v>
      </c>
      <c r="CZ73" s="1059" t="s">
        <v>364</v>
      </c>
      <c r="DA73" s="1060">
        <v>46411240</v>
      </c>
      <c r="DB73" s="1060">
        <v>36304666</v>
      </c>
      <c r="DC73" s="1060">
        <v>45296349</v>
      </c>
      <c r="DD73" s="1060">
        <v>1114891</v>
      </c>
      <c r="DE73" s="1060">
        <f t="shared" si="92"/>
        <v>46411.24</v>
      </c>
      <c r="DF73" s="1060">
        <f t="shared" si="93"/>
        <v>36304.665999999997</v>
      </c>
      <c r="DG73" s="1060">
        <f t="shared" si="94"/>
        <v>45296.349000000002</v>
      </c>
      <c r="DH73" s="1060">
        <f t="shared" si="95"/>
        <v>1114.8910000000001</v>
      </c>
    </row>
    <row r="74" spans="1:112" x14ac:dyDescent="0.25">
      <c r="A74" s="504" t="s">
        <v>367</v>
      </c>
      <c r="B74" s="504">
        <v>5015980</v>
      </c>
      <c r="C74" s="504">
        <v>15980</v>
      </c>
      <c r="D74" s="504">
        <v>15980</v>
      </c>
      <c r="E74" s="504">
        <v>5000000</v>
      </c>
      <c r="F74" s="504">
        <f t="shared" si="57"/>
        <v>5015.9799999999996</v>
      </c>
      <c r="G74" s="504">
        <f t="shared" si="58"/>
        <v>15.98</v>
      </c>
      <c r="H74" s="504">
        <f t="shared" si="59"/>
        <v>15.98</v>
      </c>
      <c r="I74" s="504">
        <f t="shared" si="60"/>
        <v>5000</v>
      </c>
      <c r="L74" s="371" t="s">
        <v>565</v>
      </c>
      <c r="M74" s="372">
        <v>1862688</v>
      </c>
      <c r="N74" s="372">
        <f t="shared" si="61"/>
        <v>1862.6880000000001</v>
      </c>
      <c r="P74" s="371" t="s">
        <v>982</v>
      </c>
      <c r="Q74" s="372">
        <v>427211</v>
      </c>
      <c r="R74" s="372">
        <v>427211</v>
      </c>
      <c r="S74" s="372">
        <v>427211</v>
      </c>
      <c r="T74" s="372">
        <v>0</v>
      </c>
      <c r="U74" s="372">
        <f t="shared" si="62"/>
        <v>427.21100000000001</v>
      </c>
      <c r="V74" s="505">
        <f t="shared" si="63"/>
        <v>427.21100000000001</v>
      </c>
      <c r="W74" s="505">
        <f t="shared" si="64"/>
        <v>427.21100000000001</v>
      </c>
      <c r="X74" s="505">
        <f t="shared" si="65"/>
        <v>0</v>
      </c>
      <c r="AA74" s="371" t="s">
        <v>560</v>
      </c>
      <c r="AB74" s="372">
        <v>357357</v>
      </c>
      <c r="AC74" s="505">
        <f t="shared" si="66"/>
        <v>357.35700000000003</v>
      </c>
      <c r="AE74" s="373" t="s">
        <v>982</v>
      </c>
      <c r="AF74" s="504">
        <v>427211</v>
      </c>
      <c r="AG74" s="504">
        <v>427211</v>
      </c>
      <c r="AH74" s="504">
        <v>427211</v>
      </c>
      <c r="AI74" s="504">
        <v>0</v>
      </c>
      <c r="AJ74" s="504">
        <f t="shared" si="67"/>
        <v>427.21100000000001</v>
      </c>
      <c r="AK74" s="504">
        <f t="shared" si="68"/>
        <v>427.21100000000001</v>
      </c>
      <c r="AL74" s="504">
        <f t="shared" si="69"/>
        <v>427.21100000000001</v>
      </c>
      <c r="AM74" s="504">
        <f t="shared" si="70"/>
        <v>0</v>
      </c>
      <c r="AP74" s="371" t="s">
        <v>386</v>
      </c>
      <c r="AQ74" s="372">
        <v>90365353</v>
      </c>
      <c r="AR74" s="372">
        <f t="shared" si="71"/>
        <v>90365.353000000003</v>
      </c>
      <c r="AT74" s="371" t="s">
        <v>982</v>
      </c>
      <c r="AU74" s="372">
        <v>427211</v>
      </c>
      <c r="AV74" s="372">
        <v>427211</v>
      </c>
      <c r="AW74" s="372">
        <v>427211</v>
      </c>
      <c r="AX74" s="372">
        <v>0</v>
      </c>
      <c r="AY74" s="504">
        <f t="shared" si="72"/>
        <v>427.21100000000001</v>
      </c>
      <c r="AZ74" s="504">
        <f t="shared" si="73"/>
        <v>427.21100000000001</v>
      </c>
      <c r="BA74" s="504">
        <f t="shared" si="74"/>
        <v>427.21100000000001</v>
      </c>
      <c r="BB74" s="504">
        <f t="shared" si="75"/>
        <v>0</v>
      </c>
      <c r="BD74" s="782" t="s">
        <v>389</v>
      </c>
      <c r="BE74" s="644">
        <v>11700000</v>
      </c>
      <c r="BF74" s="650">
        <f t="shared" si="76"/>
        <v>11700</v>
      </c>
      <c r="BH74" s="782" t="s">
        <v>366</v>
      </c>
      <c r="BI74" s="644">
        <v>207214</v>
      </c>
      <c r="BJ74" s="644">
        <v>207214</v>
      </c>
      <c r="BK74" s="644">
        <v>207214</v>
      </c>
      <c r="BL74" s="644">
        <v>0</v>
      </c>
      <c r="BM74" s="548">
        <f t="shared" si="77"/>
        <v>207.214</v>
      </c>
      <c r="BN74" s="548">
        <f t="shared" si="78"/>
        <v>207.214</v>
      </c>
      <c r="BO74" s="548">
        <f t="shared" si="79"/>
        <v>207.214</v>
      </c>
      <c r="BP74" s="650">
        <f t="shared" si="80"/>
        <v>0</v>
      </c>
      <c r="BS74" s="373" t="s">
        <v>380</v>
      </c>
      <c r="BT74" s="597">
        <v>275140</v>
      </c>
      <c r="BU74" s="597">
        <f t="shared" si="81"/>
        <v>275.14</v>
      </c>
      <c r="BW74" s="597" t="s">
        <v>365</v>
      </c>
      <c r="BX74" s="597">
        <v>4356486</v>
      </c>
      <c r="BY74" s="597">
        <v>4356486</v>
      </c>
      <c r="BZ74" s="597">
        <v>0</v>
      </c>
      <c r="CA74" s="597">
        <v>3944746</v>
      </c>
      <c r="CB74" s="597">
        <f t="shared" si="82"/>
        <v>4356.4859999999999</v>
      </c>
      <c r="CC74" s="597">
        <f t="shared" si="83"/>
        <v>4356.4859999999999</v>
      </c>
      <c r="CD74" s="597">
        <f t="shared" si="84"/>
        <v>0</v>
      </c>
      <c r="CE74" s="597">
        <f t="shared" si="85"/>
        <v>3944.7460000000001</v>
      </c>
      <c r="CG74" s="373" t="s">
        <v>569</v>
      </c>
      <c r="CH74" s="597">
        <v>1696160</v>
      </c>
      <c r="CI74" s="597">
        <f t="shared" si="86"/>
        <v>1696.16</v>
      </c>
      <c r="CK74" s="371" t="s">
        <v>365</v>
      </c>
      <c r="CL74" s="372">
        <v>4356486</v>
      </c>
      <c r="CM74" s="372">
        <v>3944746</v>
      </c>
      <c r="CN74" s="372">
        <v>4356486</v>
      </c>
      <c r="CO74" s="372">
        <v>0</v>
      </c>
      <c r="CP74" s="597">
        <f t="shared" si="87"/>
        <v>4356.4859999999999</v>
      </c>
      <c r="CQ74" s="597">
        <f t="shared" si="88"/>
        <v>3944.7460000000001</v>
      </c>
      <c r="CR74" s="597">
        <f t="shared" si="89"/>
        <v>4356.4859999999999</v>
      </c>
      <c r="CS74" s="597">
        <f t="shared" si="90"/>
        <v>0</v>
      </c>
      <c r="CU74" s="548"/>
      <c r="CV74" s="371" t="s">
        <v>478</v>
      </c>
      <c r="CW74" s="372">
        <v>9874</v>
      </c>
      <c r="CX74" s="372">
        <f t="shared" si="91"/>
        <v>9.8740000000000006</v>
      </c>
      <c r="CZ74" s="1059" t="s">
        <v>365</v>
      </c>
      <c r="DA74" s="1060">
        <v>4356486</v>
      </c>
      <c r="DB74" s="1060">
        <v>3944746</v>
      </c>
      <c r="DC74" s="1060">
        <v>4356486</v>
      </c>
      <c r="DD74" s="1060">
        <v>0</v>
      </c>
      <c r="DE74" s="1060">
        <f t="shared" si="92"/>
        <v>4356.4859999999999</v>
      </c>
      <c r="DF74" s="1060">
        <f t="shared" si="93"/>
        <v>3944.7460000000001</v>
      </c>
      <c r="DG74" s="1060">
        <f t="shared" si="94"/>
        <v>4356.4859999999999</v>
      </c>
      <c r="DH74" s="1060">
        <f t="shared" si="95"/>
        <v>0</v>
      </c>
    </row>
    <row r="75" spans="1:112" x14ac:dyDescent="0.25">
      <c r="A75" s="504" t="s">
        <v>552</v>
      </c>
      <c r="B75" s="504">
        <v>9200000</v>
      </c>
      <c r="C75" s="504">
        <v>0</v>
      </c>
      <c r="D75" s="504">
        <v>5331200</v>
      </c>
      <c r="E75" s="504">
        <v>3868800</v>
      </c>
      <c r="F75" s="504">
        <f t="shared" si="57"/>
        <v>9200</v>
      </c>
      <c r="G75" s="504">
        <f t="shared" si="58"/>
        <v>0</v>
      </c>
      <c r="H75" s="504">
        <f t="shared" si="59"/>
        <v>5331.2</v>
      </c>
      <c r="I75" s="504">
        <f t="shared" si="60"/>
        <v>3868.8</v>
      </c>
      <c r="L75" s="371" t="s">
        <v>566</v>
      </c>
      <c r="M75" s="372">
        <v>10479968</v>
      </c>
      <c r="N75" s="372">
        <f t="shared" si="61"/>
        <v>10479.968000000001</v>
      </c>
      <c r="P75" s="371" t="s">
        <v>746</v>
      </c>
      <c r="Q75" s="372">
        <v>1013077</v>
      </c>
      <c r="R75" s="372">
        <v>0</v>
      </c>
      <c r="S75" s="372">
        <v>0</v>
      </c>
      <c r="T75" s="372">
        <v>1013077</v>
      </c>
      <c r="U75" s="372">
        <f t="shared" si="62"/>
        <v>1013.077</v>
      </c>
      <c r="V75" s="505">
        <f t="shared" si="63"/>
        <v>0</v>
      </c>
      <c r="W75" s="505">
        <f t="shared" si="64"/>
        <v>0</v>
      </c>
      <c r="X75" s="505">
        <f t="shared" si="65"/>
        <v>1013.077</v>
      </c>
      <c r="AA75" s="371" t="s">
        <v>561</v>
      </c>
      <c r="AB75" s="372">
        <v>586918</v>
      </c>
      <c r="AC75" s="505">
        <f t="shared" si="66"/>
        <v>586.91800000000001</v>
      </c>
      <c r="AE75" s="373" t="s">
        <v>366</v>
      </c>
      <c r="AF75" s="504">
        <v>176274</v>
      </c>
      <c r="AG75" s="504">
        <v>0</v>
      </c>
      <c r="AH75" s="504">
        <v>176274</v>
      </c>
      <c r="AI75" s="504">
        <v>0</v>
      </c>
      <c r="AJ75" s="504">
        <f t="shared" si="67"/>
        <v>176.274</v>
      </c>
      <c r="AK75" s="504">
        <f t="shared" si="68"/>
        <v>0</v>
      </c>
      <c r="AL75" s="504">
        <f t="shared" si="69"/>
        <v>176.274</v>
      </c>
      <c r="AM75" s="504">
        <f t="shared" si="70"/>
        <v>0</v>
      </c>
      <c r="AP75" s="371" t="s">
        <v>387</v>
      </c>
      <c r="AQ75" s="372">
        <v>75328326</v>
      </c>
      <c r="AR75" s="372">
        <f t="shared" si="71"/>
        <v>75328.326000000001</v>
      </c>
      <c r="AT75" s="371" t="s">
        <v>366</v>
      </c>
      <c r="AU75" s="372">
        <v>176274</v>
      </c>
      <c r="AV75" s="372">
        <v>176274</v>
      </c>
      <c r="AW75" s="372">
        <v>176274</v>
      </c>
      <c r="AX75" s="372">
        <v>0</v>
      </c>
      <c r="AY75" s="504">
        <f t="shared" si="72"/>
        <v>176.274</v>
      </c>
      <c r="AZ75" s="504">
        <f t="shared" si="73"/>
        <v>176.274</v>
      </c>
      <c r="BA75" s="504">
        <f t="shared" si="74"/>
        <v>176.274</v>
      </c>
      <c r="BB75" s="504">
        <f t="shared" si="75"/>
        <v>0</v>
      </c>
      <c r="BD75" s="782" t="s">
        <v>391</v>
      </c>
      <c r="BE75" s="644">
        <v>72205735</v>
      </c>
      <c r="BF75" s="650">
        <f t="shared" si="76"/>
        <v>72205.735000000001</v>
      </c>
      <c r="BH75" s="782" t="s">
        <v>746</v>
      </c>
      <c r="BI75" s="644">
        <v>836803</v>
      </c>
      <c r="BJ75" s="644">
        <v>0</v>
      </c>
      <c r="BK75" s="644">
        <v>0</v>
      </c>
      <c r="BL75" s="644">
        <v>836803</v>
      </c>
      <c r="BM75" s="548">
        <f t="shared" si="77"/>
        <v>836.803</v>
      </c>
      <c r="BN75" s="548">
        <f t="shared" si="78"/>
        <v>0</v>
      </c>
      <c r="BO75" s="548">
        <f t="shared" si="79"/>
        <v>0</v>
      </c>
      <c r="BP75" s="650">
        <f t="shared" si="80"/>
        <v>836.803</v>
      </c>
      <c r="BS75" s="373" t="s">
        <v>381</v>
      </c>
      <c r="BT75" s="597">
        <v>275140</v>
      </c>
      <c r="BU75" s="597">
        <f t="shared" si="81"/>
        <v>275.14</v>
      </c>
      <c r="BW75" s="597" t="s">
        <v>982</v>
      </c>
      <c r="BX75" s="597">
        <v>427211</v>
      </c>
      <c r="BY75" s="597">
        <v>427211</v>
      </c>
      <c r="BZ75" s="597">
        <v>0</v>
      </c>
      <c r="CA75" s="597">
        <v>427211</v>
      </c>
      <c r="CB75" s="597">
        <f t="shared" si="82"/>
        <v>427.21100000000001</v>
      </c>
      <c r="CC75" s="597">
        <f t="shared" si="83"/>
        <v>427.21100000000001</v>
      </c>
      <c r="CD75" s="597">
        <f t="shared" si="84"/>
        <v>0</v>
      </c>
      <c r="CE75" s="597">
        <f t="shared" si="85"/>
        <v>427.21100000000001</v>
      </c>
      <c r="CG75" s="373" t="s">
        <v>393</v>
      </c>
      <c r="CH75" s="597">
        <v>1696160</v>
      </c>
      <c r="CI75" s="597">
        <f t="shared" si="86"/>
        <v>1696.16</v>
      </c>
      <c r="CK75" s="371" t="s">
        <v>982</v>
      </c>
      <c r="CL75" s="372">
        <v>427211</v>
      </c>
      <c r="CM75" s="372">
        <v>427211</v>
      </c>
      <c r="CN75" s="372">
        <v>427211</v>
      </c>
      <c r="CO75" s="372">
        <v>0</v>
      </c>
      <c r="CP75" s="597">
        <f t="shared" si="87"/>
        <v>427.21100000000001</v>
      </c>
      <c r="CQ75" s="597">
        <f t="shared" si="88"/>
        <v>427.21100000000001</v>
      </c>
      <c r="CR75" s="597">
        <f t="shared" si="89"/>
        <v>427.21100000000001</v>
      </c>
      <c r="CS75" s="597">
        <f t="shared" si="90"/>
        <v>0</v>
      </c>
      <c r="CU75" s="548"/>
      <c r="CV75" s="371" t="s">
        <v>568</v>
      </c>
      <c r="CW75" s="372">
        <v>203931752</v>
      </c>
      <c r="CX75" s="372">
        <f t="shared" si="91"/>
        <v>203931.75200000001</v>
      </c>
      <c r="CZ75" s="1059" t="s">
        <v>982</v>
      </c>
      <c r="DA75" s="1060">
        <v>427211</v>
      </c>
      <c r="DB75" s="1060">
        <v>427211</v>
      </c>
      <c r="DC75" s="1060">
        <v>427211</v>
      </c>
      <c r="DD75" s="1060">
        <v>0</v>
      </c>
      <c r="DE75" s="1060">
        <f t="shared" si="92"/>
        <v>427.21100000000001</v>
      </c>
      <c r="DF75" s="1060">
        <f t="shared" si="93"/>
        <v>427.21100000000001</v>
      </c>
      <c r="DG75" s="1060">
        <f t="shared" si="94"/>
        <v>427.21100000000001</v>
      </c>
      <c r="DH75" s="1060">
        <f t="shared" si="95"/>
        <v>0</v>
      </c>
    </row>
    <row r="76" spans="1:112" x14ac:dyDescent="0.25">
      <c r="A76" s="504" t="s">
        <v>553</v>
      </c>
      <c r="B76" s="504">
        <v>2083896</v>
      </c>
      <c r="C76" s="504">
        <v>0</v>
      </c>
      <c r="D76" s="504">
        <v>1843992</v>
      </c>
      <c r="E76" s="504">
        <v>239904</v>
      </c>
      <c r="F76" s="504">
        <f t="shared" si="57"/>
        <v>2083.8960000000002</v>
      </c>
      <c r="G76" s="504">
        <f t="shared" si="58"/>
        <v>0</v>
      </c>
      <c r="H76" s="504">
        <f t="shared" si="59"/>
        <v>1843.992</v>
      </c>
      <c r="I76" s="504">
        <f t="shared" si="60"/>
        <v>239.904</v>
      </c>
      <c r="L76" s="371" t="s">
        <v>469</v>
      </c>
      <c r="M76" s="372">
        <v>2388858</v>
      </c>
      <c r="N76" s="372">
        <f t="shared" si="61"/>
        <v>2388.8580000000002</v>
      </c>
      <c r="P76" s="371" t="s">
        <v>367</v>
      </c>
      <c r="Q76" s="372">
        <v>4790880</v>
      </c>
      <c r="R76" s="372">
        <v>15980</v>
      </c>
      <c r="S76" s="372">
        <v>15980</v>
      </c>
      <c r="T76" s="372">
        <v>4774900</v>
      </c>
      <c r="U76" s="372">
        <f t="shared" si="62"/>
        <v>4790.88</v>
      </c>
      <c r="V76" s="505">
        <f t="shared" si="63"/>
        <v>15.98</v>
      </c>
      <c r="W76" s="505">
        <f t="shared" si="64"/>
        <v>15.98</v>
      </c>
      <c r="X76" s="505">
        <f t="shared" si="65"/>
        <v>4774.8999999999996</v>
      </c>
      <c r="AA76" s="371" t="s">
        <v>380</v>
      </c>
      <c r="AB76" s="372">
        <v>1503681</v>
      </c>
      <c r="AC76" s="505">
        <f t="shared" si="66"/>
        <v>1503.681</v>
      </c>
      <c r="AE76" s="373" t="s">
        <v>746</v>
      </c>
      <c r="AF76" s="504">
        <v>836803</v>
      </c>
      <c r="AG76" s="504">
        <v>0</v>
      </c>
      <c r="AH76" s="504">
        <v>0</v>
      </c>
      <c r="AI76" s="504">
        <v>836803</v>
      </c>
      <c r="AJ76" s="504">
        <f t="shared" si="67"/>
        <v>836.803</v>
      </c>
      <c r="AK76" s="504">
        <f t="shared" si="68"/>
        <v>0</v>
      </c>
      <c r="AL76" s="504">
        <f t="shared" si="69"/>
        <v>0</v>
      </c>
      <c r="AM76" s="504">
        <f t="shared" si="70"/>
        <v>836.803</v>
      </c>
      <c r="AP76" s="371" t="s">
        <v>565</v>
      </c>
      <c r="AQ76" s="372">
        <v>1945633</v>
      </c>
      <c r="AR76" s="372">
        <f t="shared" si="71"/>
        <v>1945.633</v>
      </c>
      <c r="AT76" s="371" t="s">
        <v>746</v>
      </c>
      <c r="AU76" s="372">
        <v>836803</v>
      </c>
      <c r="AV76" s="372">
        <v>0</v>
      </c>
      <c r="AW76" s="372">
        <v>0</v>
      </c>
      <c r="AX76" s="372">
        <v>836803</v>
      </c>
      <c r="AY76" s="504">
        <f t="shared" si="72"/>
        <v>836.803</v>
      </c>
      <c r="AZ76" s="504">
        <f t="shared" si="73"/>
        <v>0</v>
      </c>
      <c r="BA76" s="504">
        <f t="shared" si="74"/>
        <v>0</v>
      </c>
      <c r="BB76" s="504">
        <f t="shared" si="75"/>
        <v>836.803</v>
      </c>
      <c r="BD76" s="782" t="s">
        <v>569</v>
      </c>
      <c r="BE76" s="644">
        <v>371597</v>
      </c>
      <c r="BF76" s="650">
        <f t="shared" si="76"/>
        <v>371.59699999999998</v>
      </c>
      <c r="BH76" s="782" t="s">
        <v>367</v>
      </c>
      <c r="BI76" s="644">
        <v>10097200</v>
      </c>
      <c r="BJ76" s="644">
        <v>9976079</v>
      </c>
      <c r="BK76" s="644">
        <v>10055729</v>
      </c>
      <c r="BL76" s="644">
        <v>41471</v>
      </c>
      <c r="BM76" s="548">
        <f t="shared" si="77"/>
        <v>10097.200000000001</v>
      </c>
      <c r="BN76" s="548">
        <f t="shared" si="78"/>
        <v>9976.0789999999997</v>
      </c>
      <c r="BO76" s="548">
        <f t="shared" si="79"/>
        <v>10055.728999999999</v>
      </c>
      <c r="BP76" s="650">
        <f t="shared" si="80"/>
        <v>41.470999999999997</v>
      </c>
      <c r="BS76" s="373" t="s">
        <v>383</v>
      </c>
      <c r="BT76" s="597">
        <v>64248689</v>
      </c>
      <c r="BU76" s="597">
        <f t="shared" si="81"/>
        <v>64248.688999999998</v>
      </c>
      <c r="BW76" s="597" t="s">
        <v>366</v>
      </c>
      <c r="BX76" s="597">
        <v>207214</v>
      </c>
      <c r="BY76" s="597">
        <v>207214</v>
      </c>
      <c r="BZ76" s="597">
        <v>0</v>
      </c>
      <c r="CA76" s="597">
        <v>207214</v>
      </c>
      <c r="CB76" s="597">
        <f t="shared" si="82"/>
        <v>207.214</v>
      </c>
      <c r="CC76" s="597">
        <f t="shared" si="83"/>
        <v>207.214</v>
      </c>
      <c r="CD76" s="597">
        <f t="shared" si="84"/>
        <v>0</v>
      </c>
      <c r="CE76" s="597">
        <f t="shared" si="85"/>
        <v>207.214</v>
      </c>
      <c r="CG76" s="373" t="s">
        <v>571</v>
      </c>
      <c r="CH76" s="597">
        <v>46967650</v>
      </c>
      <c r="CI76" s="597">
        <f t="shared" si="86"/>
        <v>46967.65</v>
      </c>
      <c r="CK76" s="371" t="s">
        <v>366</v>
      </c>
      <c r="CL76" s="372">
        <v>207214</v>
      </c>
      <c r="CM76" s="372">
        <v>207214</v>
      </c>
      <c r="CN76" s="372">
        <v>207214</v>
      </c>
      <c r="CO76" s="372">
        <v>0</v>
      </c>
      <c r="CP76" s="597">
        <f t="shared" si="87"/>
        <v>207.214</v>
      </c>
      <c r="CQ76" s="597">
        <f t="shared" si="88"/>
        <v>207.214</v>
      </c>
      <c r="CR76" s="597">
        <f t="shared" si="89"/>
        <v>207.214</v>
      </c>
      <c r="CS76" s="597">
        <f t="shared" si="90"/>
        <v>0</v>
      </c>
      <c r="CU76" s="548"/>
      <c r="CV76" s="371" t="s">
        <v>389</v>
      </c>
      <c r="CW76" s="372">
        <v>73171499</v>
      </c>
      <c r="CX76" s="372">
        <f t="shared" si="91"/>
        <v>73171.498999999996</v>
      </c>
      <c r="CZ76" s="1059" t="s">
        <v>366</v>
      </c>
      <c r="DA76" s="1060">
        <v>207214</v>
      </c>
      <c r="DB76" s="1060">
        <v>207214</v>
      </c>
      <c r="DC76" s="1060">
        <v>207214</v>
      </c>
      <c r="DD76" s="1060">
        <v>0</v>
      </c>
      <c r="DE76" s="1060">
        <f t="shared" si="92"/>
        <v>207.214</v>
      </c>
      <c r="DF76" s="1060">
        <f t="shared" si="93"/>
        <v>207.214</v>
      </c>
      <c r="DG76" s="1060">
        <f t="shared" si="94"/>
        <v>207.214</v>
      </c>
      <c r="DH76" s="1060">
        <f t="shared" si="95"/>
        <v>0</v>
      </c>
    </row>
    <row r="77" spans="1:112" x14ac:dyDescent="0.25">
      <c r="A77" s="504" t="s">
        <v>554</v>
      </c>
      <c r="B77" s="504">
        <v>1000000</v>
      </c>
      <c r="C77" s="504">
        <v>0</v>
      </c>
      <c r="D77" s="504">
        <v>390234</v>
      </c>
      <c r="E77" s="504">
        <v>609766</v>
      </c>
      <c r="F77" s="504">
        <f t="shared" si="57"/>
        <v>1000</v>
      </c>
      <c r="G77" s="504">
        <f t="shared" si="58"/>
        <v>0</v>
      </c>
      <c r="H77" s="504">
        <f t="shared" si="59"/>
        <v>390.23399999999998</v>
      </c>
      <c r="I77" s="504">
        <f t="shared" si="60"/>
        <v>609.76599999999996</v>
      </c>
      <c r="L77" s="371" t="s">
        <v>568</v>
      </c>
      <c r="M77" s="372">
        <v>1866674</v>
      </c>
      <c r="N77" s="372">
        <f t="shared" si="61"/>
        <v>1866.674</v>
      </c>
      <c r="P77" s="371" t="s">
        <v>552</v>
      </c>
      <c r="Q77" s="372">
        <v>9200000</v>
      </c>
      <c r="R77" s="372">
        <v>5331200</v>
      </c>
      <c r="S77" s="372">
        <v>7391566</v>
      </c>
      <c r="T77" s="372">
        <v>1808434</v>
      </c>
      <c r="U77" s="372">
        <f t="shared" si="62"/>
        <v>9200</v>
      </c>
      <c r="V77" s="505">
        <f t="shared" si="63"/>
        <v>5331.2</v>
      </c>
      <c r="W77" s="505">
        <f t="shared" si="64"/>
        <v>7391.5659999999998</v>
      </c>
      <c r="X77" s="505">
        <f t="shared" si="65"/>
        <v>1808.434</v>
      </c>
      <c r="AA77" s="371" t="s">
        <v>381</v>
      </c>
      <c r="AB77" s="372">
        <v>1362281</v>
      </c>
      <c r="AC77" s="505">
        <f t="shared" si="66"/>
        <v>1362.2809999999999</v>
      </c>
      <c r="AE77" s="373" t="s">
        <v>367</v>
      </c>
      <c r="AF77" s="504">
        <v>4790880</v>
      </c>
      <c r="AG77" s="504">
        <v>15980</v>
      </c>
      <c r="AH77" s="504">
        <v>15980</v>
      </c>
      <c r="AI77" s="504">
        <v>4774900</v>
      </c>
      <c r="AJ77" s="504">
        <f t="shared" si="67"/>
        <v>4790.88</v>
      </c>
      <c r="AK77" s="504">
        <f t="shared" si="68"/>
        <v>15.98</v>
      </c>
      <c r="AL77" s="504">
        <f t="shared" si="69"/>
        <v>15.98</v>
      </c>
      <c r="AM77" s="504">
        <f t="shared" si="70"/>
        <v>4774.8999999999996</v>
      </c>
      <c r="AP77" s="371" t="s">
        <v>566</v>
      </c>
      <c r="AQ77" s="372">
        <v>10702536</v>
      </c>
      <c r="AR77" s="372">
        <f t="shared" si="71"/>
        <v>10702.536</v>
      </c>
      <c r="AT77" s="371" t="s">
        <v>367</v>
      </c>
      <c r="AU77" s="372">
        <v>10017550</v>
      </c>
      <c r="AV77" s="372">
        <v>84720</v>
      </c>
      <c r="AW77" s="372">
        <v>9976079</v>
      </c>
      <c r="AX77" s="372">
        <v>41471</v>
      </c>
      <c r="AY77" s="504">
        <f t="shared" si="72"/>
        <v>10017.549999999999</v>
      </c>
      <c r="AZ77" s="504">
        <f t="shared" si="73"/>
        <v>84.72</v>
      </c>
      <c r="BA77" s="504">
        <f t="shared" si="74"/>
        <v>9976.0789999999997</v>
      </c>
      <c r="BB77" s="504">
        <f t="shared" si="75"/>
        <v>41.470999999999997</v>
      </c>
      <c r="BD77" s="782" t="s">
        <v>393</v>
      </c>
      <c r="BE77" s="644">
        <v>371597</v>
      </c>
      <c r="BF77" s="650">
        <f t="shared" si="76"/>
        <v>371.59699999999998</v>
      </c>
      <c r="BH77" s="782" t="s">
        <v>552</v>
      </c>
      <c r="BI77" s="644">
        <v>9162490</v>
      </c>
      <c r="BJ77" s="644">
        <v>7391566</v>
      </c>
      <c r="BK77" s="644">
        <v>7391566</v>
      </c>
      <c r="BL77" s="644">
        <v>1770924</v>
      </c>
      <c r="BM77" s="548">
        <f t="shared" si="77"/>
        <v>9162.49</v>
      </c>
      <c r="BN77" s="548">
        <f t="shared" si="78"/>
        <v>7391.5659999999998</v>
      </c>
      <c r="BO77" s="548">
        <f t="shared" si="79"/>
        <v>7391.5659999999998</v>
      </c>
      <c r="BP77" s="650">
        <f t="shared" si="80"/>
        <v>1770.924</v>
      </c>
      <c r="BS77" s="373" t="s">
        <v>384</v>
      </c>
      <c r="BT77" s="597">
        <v>7980785</v>
      </c>
      <c r="BU77" s="597">
        <f t="shared" si="81"/>
        <v>7980.7849999999999</v>
      </c>
      <c r="BW77" s="597" t="s">
        <v>746</v>
      </c>
      <c r="BX77" s="597">
        <v>187901</v>
      </c>
      <c r="BY77" s="597">
        <v>187901</v>
      </c>
      <c r="BZ77" s="597">
        <v>0</v>
      </c>
      <c r="CA77" s="597">
        <v>0</v>
      </c>
      <c r="CB77" s="597">
        <f t="shared" si="82"/>
        <v>187.90100000000001</v>
      </c>
      <c r="CC77" s="597">
        <f t="shared" si="83"/>
        <v>187.90100000000001</v>
      </c>
      <c r="CD77" s="597">
        <f t="shared" si="84"/>
        <v>0</v>
      </c>
      <c r="CE77" s="597">
        <f t="shared" si="85"/>
        <v>0</v>
      </c>
      <c r="CG77" s="373" t="s">
        <v>572</v>
      </c>
      <c r="CH77" s="597">
        <v>46967650</v>
      </c>
      <c r="CI77" s="597">
        <f t="shared" si="86"/>
        <v>46967.65</v>
      </c>
      <c r="CK77" s="371" t="s">
        <v>746</v>
      </c>
      <c r="CL77" s="372">
        <v>187901</v>
      </c>
      <c r="CM77" s="372">
        <v>187901</v>
      </c>
      <c r="CN77" s="372">
        <v>187901</v>
      </c>
      <c r="CO77" s="372">
        <v>0</v>
      </c>
      <c r="CP77" s="597">
        <f t="shared" si="87"/>
        <v>187.90100000000001</v>
      </c>
      <c r="CQ77" s="597">
        <f t="shared" si="88"/>
        <v>187.90100000000001</v>
      </c>
      <c r="CR77" s="597">
        <f t="shared" si="89"/>
        <v>187.90100000000001</v>
      </c>
      <c r="CS77" s="597">
        <f t="shared" si="90"/>
        <v>0</v>
      </c>
      <c r="CU77" s="548"/>
      <c r="CV77" s="371" t="s">
        <v>391</v>
      </c>
      <c r="CW77" s="372">
        <v>130760253</v>
      </c>
      <c r="CX77" s="372">
        <f t="shared" si="91"/>
        <v>130760.253</v>
      </c>
      <c r="CZ77" s="1059" t="s">
        <v>746</v>
      </c>
      <c r="DA77" s="1060">
        <v>187901</v>
      </c>
      <c r="DB77" s="1060">
        <v>187901</v>
      </c>
      <c r="DC77" s="1060">
        <v>187901</v>
      </c>
      <c r="DD77" s="1060">
        <v>0</v>
      </c>
      <c r="DE77" s="1060">
        <f t="shared" si="92"/>
        <v>187.90100000000001</v>
      </c>
      <c r="DF77" s="1060">
        <f t="shared" si="93"/>
        <v>187.90100000000001</v>
      </c>
      <c r="DG77" s="1060">
        <f t="shared" si="94"/>
        <v>187.90100000000001</v>
      </c>
      <c r="DH77" s="1060">
        <f t="shared" si="95"/>
        <v>0</v>
      </c>
    </row>
    <row r="78" spans="1:112" x14ac:dyDescent="0.25">
      <c r="A78" s="504" t="s">
        <v>555</v>
      </c>
      <c r="B78" s="504">
        <v>2293540</v>
      </c>
      <c r="C78" s="504">
        <v>0</v>
      </c>
      <c r="D78" s="504">
        <v>0</v>
      </c>
      <c r="E78" s="504">
        <v>2293540</v>
      </c>
      <c r="F78" s="504">
        <f t="shared" si="57"/>
        <v>2293.54</v>
      </c>
      <c r="G78" s="504">
        <f t="shared" si="58"/>
        <v>0</v>
      </c>
      <c r="H78" s="504">
        <f t="shared" si="59"/>
        <v>0</v>
      </c>
      <c r="I78" s="504">
        <f t="shared" si="60"/>
        <v>2293.54</v>
      </c>
      <c r="L78" s="371" t="s">
        <v>391</v>
      </c>
      <c r="M78" s="372">
        <v>1866674</v>
      </c>
      <c r="N78" s="372">
        <f t="shared" si="61"/>
        <v>1866.674</v>
      </c>
      <c r="P78" s="371" t="s">
        <v>553</v>
      </c>
      <c r="Q78" s="372">
        <v>2083896</v>
      </c>
      <c r="R78" s="372">
        <v>1386933</v>
      </c>
      <c r="S78" s="372">
        <v>1843992</v>
      </c>
      <c r="T78" s="372">
        <v>239904</v>
      </c>
      <c r="U78" s="372">
        <f t="shared" si="62"/>
        <v>2083.8960000000002</v>
      </c>
      <c r="V78" s="505">
        <f t="shared" si="63"/>
        <v>1386.933</v>
      </c>
      <c r="W78" s="505">
        <f t="shared" si="64"/>
        <v>1843.992</v>
      </c>
      <c r="X78" s="505">
        <f t="shared" si="65"/>
        <v>239.904</v>
      </c>
      <c r="AA78" s="371" t="s">
        <v>382</v>
      </c>
      <c r="AB78" s="372">
        <v>141400</v>
      </c>
      <c r="AC78" s="505">
        <f t="shared" si="66"/>
        <v>141.4</v>
      </c>
      <c r="AE78" s="373" t="s">
        <v>552</v>
      </c>
      <c r="AF78" s="504">
        <v>9200000</v>
      </c>
      <c r="AG78" s="504">
        <v>7391566</v>
      </c>
      <c r="AH78" s="504">
        <v>7391566</v>
      </c>
      <c r="AI78" s="504">
        <v>1808434</v>
      </c>
      <c r="AJ78" s="504">
        <f t="shared" si="67"/>
        <v>9200</v>
      </c>
      <c r="AK78" s="504">
        <f t="shared" si="68"/>
        <v>7391.5659999999998</v>
      </c>
      <c r="AL78" s="504">
        <f t="shared" si="69"/>
        <v>7391.5659999999998</v>
      </c>
      <c r="AM78" s="504">
        <f t="shared" si="70"/>
        <v>1808.434</v>
      </c>
      <c r="AP78" s="371" t="s">
        <v>469</v>
      </c>
      <c r="AQ78" s="372">
        <v>2388858</v>
      </c>
      <c r="AR78" s="372">
        <f t="shared" si="71"/>
        <v>2388.8580000000002</v>
      </c>
      <c r="AT78" s="371" t="s">
        <v>552</v>
      </c>
      <c r="AU78" s="372">
        <v>9200000</v>
      </c>
      <c r="AV78" s="372">
        <v>7391566</v>
      </c>
      <c r="AW78" s="372">
        <v>7391566</v>
      </c>
      <c r="AX78" s="372">
        <v>1808434</v>
      </c>
      <c r="AY78" s="504">
        <f t="shared" si="72"/>
        <v>9200</v>
      </c>
      <c r="AZ78" s="504">
        <f t="shared" si="73"/>
        <v>7391.5659999999998</v>
      </c>
      <c r="BA78" s="504">
        <f t="shared" si="74"/>
        <v>7391.5659999999998</v>
      </c>
      <c r="BB78" s="504">
        <f t="shared" si="75"/>
        <v>1808.434</v>
      </c>
      <c r="BD78" s="782" t="s">
        <v>395</v>
      </c>
      <c r="BE78" s="644">
        <v>7321463</v>
      </c>
      <c r="BF78" s="650">
        <f t="shared" si="76"/>
        <v>7321.4629999999997</v>
      </c>
      <c r="BH78" s="782" t="s">
        <v>553</v>
      </c>
      <c r="BI78" s="644">
        <v>2312849</v>
      </c>
      <c r="BJ78" s="644">
        <v>2310473</v>
      </c>
      <c r="BK78" s="644">
        <v>2310473</v>
      </c>
      <c r="BL78" s="644">
        <v>2376</v>
      </c>
      <c r="BM78" s="548">
        <f t="shared" si="77"/>
        <v>2312.8490000000002</v>
      </c>
      <c r="BN78" s="548">
        <f t="shared" si="78"/>
        <v>2310.473</v>
      </c>
      <c r="BO78" s="548">
        <f t="shared" si="79"/>
        <v>2310.473</v>
      </c>
      <c r="BP78" s="650">
        <f t="shared" si="80"/>
        <v>2.3759999999999999</v>
      </c>
      <c r="BS78" s="373" t="s">
        <v>468</v>
      </c>
      <c r="BT78" s="597">
        <v>972055</v>
      </c>
      <c r="BU78" s="597">
        <f t="shared" si="81"/>
        <v>972.05499999999995</v>
      </c>
      <c r="BW78" s="597" t="s">
        <v>367</v>
      </c>
      <c r="BX78" s="597">
        <v>10055729</v>
      </c>
      <c r="BY78" s="597">
        <v>10055729</v>
      </c>
      <c r="BZ78" s="597">
        <v>0</v>
      </c>
      <c r="CA78" s="597">
        <v>10055729</v>
      </c>
      <c r="CB78" s="597">
        <f t="shared" si="82"/>
        <v>10055.728999999999</v>
      </c>
      <c r="CC78" s="597">
        <f t="shared" si="83"/>
        <v>10055.728999999999</v>
      </c>
      <c r="CD78" s="597">
        <f t="shared" si="84"/>
        <v>0</v>
      </c>
      <c r="CE78" s="597">
        <f t="shared" si="85"/>
        <v>10055.728999999999</v>
      </c>
      <c r="CG78" s="373" t="s">
        <v>573</v>
      </c>
      <c r="CH78" s="597">
        <v>46967650</v>
      </c>
      <c r="CI78" s="597">
        <f t="shared" si="86"/>
        <v>46967.65</v>
      </c>
      <c r="CK78" s="371" t="s">
        <v>367</v>
      </c>
      <c r="CL78" s="372">
        <v>10118829</v>
      </c>
      <c r="CM78" s="372">
        <v>10118829</v>
      </c>
      <c r="CN78" s="372">
        <v>10118829</v>
      </c>
      <c r="CO78" s="372">
        <v>0</v>
      </c>
      <c r="CP78" s="597">
        <f t="shared" si="87"/>
        <v>10118.829</v>
      </c>
      <c r="CQ78" s="597">
        <f t="shared" si="88"/>
        <v>10118.829</v>
      </c>
      <c r="CR78" s="597">
        <f t="shared" si="89"/>
        <v>10118.829</v>
      </c>
      <c r="CS78" s="597">
        <f t="shared" si="90"/>
        <v>0</v>
      </c>
      <c r="CU78" s="548"/>
      <c r="CV78" s="371" t="s">
        <v>569</v>
      </c>
      <c r="CW78" s="372">
        <v>264500</v>
      </c>
      <c r="CX78" s="372">
        <f t="shared" si="91"/>
        <v>264.5</v>
      </c>
      <c r="CZ78" s="1059" t="s">
        <v>367</v>
      </c>
      <c r="DA78" s="1060">
        <v>10118829</v>
      </c>
      <c r="DB78" s="1060">
        <v>10118829</v>
      </c>
      <c r="DC78" s="1060">
        <v>10118829</v>
      </c>
      <c r="DD78" s="1060">
        <v>0</v>
      </c>
      <c r="DE78" s="1060">
        <f t="shared" si="92"/>
        <v>10118.829</v>
      </c>
      <c r="DF78" s="1060">
        <f t="shared" si="93"/>
        <v>10118.829</v>
      </c>
      <c r="DG78" s="1060">
        <f t="shared" si="94"/>
        <v>10118.829</v>
      </c>
      <c r="DH78" s="1060">
        <f t="shared" si="95"/>
        <v>0</v>
      </c>
    </row>
    <row r="79" spans="1:112" x14ac:dyDescent="0.25">
      <c r="A79" s="504" t="s">
        <v>368</v>
      </c>
      <c r="B79" s="504">
        <v>4000000</v>
      </c>
      <c r="C79" s="504">
        <v>0</v>
      </c>
      <c r="D79" s="504">
        <v>1572268</v>
      </c>
      <c r="E79" s="504">
        <v>2427732</v>
      </c>
      <c r="F79" s="504">
        <f t="shared" si="57"/>
        <v>4000</v>
      </c>
      <c r="G79" s="504">
        <f t="shared" si="58"/>
        <v>0</v>
      </c>
      <c r="H79" s="504">
        <f t="shared" si="59"/>
        <v>1572.268</v>
      </c>
      <c r="I79" s="504">
        <f t="shared" si="60"/>
        <v>2427.732</v>
      </c>
      <c r="L79" s="371" t="s">
        <v>569</v>
      </c>
      <c r="M79" s="372">
        <v>2244608</v>
      </c>
      <c r="N79" s="372">
        <f t="shared" si="61"/>
        <v>2244.6080000000002</v>
      </c>
      <c r="P79" s="371" t="s">
        <v>554</v>
      </c>
      <c r="Q79" s="372">
        <v>1140984</v>
      </c>
      <c r="R79" s="372">
        <v>750750</v>
      </c>
      <c r="S79" s="372">
        <v>750750</v>
      </c>
      <c r="T79" s="372">
        <v>390234</v>
      </c>
      <c r="U79" s="372">
        <f t="shared" si="62"/>
        <v>1140.9839999999999</v>
      </c>
      <c r="V79" s="505">
        <f t="shared" si="63"/>
        <v>750.75</v>
      </c>
      <c r="W79" s="505">
        <f t="shared" si="64"/>
        <v>750.75</v>
      </c>
      <c r="X79" s="505">
        <f t="shared" si="65"/>
        <v>390.23399999999998</v>
      </c>
      <c r="AA79" s="371" t="s">
        <v>383</v>
      </c>
      <c r="AB79" s="372">
        <v>45627004</v>
      </c>
      <c r="AC79" s="505">
        <f t="shared" si="66"/>
        <v>45627.004000000001</v>
      </c>
      <c r="AE79" s="373" t="s">
        <v>553</v>
      </c>
      <c r="AF79" s="504">
        <v>2083896</v>
      </c>
      <c r="AG79" s="504">
        <v>1843993</v>
      </c>
      <c r="AH79" s="504">
        <v>1843993</v>
      </c>
      <c r="AI79" s="504">
        <v>239903</v>
      </c>
      <c r="AJ79" s="504">
        <f t="shared" si="67"/>
        <v>2083.8960000000002</v>
      </c>
      <c r="AK79" s="504">
        <f t="shared" si="68"/>
        <v>1843.9929999999999</v>
      </c>
      <c r="AL79" s="504">
        <f t="shared" si="69"/>
        <v>1843.9929999999999</v>
      </c>
      <c r="AM79" s="504">
        <f t="shared" si="70"/>
        <v>239.90299999999999</v>
      </c>
      <c r="AP79" s="371" t="s">
        <v>567</v>
      </c>
      <c r="AQ79" s="372">
        <v>4521812</v>
      </c>
      <c r="AR79" s="372">
        <f t="shared" si="71"/>
        <v>4521.8119999999999</v>
      </c>
      <c r="AT79" s="371" t="s">
        <v>553</v>
      </c>
      <c r="AU79" s="372">
        <v>2953286</v>
      </c>
      <c r="AV79" s="372">
        <v>1843993</v>
      </c>
      <c r="AW79" s="372">
        <v>1843993</v>
      </c>
      <c r="AX79" s="372">
        <v>1109293</v>
      </c>
      <c r="AY79" s="504">
        <f t="shared" si="72"/>
        <v>2953.2860000000001</v>
      </c>
      <c r="AZ79" s="504">
        <f t="shared" si="73"/>
        <v>1843.9929999999999</v>
      </c>
      <c r="BA79" s="504">
        <f t="shared" si="74"/>
        <v>1843.9929999999999</v>
      </c>
      <c r="BB79" s="504">
        <f t="shared" si="75"/>
        <v>1109.2929999999999</v>
      </c>
      <c r="BD79" s="782" t="s">
        <v>1003</v>
      </c>
      <c r="BE79" s="644">
        <v>7321463</v>
      </c>
      <c r="BF79" s="650">
        <f t="shared" si="76"/>
        <v>7321.4629999999997</v>
      </c>
      <c r="BH79" s="782" t="s">
        <v>554</v>
      </c>
      <c r="BI79" s="644">
        <v>1154674</v>
      </c>
      <c r="BJ79" s="644">
        <v>764440</v>
      </c>
      <c r="BK79" s="644">
        <v>764440</v>
      </c>
      <c r="BL79" s="644">
        <v>390234</v>
      </c>
      <c r="BM79" s="548">
        <f t="shared" si="77"/>
        <v>1154.674</v>
      </c>
      <c r="BN79" s="548">
        <f t="shared" si="78"/>
        <v>764.44</v>
      </c>
      <c r="BO79" s="548">
        <f t="shared" si="79"/>
        <v>764.44</v>
      </c>
      <c r="BP79" s="650">
        <f t="shared" si="80"/>
        <v>390.23399999999998</v>
      </c>
      <c r="BS79" s="373" t="s">
        <v>562</v>
      </c>
      <c r="BT79" s="597">
        <v>10181267</v>
      </c>
      <c r="BU79" s="597">
        <f t="shared" si="81"/>
        <v>10181.267</v>
      </c>
      <c r="BW79" s="597" t="s">
        <v>552</v>
      </c>
      <c r="BX79" s="597">
        <v>11104128</v>
      </c>
      <c r="BY79" s="597">
        <v>11104128</v>
      </c>
      <c r="BZ79" s="597">
        <v>0</v>
      </c>
      <c r="CA79" s="597">
        <v>7391566</v>
      </c>
      <c r="CB79" s="597">
        <f t="shared" si="82"/>
        <v>11104.128000000001</v>
      </c>
      <c r="CC79" s="597">
        <f t="shared" si="83"/>
        <v>11104.128000000001</v>
      </c>
      <c r="CD79" s="597">
        <f t="shared" si="84"/>
        <v>0</v>
      </c>
      <c r="CE79" s="597">
        <f t="shared" si="85"/>
        <v>7391.5659999999998</v>
      </c>
      <c r="CG79" s="373" t="s">
        <v>395</v>
      </c>
      <c r="CH79" s="597">
        <v>7213296</v>
      </c>
      <c r="CI79" s="597">
        <f t="shared" si="86"/>
        <v>7213.2960000000003</v>
      </c>
      <c r="CK79" s="371" t="s">
        <v>552</v>
      </c>
      <c r="CL79" s="372">
        <v>11211228</v>
      </c>
      <c r="CM79" s="372">
        <v>11104128</v>
      </c>
      <c r="CN79" s="372">
        <v>11211228</v>
      </c>
      <c r="CO79" s="372">
        <v>0</v>
      </c>
      <c r="CP79" s="597">
        <f t="shared" si="87"/>
        <v>11211.227999999999</v>
      </c>
      <c r="CQ79" s="597">
        <f t="shared" si="88"/>
        <v>11104.128000000001</v>
      </c>
      <c r="CR79" s="597">
        <f t="shared" si="89"/>
        <v>11211.227999999999</v>
      </c>
      <c r="CS79" s="597">
        <f t="shared" si="90"/>
        <v>0</v>
      </c>
      <c r="CU79" s="548"/>
      <c r="CV79" s="371" t="s">
        <v>393</v>
      </c>
      <c r="CW79" s="372">
        <v>264500</v>
      </c>
      <c r="CX79" s="372">
        <f t="shared" si="91"/>
        <v>264.5</v>
      </c>
      <c r="CZ79" s="1059" t="s">
        <v>552</v>
      </c>
      <c r="DA79" s="1060">
        <v>11211228</v>
      </c>
      <c r="DB79" s="1060">
        <v>11211228</v>
      </c>
      <c r="DC79" s="1060">
        <v>11211228</v>
      </c>
      <c r="DD79" s="1060">
        <v>0</v>
      </c>
      <c r="DE79" s="1060">
        <f t="shared" si="92"/>
        <v>11211.227999999999</v>
      </c>
      <c r="DF79" s="1060">
        <f t="shared" si="93"/>
        <v>11211.227999999999</v>
      </c>
      <c r="DG79" s="1060">
        <f t="shared" si="94"/>
        <v>11211.227999999999</v>
      </c>
      <c r="DH79" s="1060">
        <f t="shared" si="95"/>
        <v>0</v>
      </c>
    </row>
    <row r="80" spans="1:112" x14ac:dyDescent="0.25">
      <c r="A80" s="504" t="s">
        <v>369</v>
      </c>
      <c r="B80" s="504">
        <v>408800</v>
      </c>
      <c r="C80" s="504">
        <v>408800</v>
      </c>
      <c r="D80" s="504">
        <v>408800</v>
      </c>
      <c r="E80" s="504">
        <v>0</v>
      </c>
      <c r="F80" s="504">
        <f t="shared" si="57"/>
        <v>408.8</v>
      </c>
      <c r="G80" s="504">
        <f t="shared" si="58"/>
        <v>408.8</v>
      </c>
      <c r="H80" s="504">
        <f t="shared" si="59"/>
        <v>408.8</v>
      </c>
      <c r="I80" s="504">
        <f t="shared" si="60"/>
        <v>0</v>
      </c>
      <c r="L80" s="371" t="s">
        <v>393</v>
      </c>
      <c r="M80" s="372">
        <v>844609</v>
      </c>
      <c r="N80" s="372">
        <f t="shared" si="61"/>
        <v>844.60900000000004</v>
      </c>
      <c r="P80" s="371" t="s">
        <v>555</v>
      </c>
      <c r="Q80" s="372">
        <v>2293540</v>
      </c>
      <c r="R80" s="372">
        <v>0</v>
      </c>
      <c r="S80" s="372">
        <v>0</v>
      </c>
      <c r="T80" s="372">
        <v>2293540</v>
      </c>
      <c r="U80" s="372">
        <f t="shared" si="62"/>
        <v>2293.54</v>
      </c>
      <c r="V80" s="505">
        <f t="shared" si="63"/>
        <v>0</v>
      </c>
      <c r="W80" s="505">
        <f t="shared" si="64"/>
        <v>0</v>
      </c>
      <c r="X80" s="505">
        <f t="shared" si="65"/>
        <v>2293.54</v>
      </c>
      <c r="AA80" s="371" t="s">
        <v>384</v>
      </c>
      <c r="AB80" s="372">
        <v>9462748</v>
      </c>
      <c r="AC80" s="505">
        <f t="shared" si="66"/>
        <v>9462.7479999999996</v>
      </c>
      <c r="AE80" s="373" t="s">
        <v>554</v>
      </c>
      <c r="AF80" s="504">
        <v>1154674</v>
      </c>
      <c r="AG80" s="504">
        <v>764440</v>
      </c>
      <c r="AH80" s="504">
        <v>764440</v>
      </c>
      <c r="AI80" s="504">
        <v>390234</v>
      </c>
      <c r="AJ80" s="504">
        <f t="shared" si="67"/>
        <v>1154.674</v>
      </c>
      <c r="AK80" s="504">
        <f t="shared" si="68"/>
        <v>764.44</v>
      </c>
      <c r="AL80" s="504">
        <f t="shared" si="69"/>
        <v>764.44</v>
      </c>
      <c r="AM80" s="504">
        <f t="shared" si="70"/>
        <v>390.23399999999998</v>
      </c>
      <c r="AP80" s="371" t="s">
        <v>388</v>
      </c>
      <c r="AQ80" s="372">
        <v>4511598</v>
      </c>
      <c r="AR80" s="372">
        <f t="shared" si="71"/>
        <v>4511.598</v>
      </c>
      <c r="AT80" s="371" t="s">
        <v>554</v>
      </c>
      <c r="AU80" s="372">
        <v>1154674</v>
      </c>
      <c r="AV80" s="372">
        <v>764440</v>
      </c>
      <c r="AW80" s="372">
        <v>764440</v>
      </c>
      <c r="AX80" s="372">
        <v>390234</v>
      </c>
      <c r="AY80" s="504">
        <f t="shared" si="72"/>
        <v>1154.674</v>
      </c>
      <c r="AZ80" s="504">
        <f t="shared" si="73"/>
        <v>764.44</v>
      </c>
      <c r="BA80" s="504">
        <f t="shared" si="74"/>
        <v>764.44</v>
      </c>
      <c r="BB80" s="504">
        <f t="shared" si="75"/>
        <v>390.23399999999998</v>
      </c>
      <c r="BD80" s="782" t="s">
        <v>1004</v>
      </c>
      <c r="BE80" s="644">
        <v>7321463</v>
      </c>
      <c r="BF80" s="650">
        <f t="shared" si="76"/>
        <v>7321.4629999999997</v>
      </c>
      <c r="BH80" s="782" t="s">
        <v>555</v>
      </c>
      <c r="BI80" s="644">
        <v>1424150</v>
      </c>
      <c r="BJ80" s="644">
        <v>0</v>
      </c>
      <c r="BK80" s="644">
        <v>0</v>
      </c>
      <c r="BL80" s="644">
        <v>1424150</v>
      </c>
      <c r="BM80" s="548">
        <f t="shared" si="77"/>
        <v>1424.15</v>
      </c>
      <c r="BN80" s="548">
        <f t="shared" si="78"/>
        <v>0</v>
      </c>
      <c r="BO80" s="548">
        <f t="shared" si="79"/>
        <v>0</v>
      </c>
      <c r="BP80" s="650">
        <f t="shared" si="80"/>
        <v>1424.15</v>
      </c>
      <c r="BS80" s="373" t="s">
        <v>563</v>
      </c>
      <c r="BT80" s="597">
        <v>7563167</v>
      </c>
      <c r="BU80" s="597">
        <f t="shared" si="81"/>
        <v>7563.1670000000004</v>
      </c>
      <c r="BW80" s="597" t="s">
        <v>553</v>
      </c>
      <c r="BX80" s="597">
        <v>2537856</v>
      </c>
      <c r="BY80" s="597">
        <v>2537856</v>
      </c>
      <c r="BZ80" s="597">
        <v>0</v>
      </c>
      <c r="CA80" s="597">
        <v>2310473</v>
      </c>
      <c r="CB80" s="597">
        <f t="shared" si="82"/>
        <v>2537.8560000000002</v>
      </c>
      <c r="CC80" s="597">
        <f t="shared" si="83"/>
        <v>2537.8560000000002</v>
      </c>
      <c r="CD80" s="597">
        <f t="shared" si="84"/>
        <v>0</v>
      </c>
      <c r="CE80" s="597">
        <f t="shared" si="85"/>
        <v>2310.473</v>
      </c>
      <c r="CG80" s="373" t="s">
        <v>1003</v>
      </c>
      <c r="CH80" s="597">
        <v>7213296</v>
      </c>
      <c r="CI80" s="597">
        <f t="shared" si="86"/>
        <v>7213.2960000000003</v>
      </c>
      <c r="CK80" s="371" t="s">
        <v>553</v>
      </c>
      <c r="CL80" s="372">
        <v>2537856</v>
      </c>
      <c r="CM80" s="372">
        <v>2310473</v>
      </c>
      <c r="CN80" s="372">
        <v>2537856</v>
      </c>
      <c r="CO80" s="372">
        <v>0</v>
      </c>
      <c r="CP80" s="597">
        <f t="shared" si="87"/>
        <v>2537.8560000000002</v>
      </c>
      <c r="CQ80" s="597">
        <f t="shared" si="88"/>
        <v>2310.473</v>
      </c>
      <c r="CR80" s="597">
        <f t="shared" si="89"/>
        <v>2537.8560000000002</v>
      </c>
      <c r="CS80" s="597">
        <f t="shared" si="90"/>
        <v>0</v>
      </c>
      <c r="CU80" s="548"/>
      <c r="CV80" s="371" t="s">
        <v>571</v>
      </c>
      <c r="CW80" s="372">
        <v>54460289</v>
      </c>
      <c r="CX80" s="372">
        <f t="shared" si="91"/>
        <v>54460.288999999997</v>
      </c>
      <c r="CZ80" s="1059" t="s">
        <v>553</v>
      </c>
      <c r="DA80" s="1060">
        <v>2537856</v>
      </c>
      <c r="DB80" s="1060">
        <v>2310473</v>
      </c>
      <c r="DC80" s="1060">
        <v>2537856</v>
      </c>
      <c r="DD80" s="1060">
        <v>0</v>
      </c>
      <c r="DE80" s="1060">
        <f t="shared" si="92"/>
        <v>2537.8560000000002</v>
      </c>
      <c r="DF80" s="1060">
        <f t="shared" si="93"/>
        <v>2310.473</v>
      </c>
      <c r="DG80" s="1060">
        <f t="shared" si="94"/>
        <v>2537.8560000000002</v>
      </c>
      <c r="DH80" s="1060">
        <f t="shared" si="95"/>
        <v>0</v>
      </c>
    </row>
    <row r="81" spans="1:112" x14ac:dyDescent="0.25">
      <c r="A81" s="504" t="s">
        <v>370</v>
      </c>
      <c r="B81" s="504">
        <v>109888418</v>
      </c>
      <c r="C81" s="504">
        <v>3292119</v>
      </c>
      <c r="D81" s="504">
        <v>91628771</v>
      </c>
      <c r="E81" s="504">
        <v>18259647</v>
      </c>
      <c r="F81" s="504">
        <f t="shared" si="57"/>
        <v>109888.41800000001</v>
      </c>
      <c r="G81" s="504">
        <f t="shared" si="58"/>
        <v>3292.1190000000001</v>
      </c>
      <c r="H81" s="504">
        <f t="shared" si="59"/>
        <v>91628.770999999993</v>
      </c>
      <c r="I81" s="504">
        <f t="shared" si="60"/>
        <v>18259.647000000001</v>
      </c>
      <c r="L81" s="371" t="s">
        <v>394</v>
      </c>
      <c r="M81" s="372">
        <v>1399999</v>
      </c>
      <c r="N81" s="372">
        <f t="shared" si="61"/>
        <v>1399.999</v>
      </c>
      <c r="P81" s="371" t="s">
        <v>368</v>
      </c>
      <c r="Q81" s="372">
        <v>4000000</v>
      </c>
      <c r="R81" s="372">
        <v>151622</v>
      </c>
      <c r="S81" s="372">
        <v>1572268</v>
      </c>
      <c r="T81" s="372">
        <v>2427732</v>
      </c>
      <c r="U81" s="372">
        <f t="shared" si="62"/>
        <v>4000</v>
      </c>
      <c r="V81" s="505">
        <f t="shared" si="63"/>
        <v>151.62200000000001</v>
      </c>
      <c r="W81" s="505">
        <f t="shared" si="64"/>
        <v>1572.268</v>
      </c>
      <c r="X81" s="505">
        <f t="shared" si="65"/>
        <v>2427.732</v>
      </c>
      <c r="AA81" s="371" t="s">
        <v>468</v>
      </c>
      <c r="AB81" s="372">
        <v>972055</v>
      </c>
      <c r="AC81" s="505">
        <f t="shared" si="66"/>
        <v>972.05499999999995</v>
      </c>
      <c r="AE81" s="373" t="s">
        <v>555</v>
      </c>
      <c r="AF81" s="504">
        <v>2293540</v>
      </c>
      <c r="AG81" s="504">
        <v>0</v>
      </c>
      <c r="AH81" s="504">
        <v>0</v>
      </c>
      <c r="AI81" s="504">
        <v>2293540</v>
      </c>
      <c r="AJ81" s="504">
        <f t="shared" si="67"/>
        <v>2293.54</v>
      </c>
      <c r="AK81" s="504">
        <f t="shared" si="68"/>
        <v>0</v>
      </c>
      <c r="AL81" s="504">
        <f t="shared" si="69"/>
        <v>0</v>
      </c>
      <c r="AM81" s="504">
        <f t="shared" si="70"/>
        <v>2293.54</v>
      </c>
      <c r="AP81" s="371" t="s">
        <v>478</v>
      </c>
      <c r="AQ81" s="372">
        <v>10214</v>
      </c>
      <c r="AR81" s="372">
        <f t="shared" si="71"/>
        <v>10.214</v>
      </c>
      <c r="AT81" s="371" t="s">
        <v>555</v>
      </c>
      <c r="AU81" s="372">
        <v>1424150</v>
      </c>
      <c r="AV81" s="372">
        <v>0</v>
      </c>
      <c r="AW81" s="372">
        <v>0</v>
      </c>
      <c r="AX81" s="372">
        <v>1424150</v>
      </c>
      <c r="AY81" s="504">
        <f t="shared" si="72"/>
        <v>1424.15</v>
      </c>
      <c r="AZ81" s="504">
        <f t="shared" si="73"/>
        <v>0</v>
      </c>
      <c r="BA81" s="504">
        <f t="shared" si="74"/>
        <v>0</v>
      </c>
      <c r="BB81" s="504">
        <f t="shared" si="75"/>
        <v>1424.15</v>
      </c>
      <c r="BD81" s="782" t="s">
        <v>594</v>
      </c>
      <c r="BE81" s="644">
        <v>22563654</v>
      </c>
      <c r="BF81" s="650">
        <f t="shared" si="76"/>
        <v>22563.653999999999</v>
      </c>
      <c r="BH81" s="782" t="s">
        <v>368</v>
      </c>
      <c r="BI81" s="644">
        <v>6020716</v>
      </c>
      <c r="BJ81" s="644">
        <v>2892751</v>
      </c>
      <c r="BK81" s="644">
        <v>6015092</v>
      </c>
      <c r="BL81" s="644">
        <v>5624</v>
      </c>
      <c r="BM81" s="548">
        <f t="shared" si="77"/>
        <v>6020.7160000000003</v>
      </c>
      <c r="BN81" s="548">
        <f t="shared" si="78"/>
        <v>2892.7510000000002</v>
      </c>
      <c r="BO81" s="548">
        <f t="shared" si="79"/>
        <v>6015.0919999999996</v>
      </c>
      <c r="BP81" s="650">
        <f t="shared" si="80"/>
        <v>5.6239999999999997</v>
      </c>
      <c r="BS81" s="373" t="s">
        <v>385</v>
      </c>
      <c r="BT81" s="597">
        <v>37551415</v>
      </c>
      <c r="BU81" s="597">
        <f t="shared" si="81"/>
        <v>37551.415000000001</v>
      </c>
      <c r="BW81" s="597" t="s">
        <v>554</v>
      </c>
      <c r="BX81" s="597">
        <v>966773</v>
      </c>
      <c r="BY81" s="597">
        <v>871540</v>
      </c>
      <c r="BZ81" s="597">
        <v>95233</v>
      </c>
      <c r="CA81" s="597">
        <v>871540</v>
      </c>
      <c r="CB81" s="597">
        <f t="shared" si="82"/>
        <v>966.77300000000002</v>
      </c>
      <c r="CC81" s="597">
        <f t="shared" si="83"/>
        <v>871.54</v>
      </c>
      <c r="CD81" s="597">
        <f t="shared" si="84"/>
        <v>95.233000000000004</v>
      </c>
      <c r="CE81" s="597">
        <f t="shared" si="85"/>
        <v>871.54</v>
      </c>
      <c r="CG81" s="373" t="s">
        <v>1004</v>
      </c>
      <c r="CH81" s="597">
        <v>7213296</v>
      </c>
      <c r="CI81" s="597">
        <f t="shared" si="86"/>
        <v>7213.2960000000003</v>
      </c>
      <c r="CK81" s="371" t="s">
        <v>554</v>
      </c>
      <c r="CL81" s="372">
        <v>1780762</v>
      </c>
      <c r="CM81" s="372">
        <v>996490</v>
      </c>
      <c r="CN81" s="372">
        <v>1242702</v>
      </c>
      <c r="CO81" s="372">
        <v>538060</v>
      </c>
      <c r="CP81" s="597">
        <f t="shared" si="87"/>
        <v>1780.7619999999999</v>
      </c>
      <c r="CQ81" s="597">
        <f t="shared" si="88"/>
        <v>996.49</v>
      </c>
      <c r="CR81" s="597">
        <f t="shared" si="89"/>
        <v>1242.702</v>
      </c>
      <c r="CS81" s="597">
        <f t="shared" si="90"/>
        <v>538.05999999999995</v>
      </c>
      <c r="CU81" s="548"/>
      <c r="CV81" s="371" t="s">
        <v>1111</v>
      </c>
      <c r="CW81" s="372">
        <v>614340</v>
      </c>
      <c r="CX81" s="372">
        <f t="shared" si="91"/>
        <v>614.34</v>
      </c>
      <c r="CZ81" s="1059" t="s">
        <v>554</v>
      </c>
      <c r="DA81" s="1060">
        <v>1980682</v>
      </c>
      <c r="DB81" s="1060">
        <v>1242702</v>
      </c>
      <c r="DC81" s="1060">
        <v>1442622</v>
      </c>
      <c r="DD81" s="1060">
        <v>538060</v>
      </c>
      <c r="DE81" s="1060">
        <f t="shared" si="92"/>
        <v>1980.682</v>
      </c>
      <c r="DF81" s="1060">
        <f t="shared" si="93"/>
        <v>1242.702</v>
      </c>
      <c r="DG81" s="1060">
        <f t="shared" si="94"/>
        <v>1442.6220000000001</v>
      </c>
      <c r="DH81" s="1060">
        <f t="shared" si="95"/>
        <v>538.05999999999995</v>
      </c>
    </row>
    <row r="82" spans="1:112" x14ac:dyDescent="0.25">
      <c r="A82" s="504" t="s">
        <v>371</v>
      </c>
      <c r="B82" s="504">
        <v>19300000</v>
      </c>
      <c r="C82" s="504">
        <v>1158889</v>
      </c>
      <c r="D82" s="504">
        <v>19300000</v>
      </c>
      <c r="E82" s="504">
        <v>0</v>
      </c>
      <c r="F82" s="504">
        <f t="shared" si="57"/>
        <v>19300</v>
      </c>
      <c r="G82" s="504">
        <f t="shared" si="58"/>
        <v>1158.8889999999999</v>
      </c>
      <c r="H82" s="504">
        <f t="shared" si="59"/>
        <v>19300</v>
      </c>
      <c r="I82" s="504">
        <f t="shared" si="60"/>
        <v>0</v>
      </c>
      <c r="L82" s="371" t="s">
        <v>395</v>
      </c>
      <c r="M82" s="372">
        <v>7213296</v>
      </c>
      <c r="N82" s="372">
        <f t="shared" si="61"/>
        <v>7213.2960000000003</v>
      </c>
      <c r="P82" s="371" t="s">
        <v>369</v>
      </c>
      <c r="Q82" s="372">
        <v>474250</v>
      </c>
      <c r="R82" s="372">
        <v>474250</v>
      </c>
      <c r="S82" s="372">
        <v>474250</v>
      </c>
      <c r="T82" s="372">
        <v>0</v>
      </c>
      <c r="U82" s="372">
        <f t="shared" si="62"/>
        <v>474.25</v>
      </c>
      <c r="V82" s="505">
        <f t="shared" si="63"/>
        <v>474.25</v>
      </c>
      <c r="W82" s="505">
        <f t="shared" si="64"/>
        <v>474.25</v>
      </c>
      <c r="X82" s="505">
        <f t="shared" si="65"/>
        <v>0</v>
      </c>
      <c r="AA82" s="371" t="s">
        <v>562</v>
      </c>
      <c r="AB82" s="372">
        <v>28364576</v>
      </c>
      <c r="AC82" s="505">
        <f t="shared" si="66"/>
        <v>28364.576000000001</v>
      </c>
      <c r="AE82" s="373" t="s">
        <v>368</v>
      </c>
      <c r="AF82" s="504">
        <v>4000000</v>
      </c>
      <c r="AG82" s="504">
        <v>151622</v>
      </c>
      <c r="AH82" s="504">
        <v>2533193</v>
      </c>
      <c r="AI82" s="504">
        <v>1466807</v>
      </c>
      <c r="AJ82" s="504">
        <f t="shared" si="67"/>
        <v>4000</v>
      </c>
      <c r="AK82" s="504">
        <f t="shared" si="68"/>
        <v>151.62200000000001</v>
      </c>
      <c r="AL82" s="504">
        <f t="shared" si="69"/>
        <v>2533.1930000000002</v>
      </c>
      <c r="AM82" s="504">
        <f t="shared" si="70"/>
        <v>1466.807</v>
      </c>
      <c r="AP82" s="371" t="s">
        <v>568</v>
      </c>
      <c r="AQ82" s="372">
        <v>136640929</v>
      </c>
      <c r="AR82" s="372">
        <f t="shared" si="71"/>
        <v>136640.929</v>
      </c>
      <c r="AT82" s="371" t="s">
        <v>368</v>
      </c>
      <c r="AU82" s="372">
        <v>4792739</v>
      </c>
      <c r="AV82" s="372">
        <v>511178</v>
      </c>
      <c r="AW82" s="372">
        <v>2892749</v>
      </c>
      <c r="AX82" s="372">
        <v>1899990</v>
      </c>
      <c r="AY82" s="504">
        <f t="shared" si="72"/>
        <v>4792.7389999999996</v>
      </c>
      <c r="AZ82" s="504">
        <f t="shared" si="73"/>
        <v>511.178</v>
      </c>
      <c r="BA82" s="504">
        <f t="shared" si="74"/>
        <v>2892.7489999999998</v>
      </c>
      <c r="BB82" s="504">
        <f t="shared" si="75"/>
        <v>1899.99</v>
      </c>
      <c r="BD82" s="782" t="s">
        <v>595</v>
      </c>
      <c r="BE82" s="644">
        <v>22563654</v>
      </c>
      <c r="BF82" s="650">
        <f t="shared" si="76"/>
        <v>22563.653999999999</v>
      </c>
      <c r="BH82" s="782" t="s">
        <v>369</v>
      </c>
      <c r="BI82" s="644">
        <v>962126</v>
      </c>
      <c r="BJ82" s="644">
        <v>878850</v>
      </c>
      <c r="BK82" s="644">
        <v>962126</v>
      </c>
      <c r="BL82" s="644">
        <v>0</v>
      </c>
      <c r="BM82" s="548">
        <f t="shared" si="77"/>
        <v>962.12599999999998</v>
      </c>
      <c r="BN82" s="548">
        <f t="shared" si="78"/>
        <v>878.85</v>
      </c>
      <c r="BO82" s="548">
        <f t="shared" si="79"/>
        <v>962.12599999999998</v>
      </c>
      <c r="BP82" s="650">
        <f t="shared" si="80"/>
        <v>0</v>
      </c>
      <c r="BS82" s="373" t="s">
        <v>386</v>
      </c>
      <c r="BT82" s="597">
        <v>116089960</v>
      </c>
      <c r="BU82" s="597">
        <f t="shared" si="81"/>
        <v>116089.96</v>
      </c>
      <c r="BW82" s="597" t="s">
        <v>555</v>
      </c>
      <c r="BX82" s="597">
        <v>0</v>
      </c>
      <c r="BY82" s="597">
        <v>0</v>
      </c>
      <c r="BZ82" s="597">
        <v>0</v>
      </c>
      <c r="CA82" s="597">
        <v>0</v>
      </c>
      <c r="CB82" s="597">
        <f t="shared" si="82"/>
        <v>0</v>
      </c>
      <c r="CC82" s="597">
        <f t="shared" si="83"/>
        <v>0</v>
      </c>
      <c r="CD82" s="597">
        <f t="shared" si="84"/>
        <v>0</v>
      </c>
      <c r="CE82" s="597">
        <f t="shared" si="85"/>
        <v>0</v>
      </c>
      <c r="CG82" s="373" t="s">
        <v>594</v>
      </c>
      <c r="CH82" s="597">
        <v>51219327</v>
      </c>
      <c r="CI82" s="597">
        <f t="shared" si="86"/>
        <v>51219.326999999997</v>
      </c>
      <c r="CK82" s="371" t="s">
        <v>555</v>
      </c>
      <c r="CL82" s="372">
        <v>0</v>
      </c>
      <c r="CM82" s="372">
        <v>0</v>
      </c>
      <c r="CN82" s="372">
        <v>0</v>
      </c>
      <c r="CO82" s="372">
        <v>0</v>
      </c>
      <c r="CP82" s="597">
        <f t="shared" si="87"/>
        <v>0</v>
      </c>
      <c r="CQ82" s="597">
        <f t="shared" si="88"/>
        <v>0</v>
      </c>
      <c r="CR82" s="597">
        <f t="shared" si="89"/>
        <v>0</v>
      </c>
      <c r="CS82" s="597">
        <f t="shared" si="90"/>
        <v>0</v>
      </c>
      <c r="CU82" s="548"/>
      <c r="CV82" s="371" t="s">
        <v>1112</v>
      </c>
      <c r="CW82" s="372">
        <v>614340</v>
      </c>
      <c r="CX82" s="372">
        <f t="shared" si="91"/>
        <v>614.34</v>
      </c>
      <c r="CZ82" s="1059" t="s">
        <v>555</v>
      </c>
      <c r="DA82" s="1060">
        <v>136688</v>
      </c>
      <c r="DB82" s="1060">
        <v>136688</v>
      </c>
      <c r="DC82" s="1060">
        <v>136688</v>
      </c>
      <c r="DD82" s="1060">
        <v>0</v>
      </c>
      <c r="DE82" s="1060">
        <f t="shared" si="92"/>
        <v>136.68799999999999</v>
      </c>
      <c r="DF82" s="1060">
        <f t="shared" si="93"/>
        <v>136.68799999999999</v>
      </c>
      <c r="DG82" s="1060">
        <f t="shared" si="94"/>
        <v>136.68799999999999</v>
      </c>
      <c r="DH82" s="1060">
        <f t="shared" si="95"/>
        <v>0</v>
      </c>
    </row>
    <row r="83" spans="1:112" x14ac:dyDescent="0.25">
      <c r="A83" s="504" t="s">
        <v>372</v>
      </c>
      <c r="B83" s="504">
        <v>16650000</v>
      </c>
      <c r="C83" s="504">
        <v>658863</v>
      </c>
      <c r="D83" s="504">
        <v>15335354</v>
      </c>
      <c r="E83" s="504">
        <v>1314646</v>
      </c>
      <c r="F83" s="504">
        <f t="shared" si="57"/>
        <v>16650</v>
      </c>
      <c r="G83" s="504">
        <f t="shared" si="58"/>
        <v>658.86300000000006</v>
      </c>
      <c r="H83" s="504">
        <f t="shared" si="59"/>
        <v>15335.353999999999</v>
      </c>
      <c r="I83" s="504">
        <f t="shared" si="60"/>
        <v>1314.646</v>
      </c>
      <c r="L83" s="371" t="s">
        <v>1003</v>
      </c>
      <c r="M83" s="372">
        <v>7213296</v>
      </c>
      <c r="N83" s="372">
        <f t="shared" si="61"/>
        <v>7213.2960000000003</v>
      </c>
      <c r="P83" s="371" t="s">
        <v>370</v>
      </c>
      <c r="Q83" s="372">
        <v>169842539</v>
      </c>
      <c r="R83" s="372">
        <v>37741698</v>
      </c>
      <c r="S83" s="372">
        <v>151745487</v>
      </c>
      <c r="T83" s="372">
        <v>18097052</v>
      </c>
      <c r="U83" s="372">
        <f t="shared" si="62"/>
        <v>169842.53899999999</v>
      </c>
      <c r="V83" s="505">
        <f t="shared" si="63"/>
        <v>37741.697999999997</v>
      </c>
      <c r="W83" s="505">
        <f t="shared" si="64"/>
        <v>151745.48699999999</v>
      </c>
      <c r="X83" s="505">
        <f t="shared" si="65"/>
        <v>18097.052</v>
      </c>
      <c r="AA83" s="371" t="s">
        <v>563</v>
      </c>
      <c r="AB83" s="372">
        <v>3791159</v>
      </c>
      <c r="AC83" s="505">
        <f t="shared" si="66"/>
        <v>3791.1590000000001</v>
      </c>
      <c r="AE83" s="373" t="s">
        <v>369</v>
      </c>
      <c r="AF83" s="504">
        <v>474250</v>
      </c>
      <c r="AG83" s="504">
        <v>474250</v>
      </c>
      <c r="AH83" s="504">
        <v>474250</v>
      </c>
      <c r="AI83" s="504">
        <v>0</v>
      </c>
      <c r="AJ83" s="504">
        <f t="shared" si="67"/>
        <v>474.25</v>
      </c>
      <c r="AK83" s="504">
        <f t="shared" si="68"/>
        <v>474.25</v>
      </c>
      <c r="AL83" s="504">
        <f t="shared" si="69"/>
        <v>474.25</v>
      </c>
      <c r="AM83" s="504">
        <f t="shared" si="70"/>
        <v>0</v>
      </c>
      <c r="AP83" s="371" t="s">
        <v>389</v>
      </c>
      <c r="AQ83" s="372">
        <v>123001500</v>
      </c>
      <c r="AR83" s="372">
        <f t="shared" si="71"/>
        <v>123001.5</v>
      </c>
      <c r="AT83" s="371" t="s">
        <v>369</v>
      </c>
      <c r="AU83" s="372">
        <v>878850</v>
      </c>
      <c r="AV83" s="372">
        <v>474250</v>
      </c>
      <c r="AW83" s="372">
        <v>878850</v>
      </c>
      <c r="AX83" s="372">
        <v>0</v>
      </c>
      <c r="AY83" s="504">
        <f t="shared" si="72"/>
        <v>878.85</v>
      </c>
      <c r="AZ83" s="504">
        <f t="shared" si="73"/>
        <v>474.25</v>
      </c>
      <c r="BA83" s="504">
        <f t="shared" si="74"/>
        <v>878.85</v>
      </c>
      <c r="BB83" s="504">
        <f t="shared" si="75"/>
        <v>0</v>
      </c>
      <c r="BD83" s="783" t="s">
        <v>844</v>
      </c>
      <c r="BE83" s="645">
        <v>22563654</v>
      </c>
      <c r="BF83" s="652">
        <f t="shared" si="76"/>
        <v>22563.653999999999</v>
      </c>
      <c r="BH83" s="782" t="s">
        <v>370</v>
      </c>
      <c r="BI83" s="644">
        <v>206102539</v>
      </c>
      <c r="BJ83" s="644">
        <v>88628086</v>
      </c>
      <c r="BK83" s="644">
        <v>153107287</v>
      </c>
      <c r="BL83" s="644">
        <v>52995252</v>
      </c>
      <c r="BM83" s="548">
        <f t="shared" si="77"/>
        <v>206102.53899999999</v>
      </c>
      <c r="BN83" s="548">
        <f t="shared" si="78"/>
        <v>88628.085999999996</v>
      </c>
      <c r="BO83" s="548">
        <f t="shared" si="79"/>
        <v>153107.28700000001</v>
      </c>
      <c r="BP83" s="650">
        <f t="shared" si="80"/>
        <v>52995.252</v>
      </c>
      <c r="BS83" s="373" t="s">
        <v>387</v>
      </c>
      <c r="BT83" s="597">
        <v>101331538</v>
      </c>
      <c r="BU83" s="597">
        <f t="shared" si="81"/>
        <v>101331.538</v>
      </c>
      <c r="BW83" s="597" t="s">
        <v>368</v>
      </c>
      <c r="BX83" s="597">
        <v>6199233</v>
      </c>
      <c r="BY83" s="597">
        <v>5953008</v>
      </c>
      <c r="BZ83" s="597">
        <v>246225</v>
      </c>
      <c r="CA83" s="597">
        <v>4833218</v>
      </c>
      <c r="CB83" s="597">
        <f t="shared" si="82"/>
        <v>6199.2330000000002</v>
      </c>
      <c r="CC83" s="597">
        <f t="shared" si="83"/>
        <v>5953.0079999999998</v>
      </c>
      <c r="CD83" s="597">
        <f t="shared" si="84"/>
        <v>246.22499999999999</v>
      </c>
      <c r="CE83" s="597">
        <f t="shared" si="85"/>
        <v>4833.2179999999998</v>
      </c>
      <c r="CG83" s="373" t="s">
        <v>595</v>
      </c>
      <c r="CH83" s="597">
        <v>51219327</v>
      </c>
      <c r="CI83" s="597">
        <f t="shared" si="86"/>
        <v>51219.326999999997</v>
      </c>
      <c r="CK83" s="371" t="s">
        <v>368</v>
      </c>
      <c r="CL83" s="372">
        <v>6199233</v>
      </c>
      <c r="CM83" s="372">
        <v>4971258</v>
      </c>
      <c r="CN83" s="372">
        <v>5953008</v>
      </c>
      <c r="CO83" s="372">
        <v>246225</v>
      </c>
      <c r="CP83" s="597">
        <f t="shared" si="87"/>
        <v>6199.2330000000002</v>
      </c>
      <c r="CQ83" s="597">
        <f t="shared" si="88"/>
        <v>4971.2579999999998</v>
      </c>
      <c r="CR83" s="597">
        <f t="shared" si="89"/>
        <v>5953.0079999999998</v>
      </c>
      <c r="CS83" s="597">
        <f t="shared" si="90"/>
        <v>246.22499999999999</v>
      </c>
      <c r="CU83" s="548"/>
      <c r="CV83" s="371" t="s">
        <v>572</v>
      </c>
      <c r="CW83" s="372">
        <v>53845949</v>
      </c>
      <c r="CX83" s="372">
        <f t="shared" si="91"/>
        <v>53845.949000000001</v>
      </c>
      <c r="CZ83" s="1059" t="s">
        <v>368</v>
      </c>
      <c r="DA83" s="1060">
        <v>13578239</v>
      </c>
      <c r="DB83" s="1060">
        <v>4971258</v>
      </c>
      <c r="DC83" s="1060">
        <v>13026398</v>
      </c>
      <c r="DD83" s="1060">
        <v>551841</v>
      </c>
      <c r="DE83" s="1060">
        <f t="shared" si="92"/>
        <v>13578.239</v>
      </c>
      <c r="DF83" s="1060">
        <f t="shared" si="93"/>
        <v>4971.2579999999998</v>
      </c>
      <c r="DG83" s="1060">
        <f t="shared" si="94"/>
        <v>13026.397999999999</v>
      </c>
      <c r="DH83" s="1060">
        <f t="shared" si="95"/>
        <v>551.84100000000001</v>
      </c>
    </row>
    <row r="84" spans="1:112" x14ac:dyDescent="0.25">
      <c r="A84" s="504" t="s">
        <v>373</v>
      </c>
      <c r="B84" s="504">
        <v>2500000</v>
      </c>
      <c r="C84" s="504">
        <v>80950</v>
      </c>
      <c r="D84" s="504">
        <v>1800000</v>
      </c>
      <c r="E84" s="504">
        <v>700000</v>
      </c>
      <c r="F84" s="504">
        <f t="shared" si="57"/>
        <v>2500</v>
      </c>
      <c r="G84" s="504">
        <f t="shared" si="58"/>
        <v>80.95</v>
      </c>
      <c r="H84" s="504">
        <f t="shared" si="59"/>
        <v>1800</v>
      </c>
      <c r="I84" s="504">
        <f t="shared" si="60"/>
        <v>700</v>
      </c>
      <c r="L84" s="371" t="s">
        <v>1004</v>
      </c>
      <c r="M84" s="372">
        <v>7213296</v>
      </c>
      <c r="N84" s="372">
        <f t="shared" si="61"/>
        <v>7213.2960000000003</v>
      </c>
      <c r="P84" s="371" t="s">
        <v>371</v>
      </c>
      <c r="Q84" s="372">
        <v>19300000</v>
      </c>
      <c r="R84" s="372">
        <v>2338693</v>
      </c>
      <c r="S84" s="372">
        <v>19300000</v>
      </c>
      <c r="T84" s="372">
        <v>0</v>
      </c>
      <c r="U84" s="372">
        <f t="shared" si="62"/>
        <v>19300</v>
      </c>
      <c r="V84" s="505">
        <f t="shared" si="63"/>
        <v>2338.6930000000002</v>
      </c>
      <c r="W84" s="505">
        <f t="shared" si="64"/>
        <v>19300</v>
      </c>
      <c r="X84" s="505">
        <f t="shared" si="65"/>
        <v>0</v>
      </c>
      <c r="AA84" s="371" t="s">
        <v>564</v>
      </c>
      <c r="AB84" s="372">
        <v>1185216</v>
      </c>
      <c r="AC84" s="505">
        <f t="shared" si="66"/>
        <v>1185.2159999999999</v>
      </c>
      <c r="AE84" s="373" t="s">
        <v>370</v>
      </c>
      <c r="AF84" s="504">
        <v>169852539</v>
      </c>
      <c r="AG84" s="504">
        <v>43560535</v>
      </c>
      <c r="AH84" s="504">
        <v>153107287</v>
      </c>
      <c r="AI84" s="504">
        <v>16745252</v>
      </c>
      <c r="AJ84" s="504">
        <f t="shared" si="67"/>
        <v>169852.53899999999</v>
      </c>
      <c r="AK84" s="504">
        <f t="shared" si="68"/>
        <v>43560.535000000003</v>
      </c>
      <c r="AL84" s="504">
        <f t="shared" si="69"/>
        <v>153107.28700000001</v>
      </c>
      <c r="AM84" s="504">
        <f t="shared" si="70"/>
        <v>16745.252</v>
      </c>
      <c r="AP84" s="371" t="s">
        <v>391</v>
      </c>
      <c r="AQ84" s="372">
        <v>13639429</v>
      </c>
      <c r="AR84" s="372">
        <f t="shared" si="71"/>
        <v>13639.429</v>
      </c>
      <c r="AT84" s="371" t="s">
        <v>370</v>
      </c>
      <c r="AU84" s="372">
        <v>206102539</v>
      </c>
      <c r="AV84" s="372">
        <v>60822047</v>
      </c>
      <c r="AW84" s="372">
        <v>153107287</v>
      </c>
      <c r="AX84" s="372">
        <v>52995252</v>
      </c>
      <c r="AY84" s="504">
        <f t="shared" si="72"/>
        <v>206102.53899999999</v>
      </c>
      <c r="AZ84" s="504">
        <f t="shared" si="73"/>
        <v>60822.046999999999</v>
      </c>
      <c r="BA84" s="504">
        <f t="shared" si="74"/>
        <v>153107.28700000001</v>
      </c>
      <c r="BB84" s="504">
        <f t="shared" si="75"/>
        <v>52995.252</v>
      </c>
      <c r="BD84" s="646"/>
      <c r="BE84" s="647"/>
      <c r="BF84" s="648">
        <f>SUM(BF3:BF83)</f>
        <v>6091272.7010000022</v>
      </c>
      <c r="BH84" s="782" t="s">
        <v>371</v>
      </c>
      <c r="BI84" s="644">
        <v>19300000</v>
      </c>
      <c r="BJ84" s="644">
        <v>7025705</v>
      </c>
      <c r="BK84" s="644">
        <v>19300000</v>
      </c>
      <c r="BL84" s="644">
        <v>0</v>
      </c>
      <c r="BM84" s="548">
        <f t="shared" si="77"/>
        <v>19300</v>
      </c>
      <c r="BN84" s="548">
        <f t="shared" si="78"/>
        <v>7025.7049999999999</v>
      </c>
      <c r="BO84" s="548">
        <f t="shared" si="79"/>
        <v>19300</v>
      </c>
      <c r="BP84" s="650">
        <f t="shared" si="80"/>
        <v>0</v>
      </c>
      <c r="BS84" s="373" t="s">
        <v>565</v>
      </c>
      <c r="BT84" s="597">
        <v>2063585</v>
      </c>
      <c r="BU84" s="597">
        <f t="shared" si="81"/>
        <v>2063.585</v>
      </c>
      <c r="BW84" s="597" t="s">
        <v>369</v>
      </c>
      <c r="BX84" s="597">
        <v>1217896</v>
      </c>
      <c r="BY84" s="597">
        <v>1217896</v>
      </c>
      <c r="BZ84" s="597">
        <v>0</v>
      </c>
      <c r="CA84" s="597">
        <v>962126</v>
      </c>
      <c r="CB84" s="597">
        <f t="shared" si="82"/>
        <v>1217.896</v>
      </c>
      <c r="CC84" s="597">
        <f t="shared" si="83"/>
        <v>1217.896</v>
      </c>
      <c r="CD84" s="597">
        <f t="shared" si="84"/>
        <v>0</v>
      </c>
      <c r="CE84" s="597">
        <f t="shared" si="85"/>
        <v>962.12599999999998</v>
      </c>
      <c r="CG84" s="373" t="s">
        <v>844</v>
      </c>
      <c r="CH84" s="597">
        <v>51219327</v>
      </c>
      <c r="CI84" s="597">
        <f t="shared" si="86"/>
        <v>51219.326999999997</v>
      </c>
      <c r="CK84" s="371" t="s">
        <v>369</v>
      </c>
      <c r="CL84" s="372">
        <v>1668906</v>
      </c>
      <c r="CM84" s="372">
        <v>1546416</v>
      </c>
      <c r="CN84" s="372">
        <v>1643916</v>
      </c>
      <c r="CO84" s="372">
        <v>24990</v>
      </c>
      <c r="CP84" s="597">
        <f t="shared" si="87"/>
        <v>1668.9059999999999</v>
      </c>
      <c r="CQ84" s="597">
        <f t="shared" si="88"/>
        <v>1546.4159999999999</v>
      </c>
      <c r="CR84" s="597">
        <f t="shared" si="89"/>
        <v>1643.9159999999999</v>
      </c>
      <c r="CS84" s="597">
        <f t="shared" si="90"/>
        <v>24.99</v>
      </c>
      <c r="CU84" s="548"/>
      <c r="CV84" s="371" t="s">
        <v>573</v>
      </c>
      <c r="CW84" s="372">
        <v>11060679</v>
      </c>
      <c r="CX84" s="372">
        <f t="shared" si="91"/>
        <v>11060.679</v>
      </c>
      <c r="CZ84" s="1059" t="s">
        <v>369</v>
      </c>
      <c r="DA84" s="1060">
        <v>1668906</v>
      </c>
      <c r="DB84" s="1060">
        <v>1546416</v>
      </c>
      <c r="DC84" s="1060">
        <v>1643916</v>
      </c>
      <c r="DD84" s="1060">
        <v>24990</v>
      </c>
      <c r="DE84" s="1060">
        <f t="shared" si="92"/>
        <v>1668.9059999999999</v>
      </c>
      <c r="DF84" s="1060">
        <f t="shared" si="93"/>
        <v>1546.4159999999999</v>
      </c>
      <c r="DG84" s="1060">
        <f t="shared" si="94"/>
        <v>1643.9159999999999</v>
      </c>
      <c r="DH84" s="1060">
        <f t="shared" si="95"/>
        <v>24.99</v>
      </c>
    </row>
    <row r="85" spans="1:112" x14ac:dyDescent="0.25">
      <c r="A85" s="504" t="s">
        <v>374</v>
      </c>
      <c r="B85" s="504">
        <v>16572000</v>
      </c>
      <c r="C85" s="504">
        <v>0</v>
      </c>
      <c r="D85" s="504">
        <v>9000000</v>
      </c>
      <c r="E85" s="504">
        <v>7572000</v>
      </c>
      <c r="F85" s="504">
        <f t="shared" si="57"/>
        <v>16572</v>
      </c>
      <c r="G85" s="504">
        <f t="shared" si="58"/>
        <v>0</v>
      </c>
      <c r="H85" s="504">
        <f t="shared" si="59"/>
        <v>9000</v>
      </c>
      <c r="I85" s="504">
        <f t="shared" si="60"/>
        <v>7572</v>
      </c>
      <c r="L85" s="371" t="s">
        <v>594</v>
      </c>
      <c r="M85" s="372">
        <v>56827653</v>
      </c>
      <c r="N85" s="372">
        <f t="shared" si="61"/>
        <v>56827.652999999998</v>
      </c>
      <c r="P85" s="371" t="s">
        <v>372</v>
      </c>
      <c r="Q85" s="372">
        <v>15459405</v>
      </c>
      <c r="R85" s="372">
        <v>2868075</v>
      </c>
      <c r="S85" s="372">
        <v>15335354</v>
      </c>
      <c r="T85" s="372">
        <v>124051</v>
      </c>
      <c r="U85" s="372">
        <f t="shared" si="62"/>
        <v>15459.405000000001</v>
      </c>
      <c r="V85" s="505">
        <f t="shared" si="63"/>
        <v>2868.0749999999998</v>
      </c>
      <c r="W85" s="505">
        <f t="shared" si="64"/>
        <v>15335.353999999999</v>
      </c>
      <c r="X85" s="505">
        <f t="shared" si="65"/>
        <v>124.051</v>
      </c>
      <c r="AA85" s="371" t="s">
        <v>385</v>
      </c>
      <c r="AB85" s="372">
        <v>1851250</v>
      </c>
      <c r="AC85" s="505">
        <f t="shared" si="66"/>
        <v>1851.25</v>
      </c>
      <c r="AE85" s="373" t="s">
        <v>371</v>
      </c>
      <c r="AF85" s="504">
        <v>19300000</v>
      </c>
      <c r="AG85" s="504">
        <v>3749393</v>
      </c>
      <c r="AH85" s="504">
        <v>19300000</v>
      </c>
      <c r="AI85" s="504">
        <v>0</v>
      </c>
      <c r="AJ85" s="504">
        <f t="shared" si="67"/>
        <v>19300</v>
      </c>
      <c r="AK85" s="504">
        <f t="shared" si="68"/>
        <v>3749.393</v>
      </c>
      <c r="AL85" s="504">
        <f t="shared" si="69"/>
        <v>19300</v>
      </c>
      <c r="AM85" s="504">
        <f t="shared" si="70"/>
        <v>0</v>
      </c>
      <c r="AP85" s="371" t="s">
        <v>569</v>
      </c>
      <c r="AQ85" s="372">
        <v>1034020</v>
      </c>
      <c r="AR85" s="372">
        <f t="shared" si="71"/>
        <v>1034.02</v>
      </c>
      <c r="AT85" s="371" t="s">
        <v>371</v>
      </c>
      <c r="AU85" s="372">
        <v>19300000</v>
      </c>
      <c r="AV85" s="372">
        <v>5524719</v>
      </c>
      <c r="AW85" s="372">
        <v>19300000</v>
      </c>
      <c r="AX85" s="372">
        <v>0</v>
      </c>
      <c r="AY85" s="504">
        <f t="shared" si="72"/>
        <v>19300</v>
      </c>
      <c r="AZ85" s="504">
        <f t="shared" si="73"/>
        <v>5524.7190000000001</v>
      </c>
      <c r="BA85" s="504">
        <f t="shared" si="74"/>
        <v>19300</v>
      </c>
      <c r="BB85" s="504">
        <f t="shared" si="75"/>
        <v>0</v>
      </c>
      <c r="BH85" s="782" t="s">
        <v>372</v>
      </c>
      <c r="BI85" s="644">
        <v>15469405</v>
      </c>
      <c r="BJ85" s="644">
        <v>6817529</v>
      </c>
      <c r="BK85" s="644">
        <v>15345354</v>
      </c>
      <c r="BL85" s="644">
        <v>124051</v>
      </c>
      <c r="BM85" s="548">
        <f t="shared" si="77"/>
        <v>15469.405000000001</v>
      </c>
      <c r="BN85" s="548">
        <f t="shared" si="78"/>
        <v>6817.5290000000005</v>
      </c>
      <c r="BO85" s="548">
        <f t="shared" si="79"/>
        <v>15345.353999999999</v>
      </c>
      <c r="BP85" s="650">
        <f t="shared" si="80"/>
        <v>124.051</v>
      </c>
      <c r="BS85" s="373" t="s">
        <v>566</v>
      </c>
      <c r="BT85" s="597">
        <v>10305979</v>
      </c>
      <c r="BU85" s="597">
        <f t="shared" si="81"/>
        <v>10305.978999999999</v>
      </c>
      <c r="BW85" s="597" t="s">
        <v>370</v>
      </c>
      <c r="BX85" s="597">
        <v>260439999</v>
      </c>
      <c r="BY85" s="597">
        <v>219542949</v>
      </c>
      <c r="BZ85" s="597">
        <v>40897050</v>
      </c>
      <c r="CA85" s="597">
        <v>100273543</v>
      </c>
      <c r="CB85" s="597">
        <f t="shared" si="82"/>
        <v>260439.99900000001</v>
      </c>
      <c r="CC85" s="597">
        <f t="shared" si="83"/>
        <v>219542.94899999999</v>
      </c>
      <c r="CD85" s="597">
        <f t="shared" si="84"/>
        <v>40897.050000000003</v>
      </c>
      <c r="CE85" s="597">
        <f t="shared" si="85"/>
        <v>100273.54300000001</v>
      </c>
      <c r="CG85" s="373" t="s">
        <v>577</v>
      </c>
      <c r="CH85" s="597">
        <v>3321244</v>
      </c>
      <c r="CI85" s="597">
        <f t="shared" si="86"/>
        <v>3321.2440000000001</v>
      </c>
      <c r="CK85" s="371" t="s">
        <v>370</v>
      </c>
      <c r="CL85" s="372">
        <v>216639999</v>
      </c>
      <c r="CM85" s="372">
        <v>107545221</v>
      </c>
      <c r="CN85" s="372">
        <v>211992949</v>
      </c>
      <c r="CO85" s="372">
        <v>4647050</v>
      </c>
      <c r="CP85" s="597">
        <f t="shared" si="87"/>
        <v>216639.99900000001</v>
      </c>
      <c r="CQ85" s="597">
        <f t="shared" si="88"/>
        <v>107545.22100000001</v>
      </c>
      <c r="CR85" s="597">
        <f t="shared" si="89"/>
        <v>211992.94899999999</v>
      </c>
      <c r="CS85" s="597">
        <f t="shared" si="90"/>
        <v>4647.05</v>
      </c>
      <c r="CU85" s="548"/>
      <c r="CV85" s="371" t="s">
        <v>943</v>
      </c>
      <c r="CW85" s="372">
        <v>42785270</v>
      </c>
      <c r="CX85" s="372">
        <f t="shared" si="91"/>
        <v>42785.27</v>
      </c>
      <c r="CZ85" s="1059" t="s">
        <v>370</v>
      </c>
      <c r="DA85" s="1060">
        <v>216655231</v>
      </c>
      <c r="DB85" s="1060">
        <v>116929025</v>
      </c>
      <c r="DC85" s="1060">
        <v>215758181</v>
      </c>
      <c r="DD85" s="1060">
        <v>897050</v>
      </c>
      <c r="DE85" s="1060">
        <f t="shared" si="92"/>
        <v>216655.231</v>
      </c>
      <c r="DF85" s="1060">
        <f t="shared" si="93"/>
        <v>116929.02499999999</v>
      </c>
      <c r="DG85" s="1060">
        <f t="shared" si="94"/>
        <v>215758.18100000001</v>
      </c>
      <c r="DH85" s="1060">
        <f t="shared" si="95"/>
        <v>897.05</v>
      </c>
    </row>
    <row r="86" spans="1:112" x14ac:dyDescent="0.25">
      <c r="A86" s="504" t="s">
        <v>375</v>
      </c>
      <c r="B86" s="504">
        <v>400000</v>
      </c>
      <c r="C86" s="504">
        <v>0</v>
      </c>
      <c r="D86" s="504">
        <v>0</v>
      </c>
      <c r="E86" s="504">
        <v>400000</v>
      </c>
      <c r="F86" s="504">
        <f t="shared" si="57"/>
        <v>400</v>
      </c>
      <c r="G86" s="504">
        <f t="shared" si="58"/>
        <v>0</v>
      </c>
      <c r="H86" s="504">
        <f t="shared" si="59"/>
        <v>0</v>
      </c>
      <c r="I86" s="504">
        <f t="shared" si="60"/>
        <v>400</v>
      </c>
      <c r="L86" s="371" t="s">
        <v>595</v>
      </c>
      <c r="M86" s="372">
        <v>56827653</v>
      </c>
      <c r="N86" s="372">
        <f t="shared" si="61"/>
        <v>56827.652999999998</v>
      </c>
      <c r="P86" s="371" t="s">
        <v>373</v>
      </c>
      <c r="Q86" s="372">
        <v>2500000</v>
      </c>
      <c r="R86" s="372">
        <v>80950</v>
      </c>
      <c r="S86" s="372">
        <v>1800000</v>
      </c>
      <c r="T86" s="372">
        <v>700000</v>
      </c>
      <c r="U86" s="372">
        <f t="shared" si="62"/>
        <v>2500</v>
      </c>
      <c r="V86" s="505">
        <f t="shared" si="63"/>
        <v>80.95</v>
      </c>
      <c r="W86" s="505">
        <f t="shared" si="64"/>
        <v>1800</v>
      </c>
      <c r="X86" s="505">
        <f t="shared" si="65"/>
        <v>700</v>
      </c>
      <c r="AA86" s="371" t="s">
        <v>386</v>
      </c>
      <c r="AB86" s="372">
        <v>105914074</v>
      </c>
      <c r="AC86" s="505">
        <f t="shared" si="66"/>
        <v>105914.07399999999</v>
      </c>
      <c r="AE86" s="373" t="s">
        <v>372</v>
      </c>
      <c r="AF86" s="504">
        <v>15469405</v>
      </c>
      <c r="AG86" s="504">
        <v>3665637</v>
      </c>
      <c r="AH86" s="504">
        <v>15345354</v>
      </c>
      <c r="AI86" s="504">
        <v>124051</v>
      </c>
      <c r="AJ86" s="504">
        <f t="shared" si="67"/>
        <v>15469.405000000001</v>
      </c>
      <c r="AK86" s="504">
        <f t="shared" si="68"/>
        <v>3665.6370000000002</v>
      </c>
      <c r="AL86" s="504">
        <f t="shared" si="69"/>
        <v>15345.353999999999</v>
      </c>
      <c r="AM86" s="504">
        <f t="shared" si="70"/>
        <v>124.051</v>
      </c>
      <c r="AP86" s="371" t="s">
        <v>393</v>
      </c>
      <c r="AQ86" s="372">
        <v>1034020</v>
      </c>
      <c r="AR86" s="372">
        <f t="shared" si="71"/>
        <v>1034.02</v>
      </c>
      <c r="AT86" s="371" t="s">
        <v>372</v>
      </c>
      <c r="AU86" s="372">
        <v>15469405</v>
      </c>
      <c r="AV86" s="372">
        <v>5284768</v>
      </c>
      <c r="AW86" s="372">
        <v>15345354</v>
      </c>
      <c r="AX86" s="372">
        <v>124051</v>
      </c>
      <c r="AY86" s="504">
        <f t="shared" si="72"/>
        <v>15469.405000000001</v>
      </c>
      <c r="AZ86" s="504">
        <f t="shared" si="73"/>
        <v>5284.768</v>
      </c>
      <c r="BA86" s="504">
        <f t="shared" si="74"/>
        <v>15345.353999999999</v>
      </c>
      <c r="BB86" s="504">
        <f t="shared" si="75"/>
        <v>124.051</v>
      </c>
      <c r="BH86" s="782" t="s">
        <v>373</v>
      </c>
      <c r="BI86" s="644">
        <v>2500000</v>
      </c>
      <c r="BJ86" s="644">
        <v>398600</v>
      </c>
      <c r="BK86" s="644">
        <v>1800000</v>
      </c>
      <c r="BL86" s="644">
        <v>700000</v>
      </c>
      <c r="BM86" s="548">
        <f t="shared" si="77"/>
        <v>2500</v>
      </c>
      <c r="BN86" s="548">
        <f t="shared" si="78"/>
        <v>398.6</v>
      </c>
      <c r="BO86" s="548">
        <f t="shared" si="79"/>
        <v>1800</v>
      </c>
      <c r="BP86" s="650">
        <f t="shared" si="80"/>
        <v>700</v>
      </c>
      <c r="BS86" s="373" t="s">
        <v>469</v>
      </c>
      <c r="BT86" s="597">
        <v>2388858</v>
      </c>
      <c r="BU86" s="597">
        <f t="shared" si="81"/>
        <v>2388.8580000000002</v>
      </c>
      <c r="BW86" s="597" t="s">
        <v>371</v>
      </c>
      <c r="BX86" s="597">
        <v>19300000</v>
      </c>
      <c r="BY86" s="597">
        <v>19300000</v>
      </c>
      <c r="BZ86" s="597">
        <v>0</v>
      </c>
      <c r="CA86" s="597">
        <v>9117098</v>
      </c>
      <c r="CB86" s="597">
        <f t="shared" si="82"/>
        <v>19300</v>
      </c>
      <c r="CC86" s="597">
        <f t="shared" si="83"/>
        <v>19300</v>
      </c>
      <c r="CD86" s="597">
        <f t="shared" si="84"/>
        <v>0</v>
      </c>
      <c r="CE86" s="597">
        <f t="shared" si="85"/>
        <v>9117.098</v>
      </c>
      <c r="CG86" s="373" t="s">
        <v>398</v>
      </c>
      <c r="CH86" s="597">
        <v>3321244</v>
      </c>
      <c r="CI86" s="597">
        <f t="shared" si="86"/>
        <v>3321.2440000000001</v>
      </c>
      <c r="CK86" s="371" t="s">
        <v>371</v>
      </c>
      <c r="CL86" s="372">
        <v>20500000</v>
      </c>
      <c r="CM86" s="372">
        <v>11277770</v>
      </c>
      <c r="CN86" s="372">
        <v>20500000</v>
      </c>
      <c r="CO86" s="372">
        <v>0</v>
      </c>
      <c r="CP86" s="597">
        <f t="shared" si="87"/>
        <v>20500</v>
      </c>
      <c r="CQ86" s="597">
        <f t="shared" si="88"/>
        <v>11277.77</v>
      </c>
      <c r="CR86" s="597">
        <f t="shared" si="89"/>
        <v>20500</v>
      </c>
      <c r="CS86" s="597">
        <f t="shared" si="90"/>
        <v>0</v>
      </c>
      <c r="CU86" s="548"/>
      <c r="CV86" s="371" t="s">
        <v>395</v>
      </c>
      <c r="CW86" s="372">
        <v>231343406</v>
      </c>
      <c r="CX86" s="372">
        <f t="shared" si="91"/>
        <v>231343.40599999999</v>
      </c>
      <c r="CZ86" s="1059" t="s">
        <v>371</v>
      </c>
      <c r="DA86" s="1060">
        <v>20500000</v>
      </c>
      <c r="DB86" s="1060">
        <v>13355470</v>
      </c>
      <c r="DC86" s="1060">
        <v>20500000</v>
      </c>
      <c r="DD86" s="1060">
        <v>0</v>
      </c>
      <c r="DE86" s="1060">
        <f t="shared" si="92"/>
        <v>20500</v>
      </c>
      <c r="DF86" s="1060">
        <f t="shared" si="93"/>
        <v>13355.47</v>
      </c>
      <c r="DG86" s="1060">
        <f t="shared" si="94"/>
        <v>20500</v>
      </c>
      <c r="DH86" s="1060">
        <f t="shared" si="95"/>
        <v>0</v>
      </c>
    </row>
    <row r="87" spans="1:112" x14ac:dyDescent="0.25">
      <c r="A87" s="504" t="s">
        <v>376</v>
      </c>
      <c r="B87" s="504">
        <v>1500000</v>
      </c>
      <c r="C87" s="504">
        <v>0</v>
      </c>
      <c r="D87" s="504">
        <v>0</v>
      </c>
      <c r="E87" s="504">
        <v>1500000</v>
      </c>
      <c r="F87" s="504">
        <f t="shared" si="57"/>
        <v>1500</v>
      </c>
      <c r="G87" s="504">
        <f t="shared" si="58"/>
        <v>0</v>
      </c>
      <c r="H87" s="504">
        <f t="shared" si="59"/>
        <v>0</v>
      </c>
      <c r="I87" s="504">
        <f t="shared" si="60"/>
        <v>1500</v>
      </c>
      <c r="L87" s="371" t="s">
        <v>844</v>
      </c>
      <c r="M87" s="372">
        <v>56827653</v>
      </c>
      <c r="N87" s="372">
        <f t="shared" si="61"/>
        <v>56827.652999999998</v>
      </c>
      <c r="P87" s="371" t="s">
        <v>374</v>
      </c>
      <c r="Q87" s="372">
        <v>18000000</v>
      </c>
      <c r="R87" s="372">
        <v>1490</v>
      </c>
      <c r="S87" s="372">
        <v>9000000</v>
      </c>
      <c r="T87" s="372">
        <v>9000000</v>
      </c>
      <c r="U87" s="372">
        <f t="shared" si="62"/>
        <v>18000</v>
      </c>
      <c r="V87" s="505">
        <f t="shared" si="63"/>
        <v>1.49</v>
      </c>
      <c r="W87" s="505">
        <f t="shared" si="64"/>
        <v>9000</v>
      </c>
      <c r="X87" s="505">
        <f t="shared" si="65"/>
        <v>9000</v>
      </c>
      <c r="AA87" s="371" t="s">
        <v>387</v>
      </c>
      <c r="AB87" s="372">
        <v>91362241</v>
      </c>
      <c r="AC87" s="505">
        <f t="shared" si="66"/>
        <v>91362.240999999995</v>
      </c>
      <c r="AE87" s="373" t="s">
        <v>373</v>
      </c>
      <c r="AF87" s="504">
        <v>2500000</v>
      </c>
      <c r="AG87" s="504">
        <v>166150</v>
      </c>
      <c r="AH87" s="504">
        <v>1800000</v>
      </c>
      <c r="AI87" s="504">
        <v>700000</v>
      </c>
      <c r="AJ87" s="504">
        <f t="shared" si="67"/>
        <v>2500</v>
      </c>
      <c r="AK87" s="504">
        <f t="shared" si="68"/>
        <v>166.15</v>
      </c>
      <c r="AL87" s="504">
        <f t="shared" si="69"/>
        <v>1800</v>
      </c>
      <c r="AM87" s="504">
        <f t="shared" si="70"/>
        <v>700</v>
      </c>
      <c r="AP87" s="371" t="s">
        <v>395</v>
      </c>
      <c r="AQ87" s="372">
        <v>7250577</v>
      </c>
      <c r="AR87" s="372">
        <f t="shared" si="71"/>
        <v>7250.5770000000002</v>
      </c>
      <c r="AT87" s="371" t="s">
        <v>373</v>
      </c>
      <c r="AU87" s="372">
        <v>2500000</v>
      </c>
      <c r="AV87" s="372">
        <v>268000</v>
      </c>
      <c r="AW87" s="372">
        <v>1800000</v>
      </c>
      <c r="AX87" s="372">
        <v>700000</v>
      </c>
      <c r="AY87" s="504">
        <f t="shared" si="72"/>
        <v>2500</v>
      </c>
      <c r="AZ87" s="504">
        <f t="shared" si="73"/>
        <v>268</v>
      </c>
      <c r="BA87" s="504">
        <f t="shared" si="74"/>
        <v>1800</v>
      </c>
      <c r="BB87" s="504">
        <f t="shared" si="75"/>
        <v>700</v>
      </c>
      <c r="BH87" s="782" t="s">
        <v>374</v>
      </c>
      <c r="BI87" s="644">
        <v>18000000</v>
      </c>
      <c r="BJ87" s="644">
        <v>6871629</v>
      </c>
      <c r="BK87" s="644">
        <v>9000000</v>
      </c>
      <c r="BL87" s="644">
        <v>9000000</v>
      </c>
      <c r="BM87" s="548">
        <f t="shared" si="77"/>
        <v>18000</v>
      </c>
      <c r="BN87" s="548">
        <f t="shared" si="78"/>
        <v>6871.6289999999999</v>
      </c>
      <c r="BO87" s="548">
        <f t="shared" si="79"/>
        <v>9000</v>
      </c>
      <c r="BP87" s="650">
        <f t="shared" si="80"/>
        <v>9000</v>
      </c>
      <c r="BS87" s="373" t="s">
        <v>568</v>
      </c>
      <c r="BT87" s="597">
        <v>250024681</v>
      </c>
      <c r="BU87" s="597">
        <f t="shared" si="81"/>
        <v>250024.68100000001</v>
      </c>
      <c r="BW87" s="597" t="s">
        <v>372</v>
      </c>
      <c r="BX87" s="597">
        <v>19219404</v>
      </c>
      <c r="BY87" s="597">
        <v>15345354</v>
      </c>
      <c r="BZ87" s="597">
        <v>3874050</v>
      </c>
      <c r="CA87" s="597">
        <v>8270852</v>
      </c>
      <c r="CB87" s="597">
        <f t="shared" si="82"/>
        <v>19219.403999999999</v>
      </c>
      <c r="CC87" s="597">
        <f t="shared" si="83"/>
        <v>15345.353999999999</v>
      </c>
      <c r="CD87" s="597">
        <f t="shared" si="84"/>
        <v>3874.05</v>
      </c>
      <c r="CE87" s="597">
        <f t="shared" si="85"/>
        <v>8270.8520000000008</v>
      </c>
      <c r="CG87" s="373" t="s">
        <v>579</v>
      </c>
      <c r="CH87" s="597">
        <v>3321244</v>
      </c>
      <c r="CI87" s="597">
        <f t="shared" si="86"/>
        <v>3321.2440000000001</v>
      </c>
      <c r="CK87" s="371" t="s">
        <v>372</v>
      </c>
      <c r="CL87" s="372">
        <v>19219404</v>
      </c>
      <c r="CM87" s="372">
        <v>9648525</v>
      </c>
      <c r="CN87" s="372">
        <v>15345354</v>
      </c>
      <c r="CO87" s="372">
        <v>3874050</v>
      </c>
      <c r="CP87" s="597">
        <f t="shared" si="87"/>
        <v>19219.403999999999</v>
      </c>
      <c r="CQ87" s="597">
        <f t="shared" si="88"/>
        <v>9648.5249999999996</v>
      </c>
      <c r="CR87" s="597">
        <f t="shared" si="89"/>
        <v>15345.353999999999</v>
      </c>
      <c r="CS87" s="597">
        <f t="shared" si="90"/>
        <v>3874.05</v>
      </c>
      <c r="CU87" s="548"/>
      <c r="CV87" s="371" t="s">
        <v>396</v>
      </c>
      <c r="CW87" s="372">
        <v>195000000</v>
      </c>
      <c r="CX87" s="372">
        <f t="shared" si="91"/>
        <v>195000</v>
      </c>
      <c r="CZ87" s="1059" t="s">
        <v>372</v>
      </c>
      <c r="DA87" s="1060">
        <v>19234636</v>
      </c>
      <c r="DB87" s="1060">
        <v>10836458</v>
      </c>
      <c r="DC87" s="1060">
        <v>19110586</v>
      </c>
      <c r="DD87" s="1060">
        <v>124050</v>
      </c>
      <c r="DE87" s="1060">
        <f t="shared" si="92"/>
        <v>19234.635999999999</v>
      </c>
      <c r="DF87" s="1060">
        <f t="shared" si="93"/>
        <v>10836.458000000001</v>
      </c>
      <c r="DG87" s="1060">
        <f t="shared" si="94"/>
        <v>19110.585999999999</v>
      </c>
      <c r="DH87" s="1060">
        <f t="shared" si="95"/>
        <v>124.05</v>
      </c>
    </row>
    <row r="88" spans="1:112" x14ac:dyDescent="0.25">
      <c r="A88" s="504" t="s">
        <v>377</v>
      </c>
      <c r="B88" s="504">
        <v>6773000</v>
      </c>
      <c r="C88" s="504">
        <v>0</v>
      </c>
      <c r="D88" s="504">
        <v>0</v>
      </c>
      <c r="E88" s="504">
        <v>6773000</v>
      </c>
      <c r="F88" s="504">
        <f t="shared" si="57"/>
        <v>6773</v>
      </c>
      <c r="G88" s="504">
        <f t="shared" si="58"/>
        <v>0</v>
      </c>
      <c r="H88" s="504">
        <f t="shared" si="59"/>
        <v>0</v>
      </c>
      <c r="I88" s="504">
        <f t="shared" si="60"/>
        <v>6773</v>
      </c>
      <c r="L88" s="371" t="s">
        <v>577</v>
      </c>
      <c r="M88" s="372">
        <v>25191001</v>
      </c>
      <c r="N88" s="372">
        <f t="shared" si="61"/>
        <v>25191.001</v>
      </c>
      <c r="P88" s="371" t="s">
        <v>375</v>
      </c>
      <c r="Q88" s="372">
        <v>60116716</v>
      </c>
      <c r="R88" s="372">
        <v>27325740</v>
      </c>
      <c r="S88" s="372">
        <v>60116716</v>
      </c>
      <c r="T88" s="372">
        <v>0</v>
      </c>
      <c r="U88" s="372">
        <f t="shared" si="62"/>
        <v>60116.716</v>
      </c>
      <c r="V88" s="505">
        <f t="shared" si="63"/>
        <v>27325.74</v>
      </c>
      <c r="W88" s="505">
        <f t="shared" si="64"/>
        <v>60116.716</v>
      </c>
      <c r="X88" s="505">
        <f t="shared" si="65"/>
        <v>0</v>
      </c>
      <c r="AA88" s="371" t="s">
        <v>565</v>
      </c>
      <c r="AB88" s="372">
        <v>1938069</v>
      </c>
      <c r="AC88" s="505">
        <f t="shared" si="66"/>
        <v>1938.069</v>
      </c>
      <c r="AE88" s="373" t="s">
        <v>374</v>
      </c>
      <c r="AF88" s="504">
        <v>18000000</v>
      </c>
      <c r="AG88" s="504">
        <v>3526865</v>
      </c>
      <c r="AH88" s="504">
        <v>9000000</v>
      </c>
      <c r="AI88" s="504">
        <v>9000000</v>
      </c>
      <c r="AJ88" s="504">
        <f t="shared" si="67"/>
        <v>18000</v>
      </c>
      <c r="AK88" s="504">
        <f t="shared" si="68"/>
        <v>3526.8649999999998</v>
      </c>
      <c r="AL88" s="504">
        <f t="shared" si="69"/>
        <v>9000</v>
      </c>
      <c r="AM88" s="504">
        <f t="shared" si="70"/>
        <v>9000</v>
      </c>
      <c r="AP88" s="371" t="s">
        <v>1003</v>
      </c>
      <c r="AQ88" s="372">
        <v>7250577</v>
      </c>
      <c r="AR88" s="372">
        <f t="shared" si="71"/>
        <v>7250.5770000000002</v>
      </c>
      <c r="AT88" s="371" t="s">
        <v>374</v>
      </c>
      <c r="AU88" s="372">
        <v>18000000</v>
      </c>
      <c r="AV88" s="372">
        <v>6092071</v>
      </c>
      <c r="AW88" s="372">
        <v>9000000</v>
      </c>
      <c r="AX88" s="372">
        <v>9000000</v>
      </c>
      <c r="AY88" s="504">
        <f t="shared" si="72"/>
        <v>18000</v>
      </c>
      <c r="AZ88" s="504">
        <f t="shared" si="73"/>
        <v>6092.0709999999999</v>
      </c>
      <c r="BA88" s="504">
        <f t="shared" si="74"/>
        <v>9000</v>
      </c>
      <c r="BB88" s="504">
        <f t="shared" si="75"/>
        <v>9000</v>
      </c>
      <c r="BH88" s="782" t="s">
        <v>375</v>
      </c>
      <c r="BI88" s="644">
        <v>96366716</v>
      </c>
      <c r="BJ88" s="644">
        <v>43721208</v>
      </c>
      <c r="BK88" s="644">
        <v>60116716</v>
      </c>
      <c r="BL88" s="644">
        <v>36250000</v>
      </c>
      <c r="BM88" s="548">
        <f t="shared" si="77"/>
        <v>96366.716</v>
      </c>
      <c r="BN88" s="548">
        <f t="shared" si="78"/>
        <v>43721.207999999999</v>
      </c>
      <c r="BO88" s="548">
        <f t="shared" si="79"/>
        <v>60116.716</v>
      </c>
      <c r="BP88" s="650">
        <f t="shared" si="80"/>
        <v>36250</v>
      </c>
      <c r="BS88" s="373" t="s">
        <v>389</v>
      </c>
      <c r="BT88" s="597">
        <v>114845949</v>
      </c>
      <c r="BU88" s="597">
        <f t="shared" si="81"/>
        <v>114845.94899999999</v>
      </c>
      <c r="BW88" s="597" t="s">
        <v>373</v>
      </c>
      <c r="BX88" s="597">
        <v>2500000</v>
      </c>
      <c r="BY88" s="597">
        <v>1800000</v>
      </c>
      <c r="BZ88" s="597">
        <v>700000</v>
      </c>
      <c r="CA88" s="597">
        <v>734500</v>
      </c>
      <c r="CB88" s="597">
        <f t="shared" si="82"/>
        <v>2500</v>
      </c>
      <c r="CC88" s="597">
        <f t="shared" si="83"/>
        <v>1800</v>
      </c>
      <c r="CD88" s="597">
        <f t="shared" si="84"/>
        <v>700</v>
      </c>
      <c r="CE88" s="597">
        <f t="shared" si="85"/>
        <v>734.5</v>
      </c>
      <c r="CG88" s="373" t="s">
        <v>399</v>
      </c>
      <c r="CH88" s="597">
        <v>153563921</v>
      </c>
      <c r="CI88" s="597">
        <f t="shared" si="86"/>
        <v>153563.921</v>
      </c>
      <c r="CK88" s="371" t="s">
        <v>373</v>
      </c>
      <c r="CL88" s="372">
        <v>2500000</v>
      </c>
      <c r="CM88" s="372">
        <v>734500</v>
      </c>
      <c r="CN88" s="372">
        <v>1800000</v>
      </c>
      <c r="CO88" s="372">
        <v>700000</v>
      </c>
      <c r="CP88" s="597">
        <f t="shared" si="87"/>
        <v>2500</v>
      </c>
      <c r="CQ88" s="597">
        <f t="shared" si="88"/>
        <v>734.5</v>
      </c>
      <c r="CR88" s="597">
        <f t="shared" si="89"/>
        <v>1800</v>
      </c>
      <c r="CS88" s="597">
        <f t="shared" si="90"/>
        <v>700</v>
      </c>
      <c r="CU88" s="548"/>
      <c r="CV88" s="371" t="s">
        <v>1113</v>
      </c>
      <c r="CW88" s="372">
        <v>195000000</v>
      </c>
      <c r="CX88" s="372">
        <f t="shared" si="91"/>
        <v>195000</v>
      </c>
      <c r="CZ88" s="1059" t="s">
        <v>373</v>
      </c>
      <c r="DA88" s="1060">
        <v>2500000</v>
      </c>
      <c r="DB88" s="1060">
        <v>922250</v>
      </c>
      <c r="DC88" s="1060">
        <v>1800000</v>
      </c>
      <c r="DD88" s="1060">
        <v>700000</v>
      </c>
      <c r="DE88" s="1060">
        <f t="shared" si="92"/>
        <v>2500</v>
      </c>
      <c r="DF88" s="1060">
        <f t="shared" si="93"/>
        <v>922.25</v>
      </c>
      <c r="DG88" s="1060">
        <f t="shared" si="94"/>
        <v>1800</v>
      </c>
      <c r="DH88" s="1060">
        <f t="shared" si="95"/>
        <v>700</v>
      </c>
    </row>
    <row r="89" spans="1:112" x14ac:dyDescent="0.25">
      <c r="A89" s="504" t="s">
        <v>556</v>
      </c>
      <c r="B89" s="504">
        <v>46193418</v>
      </c>
      <c r="C89" s="504">
        <v>1393417</v>
      </c>
      <c r="D89" s="504">
        <v>46193417</v>
      </c>
      <c r="E89" s="504">
        <v>1</v>
      </c>
      <c r="F89" s="504">
        <f t="shared" si="57"/>
        <v>46193.417999999998</v>
      </c>
      <c r="G89" s="504">
        <f t="shared" si="58"/>
        <v>1393.4169999999999</v>
      </c>
      <c r="H89" s="504">
        <f t="shared" si="59"/>
        <v>46193.417000000001</v>
      </c>
      <c r="I89" s="504">
        <f t="shared" si="60"/>
        <v>1E-3</v>
      </c>
      <c r="L89" s="371" t="s">
        <v>768</v>
      </c>
      <c r="M89" s="372">
        <v>25191001</v>
      </c>
      <c r="N89" s="372">
        <f t="shared" si="61"/>
        <v>25191.001</v>
      </c>
      <c r="P89" s="371" t="s">
        <v>376</v>
      </c>
      <c r="Q89" s="372">
        <v>1500000</v>
      </c>
      <c r="R89" s="372">
        <v>0</v>
      </c>
      <c r="S89" s="372">
        <v>0</v>
      </c>
      <c r="T89" s="372">
        <v>1500000</v>
      </c>
      <c r="U89" s="372">
        <f t="shared" si="62"/>
        <v>1500</v>
      </c>
      <c r="V89" s="505">
        <f t="shared" si="63"/>
        <v>0</v>
      </c>
      <c r="W89" s="505">
        <f t="shared" si="64"/>
        <v>0</v>
      </c>
      <c r="X89" s="505">
        <f t="shared" si="65"/>
        <v>1500</v>
      </c>
      <c r="AA89" s="371" t="s">
        <v>566</v>
      </c>
      <c r="AB89" s="372">
        <v>10224906</v>
      </c>
      <c r="AC89" s="505">
        <f t="shared" si="66"/>
        <v>10224.906000000001</v>
      </c>
      <c r="AE89" s="373" t="s">
        <v>375</v>
      </c>
      <c r="AF89" s="504">
        <v>60116716</v>
      </c>
      <c r="AG89" s="504">
        <v>27325740</v>
      </c>
      <c r="AH89" s="504">
        <v>60116716</v>
      </c>
      <c r="AI89" s="504">
        <v>0</v>
      </c>
      <c r="AJ89" s="504">
        <f t="shared" si="67"/>
        <v>60116.716</v>
      </c>
      <c r="AK89" s="504">
        <f t="shared" si="68"/>
        <v>27325.74</v>
      </c>
      <c r="AL89" s="504">
        <f t="shared" si="69"/>
        <v>60116.716</v>
      </c>
      <c r="AM89" s="504">
        <f t="shared" si="70"/>
        <v>0</v>
      </c>
      <c r="AP89" s="371" t="s">
        <v>1004</v>
      </c>
      <c r="AQ89" s="372">
        <v>7250577</v>
      </c>
      <c r="AR89" s="372">
        <f t="shared" si="71"/>
        <v>7250.5770000000002</v>
      </c>
      <c r="AT89" s="371" t="s">
        <v>375</v>
      </c>
      <c r="AU89" s="372">
        <v>96366716</v>
      </c>
      <c r="AV89" s="372">
        <v>27325740</v>
      </c>
      <c r="AW89" s="372">
        <v>60116716</v>
      </c>
      <c r="AX89" s="372">
        <v>36250000</v>
      </c>
      <c r="AY89" s="504">
        <f t="shared" si="72"/>
        <v>96366.716</v>
      </c>
      <c r="AZ89" s="504">
        <f t="shared" si="73"/>
        <v>27325.74</v>
      </c>
      <c r="BA89" s="504">
        <f t="shared" si="74"/>
        <v>60116.716</v>
      </c>
      <c r="BB89" s="504">
        <f t="shared" si="75"/>
        <v>36250</v>
      </c>
      <c r="BH89" s="782" t="s">
        <v>376</v>
      </c>
      <c r="BI89" s="644">
        <v>1500000</v>
      </c>
      <c r="BJ89" s="644">
        <v>0</v>
      </c>
      <c r="BK89" s="644">
        <v>1351800</v>
      </c>
      <c r="BL89" s="644">
        <v>148200</v>
      </c>
      <c r="BM89" s="548">
        <f t="shared" si="77"/>
        <v>1500</v>
      </c>
      <c r="BN89" s="548">
        <f t="shared" si="78"/>
        <v>0</v>
      </c>
      <c r="BO89" s="548">
        <f t="shared" si="79"/>
        <v>1351.8</v>
      </c>
      <c r="BP89" s="650">
        <f t="shared" si="80"/>
        <v>148.19999999999999</v>
      </c>
      <c r="BS89" s="373" t="s">
        <v>390</v>
      </c>
      <c r="BT89" s="597">
        <v>1125000</v>
      </c>
      <c r="BU89" s="597">
        <f t="shared" si="81"/>
        <v>1125</v>
      </c>
      <c r="BW89" s="597" t="s">
        <v>374</v>
      </c>
      <c r="BX89" s="597">
        <v>63000000</v>
      </c>
      <c r="BY89" s="597">
        <v>63000000</v>
      </c>
      <c r="BZ89" s="597">
        <v>0</v>
      </c>
      <c r="CA89" s="597">
        <v>7665974</v>
      </c>
      <c r="CB89" s="597">
        <f t="shared" si="82"/>
        <v>63000</v>
      </c>
      <c r="CC89" s="597">
        <f t="shared" si="83"/>
        <v>63000</v>
      </c>
      <c r="CD89" s="597">
        <f t="shared" si="84"/>
        <v>0</v>
      </c>
      <c r="CE89" s="597">
        <f t="shared" si="85"/>
        <v>7665.9740000000002</v>
      </c>
      <c r="CG89" s="373" t="s">
        <v>402</v>
      </c>
      <c r="CH89" s="597">
        <v>153563921</v>
      </c>
      <c r="CI89" s="597">
        <f t="shared" si="86"/>
        <v>153563.921</v>
      </c>
      <c r="CK89" s="371" t="s">
        <v>374</v>
      </c>
      <c r="CL89" s="372">
        <v>18000000</v>
      </c>
      <c r="CM89" s="372">
        <v>7665974</v>
      </c>
      <c r="CN89" s="372">
        <v>18000000</v>
      </c>
      <c r="CO89" s="372">
        <v>0</v>
      </c>
      <c r="CP89" s="597">
        <f t="shared" si="87"/>
        <v>18000</v>
      </c>
      <c r="CQ89" s="597">
        <f t="shared" si="88"/>
        <v>7665.9740000000002</v>
      </c>
      <c r="CR89" s="597">
        <f t="shared" si="89"/>
        <v>18000</v>
      </c>
      <c r="CS89" s="597">
        <f t="shared" si="90"/>
        <v>0</v>
      </c>
      <c r="CU89" s="548"/>
      <c r="CV89" s="371" t="s">
        <v>470</v>
      </c>
      <c r="CW89" s="372">
        <v>29100000</v>
      </c>
      <c r="CX89" s="372">
        <f t="shared" si="91"/>
        <v>29100</v>
      </c>
      <c r="CZ89" s="1059" t="s">
        <v>374</v>
      </c>
      <c r="DA89" s="1060">
        <v>18000000</v>
      </c>
      <c r="DB89" s="1060">
        <v>9187162</v>
      </c>
      <c r="DC89" s="1060">
        <v>18000000</v>
      </c>
      <c r="DD89" s="1060">
        <v>0</v>
      </c>
      <c r="DE89" s="1060">
        <f t="shared" si="92"/>
        <v>18000</v>
      </c>
      <c r="DF89" s="1060">
        <f t="shared" si="93"/>
        <v>9187.1620000000003</v>
      </c>
      <c r="DG89" s="1060">
        <f t="shared" si="94"/>
        <v>18000</v>
      </c>
      <c r="DH89" s="1060">
        <f t="shared" si="95"/>
        <v>0</v>
      </c>
    </row>
    <row r="90" spans="1:112" x14ac:dyDescent="0.25">
      <c r="A90" s="504" t="s">
        <v>378</v>
      </c>
      <c r="B90" s="504">
        <v>37504447</v>
      </c>
      <c r="C90" s="504">
        <v>1884960</v>
      </c>
      <c r="D90" s="504">
        <v>20094030</v>
      </c>
      <c r="E90" s="504">
        <v>17410417</v>
      </c>
      <c r="F90" s="504">
        <f t="shared" si="57"/>
        <v>37504.447</v>
      </c>
      <c r="G90" s="504">
        <f t="shared" si="58"/>
        <v>1884.96</v>
      </c>
      <c r="H90" s="504">
        <f t="shared" si="59"/>
        <v>20094.03</v>
      </c>
      <c r="I90" s="504">
        <f t="shared" si="60"/>
        <v>17410.417000000001</v>
      </c>
      <c r="L90" s="371" t="s">
        <v>399</v>
      </c>
      <c r="M90" s="372">
        <v>2593828058</v>
      </c>
      <c r="N90" s="372">
        <f t="shared" si="61"/>
        <v>2593828.0580000002</v>
      </c>
      <c r="P90" s="371" t="s">
        <v>377</v>
      </c>
      <c r="Q90" s="372">
        <v>6773000</v>
      </c>
      <c r="R90" s="372">
        <v>0</v>
      </c>
      <c r="S90" s="372">
        <v>0</v>
      </c>
      <c r="T90" s="372">
        <v>6773000</v>
      </c>
      <c r="U90" s="372">
        <f t="shared" si="62"/>
        <v>6773</v>
      </c>
      <c r="V90" s="505">
        <f t="shared" si="63"/>
        <v>0</v>
      </c>
      <c r="W90" s="505">
        <f t="shared" si="64"/>
        <v>0</v>
      </c>
      <c r="X90" s="505">
        <f t="shared" si="65"/>
        <v>6773</v>
      </c>
      <c r="AA90" s="371" t="s">
        <v>469</v>
      </c>
      <c r="AB90" s="372">
        <v>2388858</v>
      </c>
      <c r="AC90" s="505">
        <f t="shared" si="66"/>
        <v>2388.8580000000002</v>
      </c>
      <c r="AE90" s="373" t="s">
        <v>376</v>
      </c>
      <c r="AF90" s="504">
        <v>1500000</v>
      </c>
      <c r="AG90" s="504">
        <v>0</v>
      </c>
      <c r="AH90" s="504">
        <v>1351800</v>
      </c>
      <c r="AI90" s="504">
        <v>148200</v>
      </c>
      <c r="AJ90" s="504">
        <f t="shared" si="67"/>
        <v>1500</v>
      </c>
      <c r="AK90" s="504">
        <f t="shared" si="68"/>
        <v>0</v>
      </c>
      <c r="AL90" s="504">
        <f t="shared" si="69"/>
        <v>1351.8</v>
      </c>
      <c r="AM90" s="504">
        <f t="shared" si="70"/>
        <v>148.19999999999999</v>
      </c>
      <c r="AP90" s="371" t="s">
        <v>594</v>
      </c>
      <c r="AQ90" s="372">
        <v>64608550</v>
      </c>
      <c r="AR90" s="372">
        <f t="shared" si="71"/>
        <v>64608.55</v>
      </c>
      <c r="AT90" s="371" t="s">
        <v>376</v>
      </c>
      <c r="AU90" s="372">
        <v>1500000</v>
      </c>
      <c r="AV90" s="372">
        <v>0</v>
      </c>
      <c r="AW90" s="372">
        <v>1351800</v>
      </c>
      <c r="AX90" s="372">
        <v>148200</v>
      </c>
      <c r="AY90" s="504">
        <f t="shared" si="72"/>
        <v>1500</v>
      </c>
      <c r="AZ90" s="504">
        <f t="shared" si="73"/>
        <v>0</v>
      </c>
      <c r="BA90" s="504">
        <f t="shared" si="74"/>
        <v>1351.8</v>
      </c>
      <c r="BB90" s="504">
        <f t="shared" si="75"/>
        <v>148.19999999999999</v>
      </c>
      <c r="BH90" s="782" t="s">
        <v>377</v>
      </c>
      <c r="BI90" s="644">
        <v>6773000</v>
      </c>
      <c r="BJ90" s="644">
        <v>0</v>
      </c>
      <c r="BK90" s="644">
        <v>0</v>
      </c>
      <c r="BL90" s="644">
        <v>6773000</v>
      </c>
      <c r="BM90" s="548">
        <f t="shared" si="77"/>
        <v>6773</v>
      </c>
      <c r="BN90" s="548">
        <f t="shared" si="78"/>
        <v>0</v>
      </c>
      <c r="BO90" s="548">
        <f t="shared" si="79"/>
        <v>0</v>
      </c>
      <c r="BP90" s="650">
        <f t="shared" si="80"/>
        <v>6773</v>
      </c>
      <c r="BS90" s="373" t="s">
        <v>391</v>
      </c>
      <c r="BT90" s="597">
        <v>134053732</v>
      </c>
      <c r="BU90" s="597">
        <f t="shared" si="81"/>
        <v>134053.73199999999</v>
      </c>
      <c r="BW90" s="597" t="s">
        <v>375</v>
      </c>
      <c r="BX90" s="597">
        <v>107297028</v>
      </c>
      <c r="BY90" s="597">
        <v>71047028</v>
      </c>
      <c r="BZ90" s="597">
        <v>36250000</v>
      </c>
      <c r="CA90" s="597">
        <v>49186354</v>
      </c>
      <c r="CB90" s="597">
        <f t="shared" si="82"/>
        <v>107297.02800000001</v>
      </c>
      <c r="CC90" s="597">
        <f t="shared" si="83"/>
        <v>71047.028000000006</v>
      </c>
      <c r="CD90" s="597">
        <f t="shared" si="84"/>
        <v>36250</v>
      </c>
      <c r="CE90" s="597">
        <f t="shared" si="85"/>
        <v>49186.353999999999</v>
      </c>
      <c r="CK90" s="371" t="s">
        <v>375</v>
      </c>
      <c r="CL90" s="372">
        <v>107297028</v>
      </c>
      <c r="CM90" s="372">
        <v>49186354</v>
      </c>
      <c r="CN90" s="372">
        <v>107297028</v>
      </c>
      <c r="CO90" s="372">
        <v>0</v>
      </c>
      <c r="CP90" s="597">
        <f t="shared" si="87"/>
        <v>107297.02800000001</v>
      </c>
      <c r="CQ90" s="597">
        <f t="shared" si="88"/>
        <v>49186.353999999999</v>
      </c>
      <c r="CR90" s="597">
        <f t="shared" si="89"/>
        <v>107297.02800000001</v>
      </c>
      <c r="CS90" s="597">
        <f t="shared" si="90"/>
        <v>0</v>
      </c>
      <c r="CU90" s="548"/>
      <c r="CV90" s="371" t="s">
        <v>905</v>
      </c>
      <c r="CW90" s="372">
        <v>29100000</v>
      </c>
      <c r="CX90" s="372">
        <f t="shared" si="91"/>
        <v>29100</v>
      </c>
      <c r="CZ90" s="1059" t="s">
        <v>375</v>
      </c>
      <c r="DA90" s="1060">
        <v>107297028</v>
      </c>
      <c r="DB90" s="1060">
        <v>49186354</v>
      </c>
      <c r="DC90" s="1060">
        <v>107297028</v>
      </c>
      <c r="DD90" s="1060">
        <v>0</v>
      </c>
      <c r="DE90" s="1060">
        <f t="shared" si="92"/>
        <v>107297.02800000001</v>
      </c>
      <c r="DF90" s="1060">
        <f t="shared" si="93"/>
        <v>49186.353999999999</v>
      </c>
      <c r="DG90" s="1060">
        <f t="shared" si="94"/>
        <v>107297.02800000001</v>
      </c>
      <c r="DH90" s="1060">
        <f t="shared" si="95"/>
        <v>0</v>
      </c>
    </row>
    <row r="91" spans="1:112" x14ac:dyDescent="0.25">
      <c r="A91" s="504" t="s">
        <v>557</v>
      </c>
      <c r="B91" s="504">
        <v>17290247</v>
      </c>
      <c r="C91" s="504">
        <v>1884960</v>
      </c>
      <c r="D91" s="504">
        <v>15862247</v>
      </c>
      <c r="E91" s="504">
        <v>1428000</v>
      </c>
      <c r="F91" s="504">
        <f t="shared" si="57"/>
        <v>17290.246999999999</v>
      </c>
      <c r="G91" s="504">
        <f t="shared" si="58"/>
        <v>1884.96</v>
      </c>
      <c r="H91" s="504">
        <f t="shared" si="59"/>
        <v>15862.246999999999</v>
      </c>
      <c r="I91" s="504">
        <f t="shared" si="60"/>
        <v>1428</v>
      </c>
      <c r="L91" s="371" t="s">
        <v>400</v>
      </c>
      <c r="M91" s="372">
        <v>1729970892</v>
      </c>
      <c r="N91" s="372">
        <f t="shared" si="61"/>
        <v>1729970.892</v>
      </c>
      <c r="P91" s="371" t="s">
        <v>556</v>
      </c>
      <c r="Q91" s="372">
        <v>46193418</v>
      </c>
      <c r="R91" s="372">
        <v>5126750</v>
      </c>
      <c r="S91" s="372">
        <v>46193417</v>
      </c>
      <c r="T91" s="372">
        <v>1</v>
      </c>
      <c r="U91" s="372">
        <f t="shared" si="62"/>
        <v>46193.417999999998</v>
      </c>
      <c r="V91" s="505">
        <f t="shared" si="63"/>
        <v>5126.75</v>
      </c>
      <c r="W91" s="505">
        <f t="shared" si="64"/>
        <v>46193.417000000001</v>
      </c>
      <c r="X91" s="505">
        <f t="shared" si="65"/>
        <v>1E-3</v>
      </c>
      <c r="AA91" s="371" t="s">
        <v>568</v>
      </c>
      <c r="AB91" s="372">
        <v>188635817</v>
      </c>
      <c r="AC91" s="505">
        <f t="shared" si="66"/>
        <v>188635.81700000001</v>
      </c>
      <c r="AE91" s="373" t="s">
        <v>377</v>
      </c>
      <c r="AF91" s="504">
        <v>6773000</v>
      </c>
      <c r="AG91" s="504">
        <v>0</v>
      </c>
      <c r="AH91" s="504">
        <v>0</v>
      </c>
      <c r="AI91" s="504">
        <v>6773000</v>
      </c>
      <c r="AJ91" s="504">
        <f t="shared" si="67"/>
        <v>6773</v>
      </c>
      <c r="AK91" s="504">
        <f t="shared" si="68"/>
        <v>0</v>
      </c>
      <c r="AL91" s="504">
        <f t="shared" si="69"/>
        <v>0</v>
      </c>
      <c r="AM91" s="504">
        <f t="shared" si="70"/>
        <v>6773</v>
      </c>
      <c r="AP91" s="371" t="s">
        <v>595</v>
      </c>
      <c r="AQ91" s="372">
        <v>64608550</v>
      </c>
      <c r="AR91" s="372">
        <f t="shared" si="71"/>
        <v>64608.55</v>
      </c>
      <c r="AT91" s="371" t="s">
        <v>377</v>
      </c>
      <c r="AU91" s="372">
        <v>6773000</v>
      </c>
      <c r="AV91" s="372">
        <v>0</v>
      </c>
      <c r="AW91" s="372">
        <v>0</v>
      </c>
      <c r="AX91" s="372">
        <v>6773000</v>
      </c>
      <c r="AY91" s="504">
        <f t="shared" si="72"/>
        <v>6773</v>
      </c>
      <c r="AZ91" s="504">
        <f t="shared" si="73"/>
        <v>0</v>
      </c>
      <c r="BA91" s="504">
        <f t="shared" si="74"/>
        <v>0</v>
      </c>
      <c r="BB91" s="504">
        <f t="shared" si="75"/>
        <v>6773</v>
      </c>
      <c r="BH91" s="782" t="s">
        <v>556</v>
      </c>
      <c r="BI91" s="644">
        <v>46193418</v>
      </c>
      <c r="BJ91" s="644">
        <v>23793415</v>
      </c>
      <c r="BK91" s="644">
        <v>46193417</v>
      </c>
      <c r="BL91" s="644">
        <v>1</v>
      </c>
      <c r="BM91" s="548">
        <f t="shared" si="77"/>
        <v>46193.417999999998</v>
      </c>
      <c r="BN91" s="548">
        <f t="shared" si="78"/>
        <v>23793.415000000001</v>
      </c>
      <c r="BO91" s="548">
        <f t="shared" si="79"/>
        <v>46193.417000000001</v>
      </c>
      <c r="BP91" s="650">
        <f t="shared" si="80"/>
        <v>1E-3</v>
      </c>
      <c r="BS91" s="373" t="s">
        <v>569</v>
      </c>
      <c r="BT91" s="597">
        <v>1073313</v>
      </c>
      <c r="BU91" s="597">
        <f t="shared" si="81"/>
        <v>1073.3130000000001</v>
      </c>
      <c r="BW91" s="597" t="s">
        <v>376</v>
      </c>
      <c r="BX91" s="597">
        <v>1351800</v>
      </c>
      <c r="BY91" s="597">
        <v>1351800</v>
      </c>
      <c r="BZ91" s="597">
        <v>0</v>
      </c>
      <c r="CA91" s="597">
        <v>0</v>
      </c>
      <c r="CB91" s="597">
        <f t="shared" si="82"/>
        <v>1351.8</v>
      </c>
      <c r="CC91" s="597">
        <f t="shared" si="83"/>
        <v>1351.8</v>
      </c>
      <c r="CD91" s="597">
        <f t="shared" si="84"/>
        <v>0</v>
      </c>
      <c r="CE91" s="597">
        <f t="shared" si="85"/>
        <v>0</v>
      </c>
      <c r="CK91" s="371" t="s">
        <v>376</v>
      </c>
      <c r="CL91" s="372">
        <v>1351800</v>
      </c>
      <c r="CM91" s="372">
        <v>0</v>
      </c>
      <c r="CN91" s="372">
        <v>1351800</v>
      </c>
      <c r="CO91" s="372">
        <v>0</v>
      </c>
      <c r="CP91" s="597">
        <f t="shared" si="87"/>
        <v>1351.8</v>
      </c>
      <c r="CQ91" s="597">
        <f t="shared" si="88"/>
        <v>0</v>
      </c>
      <c r="CR91" s="597">
        <f t="shared" si="89"/>
        <v>1351.8</v>
      </c>
      <c r="CS91" s="597">
        <f t="shared" si="90"/>
        <v>0</v>
      </c>
      <c r="CU91" s="548"/>
      <c r="CV91" s="371" t="s">
        <v>1003</v>
      </c>
      <c r="CW91" s="372">
        <v>7243406</v>
      </c>
      <c r="CX91" s="372">
        <f t="shared" si="91"/>
        <v>7243.4059999999999</v>
      </c>
      <c r="CZ91" s="1059" t="s">
        <v>376</v>
      </c>
      <c r="DA91" s="1060">
        <v>1351800</v>
      </c>
      <c r="DB91" s="1060">
        <v>675900</v>
      </c>
      <c r="DC91" s="1060">
        <v>1351800</v>
      </c>
      <c r="DD91" s="1060">
        <v>0</v>
      </c>
      <c r="DE91" s="1060">
        <f t="shared" si="92"/>
        <v>1351.8</v>
      </c>
      <c r="DF91" s="1060">
        <f t="shared" si="93"/>
        <v>675.9</v>
      </c>
      <c r="DG91" s="1060">
        <f t="shared" si="94"/>
        <v>1351.8</v>
      </c>
      <c r="DH91" s="1060">
        <f t="shared" si="95"/>
        <v>0</v>
      </c>
    </row>
    <row r="92" spans="1:112" x14ac:dyDescent="0.25">
      <c r="A92" s="504" t="s">
        <v>558</v>
      </c>
      <c r="B92" s="504">
        <v>14000000</v>
      </c>
      <c r="C92" s="504">
        <v>0</v>
      </c>
      <c r="D92" s="504">
        <v>710278</v>
      </c>
      <c r="E92" s="504">
        <v>13289722</v>
      </c>
      <c r="F92" s="504">
        <f t="shared" si="57"/>
        <v>14000</v>
      </c>
      <c r="G92" s="504">
        <f t="shared" si="58"/>
        <v>0</v>
      </c>
      <c r="H92" s="504">
        <f t="shared" si="59"/>
        <v>710.27800000000002</v>
      </c>
      <c r="I92" s="504">
        <f t="shared" si="60"/>
        <v>13289.722</v>
      </c>
      <c r="L92" s="371" t="s">
        <v>402</v>
      </c>
      <c r="M92" s="372">
        <v>863857166</v>
      </c>
      <c r="N92" s="372">
        <f t="shared" si="61"/>
        <v>863857.16599999997</v>
      </c>
      <c r="P92" s="371" t="s">
        <v>378</v>
      </c>
      <c r="Q92" s="372">
        <v>43432057</v>
      </c>
      <c r="R92" s="372">
        <v>4896017</v>
      </c>
      <c r="S92" s="372">
        <v>26474828</v>
      </c>
      <c r="T92" s="372">
        <v>16957229</v>
      </c>
      <c r="U92" s="372">
        <f t="shared" si="62"/>
        <v>43432.057000000001</v>
      </c>
      <c r="V92" s="505">
        <f t="shared" si="63"/>
        <v>4896.0169999999998</v>
      </c>
      <c r="W92" s="505">
        <f t="shared" si="64"/>
        <v>26474.828000000001</v>
      </c>
      <c r="X92" s="505">
        <f t="shared" si="65"/>
        <v>16957.228999999999</v>
      </c>
      <c r="AA92" s="371" t="s">
        <v>389</v>
      </c>
      <c r="AB92" s="372">
        <v>63274461</v>
      </c>
      <c r="AC92" s="505">
        <f t="shared" si="66"/>
        <v>63274.461000000003</v>
      </c>
      <c r="AE92" s="373" t="s">
        <v>556</v>
      </c>
      <c r="AF92" s="504">
        <v>46193418</v>
      </c>
      <c r="AG92" s="504">
        <v>5126750</v>
      </c>
      <c r="AH92" s="504">
        <v>46193417</v>
      </c>
      <c r="AI92" s="504">
        <v>1</v>
      </c>
      <c r="AJ92" s="504">
        <f t="shared" si="67"/>
        <v>46193.417999999998</v>
      </c>
      <c r="AK92" s="504">
        <f t="shared" si="68"/>
        <v>5126.75</v>
      </c>
      <c r="AL92" s="504">
        <f t="shared" si="69"/>
        <v>46193.417000000001</v>
      </c>
      <c r="AM92" s="504">
        <f t="shared" si="70"/>
        <v>1E-3</v>
      </c>
      <c r="AP92" s="371" t="s">
        <v>844</v>
      </c>
      <c r="AQ92" s="372">
        <v>64608550</v>
      </c>
      <c r="AR92" s="372">
        <f t="shared" si="71"/>
        <v>64608.55</v>
      </c>
      <c r="AT92" s="371" t="s">
        <v>556</v>
      </c>
      <c r="AU92" s="372">
        <v>46193418</v>
      </c>
      <c r="AV92" s="372">
        <v>16326749</v>
      </c>
      <c r="AW92" s="372">
        <v>46193417</v>
      </c>
      <c r="AX92" s="372">
        <v>1</v>
      </c>
      <c r="AY92" s="504">
        <f t="shared" si="72"/>
        <v>46193.417999999998</v>
      </c>
      <c r="AZ92" s="504">
        <f t="shared" si="73"/>
        <v>16326.749</v>
      </c>
      <c r="BA92" s="504">
        <f t="shared" si="74"/>
        <v>46193.417000000001</v>
      </c>
      <c r="BB92" s="504">
        <f t="shared" si="75"/>
        <v>1E-3</v>
      </c>
      <c r="BH92" s="782" t="s">
        <v>378</v>
      </c>
      <c r="BI92" s="644">
        <v>46371385</v>
      </c>
      <c r="BJ92" s="644">
        <v>29849368</v>
      </c>
      <c r="BK92" s="644">
        <v>35939664</v>
      </c>
      <c r="BL92" s="644">
        <v>10431721</v>
      </c>
      <c r="BM92" s="548">
        <f t="shared" si="77"/>
        <v>46371.385000000002</v>
      </c>
      <c r="BN92" s="548">
        <f t="shared" si="78"/>
        <v>29849.367999999999</v>
      </c>
      <c r="BO92" s="548">
        <f t="shared" si="79"/>
        <v>35939.663999999997</v>
      </c>
      <c r="BP92" s="650">
        <f t="shared" si="80"/>
        <v>10431.721</v>
      </c>
      <c r="BS92" s="373" t="s">
        <v>393</v>
      </c>
      <c r="BT92" s="597">
        <v>1022262</v>
      </c>
      <c r="BU92" s="597">
        <f t="shared" si="81"/>
        <v>1022.2619999999999</v>
      </c>
      <c r="BW92" s="597" t="s">
        <v>377</v>
      </c>
      <c r="BX92" s="597">
        <v>73000</v>
      </c>
      <c r="BY92" s="597">
        <v>0</v>
      </c>
      <c r="BZ92" s="597">
        <v>73000</v>
      </c>
      <c r="CA92" s="597">
        <v>0</v>
      </c>
      <c r="CB92" s="597">
        <f t="shared" si="82"/>
        <v>73</v>
      </c>
      <c r="CC92" s="597">
        <f t="shared" si="83"/>
        <v>0</v>
      </c>
      <c r="CD92" s="597">
        <f t="shared" si="84"/>
        <v>73</v>
      </c>
      <c r="CE92" s="597">
        <f t="shared" si="85"/>
        <v>0</v>
      </c>
      <c r="CK92" s="371" t="s">
        <v>377</v>
      </c>
      <c r="CL92" s="372">
        <v>73000</v>
      </c>
      <c r="CM92" s="372">
        <v>0</v>
      </c>
      <c r="CN92" s="372">
        <v>0</v>
      </c>
      <c r="CO92" s="372">
        <v>73000</v>
      </c>
      <c r="CP92" s="597">
        <f t="shared" si="87"/>
        <v>73</v>
      </c>
      <c r="CQ92" s="597">
        <f t="shared" si="88"/>
        <v>0</v>
      </c>
      <c r="CR92" s="597">
        <f t="shared" si="89"/>
        <v>0</v>
      </c>
      <c r="CS92" s="597">
        <f t="shared" si="90"/>
        <v>73</v>
      </c>
      <c r="CU92" s="548"/>
      <c r="CV92" s="371" t="s">
        <v>1004</v>
      </c>
      <c r="CW92" s="372">
        <v>7243406</v>
      </c>
      <c r="CX92" s="372">
        <f t="shared" si="91"/>
        <v>7243.4059999999999</v>
      </c>
      <c r="CZ92" s="1059" t="s">
        <v>377</v>
      </c>
      <c r="DA92" s="1060">
        <v>73000</v>
      </c>
      <c r="DB92" s="1060">
        <v>0</v>
      </c>
      <c r="DC92" s="1060">
        <v>0</v>
      </c>
      <c r="DD92" s="1060">
        <v>73000</v>
      </c>
      <c r="DE92" s="1060">
        <f t="shared" si="92"/>
        <v>73</v>
      </c>
      <c r="DF92" s="1060">
        <f t="shared" si="93"/>
        <v>0</v>
      </c>
      <c r="DG92" s="1060">
        <f t="shared" si="94"/>
        <v>0</v>
      </c>
      <c r="DH92" s="1060">
        <f t="shared" si="95"/>
        <v>73</v>
      </c>
    </row>
    <row r="93" spans="1:112" x14ac:dyDescent="0.25">
      <c r="A93" s="504" t="s">
        <v>560</v>
      </c>
      <c r="B93" s="504">
        <v>214200</v>
      </c>
      <c r="C93" s="504">
        <v>0</v>
      </c>
      <c r="D93" s="504">
        <v>0</v>
      </c>
      <c r="E93" s="504">
        <v>214200</v>
      </c>
      <c r="F93" s="504">
        <f t="shared" si="57"/>
        <v>214.2</v>
      </c>
      <c r="G93" s="504">
        <f t="shared" si="58"/>
        <v>0</v>
      </c>
      <c r="H93" s="504">
        <f t="shared" si="59"/>
        <v>0</v>
      </c>
      <c r="I93" s="504">
        <f t="shared" si="60"/>
        <v>214.2</v>
      </c>
      <c r="P93" s="371" t="s">
        <v>557</v>
      </c>
      <c r="Q93" s="372">
        <v>22394795</v>
      </c>
      <c r="R93" s="372">
        <v>4503555</v>
      </c>
      <c r="S93" s="372">
        <v>19533273</v>
      </c>
      <c r="T93" s="372">
        <v>2861522</v>
      </c>
      <c r="U93" s="372">
        <f t="shared" si="62"/>
        <v>22394.794999999998</v>
      </c>
      <c r="V93" s="505">
        <f t="shared" si="63"/>
        <v>4503.5550000000003</v>
      </c>
      <c r="W93" s="505">
        <f t="shared" si="64"/>
        <v>19533.273000000001</v>
      </c>
      <c r="X93" s="505">
        <f t="shared" si="65"/>
        <v>2861.5219999999999</v>
      </c>
      <c r="AA93" s="371" t="s">
        <v>390</v>
      </c>
      <c r="AB93" s="372">
        <v>1125000</v>
      </c>
      <c r="AC93" s="505">
        <f t="shared" si="66"/>
        <v>1125</v>
      </c>
      <c r="AE93" s="373" t="s">
        <v>378</v>
      </c>
      <c r="AF93" s="504">
        <v>44448356</v>
      </c>
      <c r="AG93" s="504">
        <v>23757091</v>
      </c>
      <c r="AH93" s="504">
        <v>30947649</v>
      </c>
      <c r="AI93" s="504">
        <v>13500707</v>
      </c>
      <c r="AJ93" s="504">
        <f t="shared" si="67"/>
        <v>44448.356</v>
      </c>
      <c r="AK93" s="504">
        <f t="shared" si="68"/>
        <v>23757.091</v>
      </c>
      <c r="AL93" s="504">
        <f t="shared" si="69"/>
        <v>30947.649000000001</v>
      </c>
      <c r="AM93" s="504">
        <f t="shared" si="70"/>
        <v>13500.707</v>
      </c>
      <c r="AP93" s="371" t="s">
        <v>399</v>
      </c>
      <c r="AQ93" s="372">
        <v>-3600000</v>
      </c>
      <c r="AR93" s="372">
        <f t="shared" si="71"/>
        <v>-3600</v>
      </c>
      <c r="AT93" s="371" t="s">
        <v>378</v>
      </c>
      <c r="AU93" s="372">
        <v>46221444</v>
      </c>
      <c r="AV93" s="372">
        <v>24982580</v>
      </c>
      <c r="AW93" s="372">
        <v>33994799</v>
      </c>
      <c r="AX93" s="372">
        <v>12226645</v>
      </c>
      <c r="AY93" s="504">
        <f t="shared" si="72"/>
        <v>46221.444000000003</v>
      </c>
      <c r="AZ93" s="504">
        <f t="shared" si="73"/>
        <v>24982.58</v>
      </c>
      <c r="BA93" s="504">
        <f t="shared" si="74"/>
        <v>33994.798999999999</v>
      </c>
      <c r="BB93" s="504">
        <f t="shared" si="75"/>
        <v>12226.645</v>
      </c>
      <c r="BH93" s="782" t="s">
        <v>557</v>
      </c>
      <c r="BI93" s="644">
        <v>23438223</v>
      </c>
      <c r="BJ93" s="644">
        <v>23438223</v>
      </c>
      <c r="BK93" s="644">
        <v>23438223</v>
      </c>
      <c r="BL93" s="644">
        <v>0</v>
      </c>
      <c r="BM93" s="548">
        <f t="shared" si="77"/>
        <v>23438.223000000002</v>
      </c>
      <c r="BN93" s="548">
        <f t="shared" si="78"/>
        <v>23438.223000000002</v>
      </c>
      <c r="BO93" s="548">
        <f t="shared" si="79"/>
        <v>23438.223000000002</v>
      </c>
      <c r="BP93" s="650">
        <f t="shared" si="80"/>
        <v>0</v>
      </c>
      <c r="BS93" s="373" t="s">
        <v>394</v>
      </c>
      <c r="BT93" s="597">
        <v>51051</v>
      </c>
      <c r="BU93" s="597">
        <f t="shared" si="81"/>
        <v>51.051000000000002</v>
      </c>
      <c r="BW93" s="597" t="s">
        <v>556</v>
      </c>
      <c r="BX93" s="597">
        <v>47698767</v>
      </c>
      <c r="BY93" s="597">
        <v>47698767</v>
      </c>
      <c r="BZ93" s="597">
        <v>0</v>
      </c>
      <c r="CA93" s="597">
        <v>25298765</v>
      </c>
      <c r="CB93" s="597">
        <f t="shared" si="82"/>
        <v>47698.767</v>
      </c>
      <c r="CC93" s="597">
        <f t="shared" si="83"/>
        <v>47698.767</v>
      </c>
      <c r="CD93" s="597">
        <f t="shared" si="84"/>
        <v>0</v>
      </c>
      <c r="CE93" s="597">
        <f t="shared" si="85"/>
        <v>25298.764999999999</v>
      </c>
      <c r="CK93" s="371" t="s">
        <v>556</v>
      </c>
      <c r="CL93" s="372">
        <v>47698767</v>
      </c>
      <c r="CM93" s="372">
        <v>29032098</v>
      </c>
      <c r="CN93" s="372">
        <v>47698767</v>
      </c>
      <c r="CO93" s="372">
        <v>0</v>
      </c>
      <c r="CP93" s="597">
        <f t="shared" si="87"/>
        <v>47698.767</v>
      </c>
      <c r="CQ93" s="597">
        <f t="shared" si="88"/>
        <v>29032.098000000002</v>
      </c>
      <c r="CR93" s="597">
        <f t="shared" si="89"/>
        <v>47698.767</v>
      </c>
      <c r="CS93" s="597">
        <f t="shared" si="90"/>
        <v>0</v>
      </c>
      <c r="CU93" s="548"/>
      <c r="CV93" s="371" t="s">
        <v>594</v>
      </c>
      <c r="CW93" s="372">
        <v>26451298</v>
      </c>
      <c r="CX93" s="372">
        <f t="shared" si="91"/>
        <v>26451.297999999999</v>
      </c>
      <c r="CZ93" s="1059" t="s">
        <v>556</v>
      </c>
      <c r="DA93" s="1060">
        <v>47698767</v>
      </c>
      <c r="DB93" s="1060">
        <v>32765431</v>
      </c>
      <c r="DC93" s="1060">
        <v>47698767</v>
      </c>
      <c r="DD93" s="1060">
        <v>0</v>
      </c>
      <c r="DE93" s="1060">
        <f t="shared" si="92"/>
        <v>47698.767</v>
      </c>
      <c r="DF93" s="1060">
        <f t="shared" si="93"/>
        <v>32765.431</v>
      </c>
      <c r="DG93" s="1060">
        <f t="shared" si="94"/>
        <v>47698.767</v>
      </c>
      <c r="DH93" s="1060">
        <f t="shared" si="95"/>
        <v>0</v>
      </c>
    </row>
    <row r="94" spans="1:112" x14ac:dyDescent="0.25">
      <c r="A94" s="504" t="s">
        <v>561</v>
      </c>
      <c r="B94" s="504">
        <v>6000000</v>
      </c>
      <c r="C94" s="504">
        <v>0</v>
      </c>
      <c r="D94" s="504">
        <v>3521505</v>
      </c>
      <c r="E94" s="504">
        <v>2478495</v>
      </c>
      <c r="F94" s="504">
        <f t="shared" si="57"/>
        <v>6000</v>
      </c>
      <c r="G94" s="504">
        <f t="shared" si="58"/>
        <v>0</v>
      </c>
      <c r="H94" s="504">
        <f t="shared" si="59"/>
        <v>3521.5050000000001</v>
      </c>
      <c r="I94" s="504">
        <f t="shared" si="60"/>
        <v>2478.4949999999999</v>
      </c>
      <c r="P94" s="371" t="s">
        <v>558</v>
      </c>
      <c r="Q94" s="372">
        <v>14459993</v>
      </c>
      <c r="R94" s="372">
        <v>172550</v>
      </c>
      <c r="S94" s="372">
        <v>2842781</v>
      </c>
      <c r="T94" s="372">
        <v>11617212</v>
      </c>
      <c r="U94" s="372">
        <f t="shared" si="62"/>
        <v>14459.993</v>
      </c>
      <c r="V94" s="505">
        <f t="shared" si="63"/>
        <v>172.55</v>
      </c>
      <c r="W94" s="505">
        <f t="shared" si="64"/>
        <v>2842.7809999999999</v>
      </c>
      <c r="X94" s="505">
        <f t="shared" si="65"/>
        <v>11617.212</v>
      </c>
      <c r="AA94" s="371" t="s">
        <v>391</v>
      </c>
      <c r="AB94" s="372">
        <v>124236356</v>
      </c>
      <c r="AC94" s="505">
        <f t="shared" si="66"/>
        <v>124236.356</v>
      </c>
      <c r="AE94" s="373" t="s">
        <v>557</v>
      </c>
      <c r="AF94" s="504">
        <v>22514795</v>
      </c>
      <c r="AG94" s="504">
        <v>19653273</v>
      </c>
      <c r="AH94" s="504">
        <v>22514795</v>
      </c>
      <c r="AI94" s="504">
        <v>0</v>
      </c>
      <c r="AJ94" s="504">
        <f t="shared" si="67"/>
        <v>22514.794999999998</v>
      </c>
      <c r="AK94" s="504">
        <f t="shared" si="68"/>
        <v>19653.273000000001</v>
      </c>
      <c r="AL94" s="504">
        <f t="shared" si="69"/>
        <v>22514.794999999998</v>
      </c>
      <c r="AM94" s="504">
        <f t="shared" si="70"/>
        <v>0</v>
      </c>
      <c r="AP94" s="371" t="s">
        <v>404</v>
      </c>
      <c r="AQ94" s="372">
        <v>-3600000</v>
      </c>
      <c r="AR94" s="372">
        <f t="shared" si="71"/>
        <v>-3600</v>
      </c>
      <c r="AT94" s="371" t="s">
        <v>557</v>
      </c>
      <c r="AU94" s="372">
        <v>23288283</v>
      </c>
      <c r="AV94" s="372">
        <v>19653273</v>
      </c>
      <c r="AW94" s="372">
        <v>23288283</v>
      </c>
      <c r="AX94" s="372">
        <v>0</v>
      </c>
      <c r="AY94" s="504">
        <f t="shared" si="72"/>
        <v>23288.282999999999</v>
      </c>
      <c r="AZ94" s="504">
        <f t="shared" si="73"/>
        <v>19653.273000000001</v>
      </c>
      <c r="BA94" s="504">
        <f t="shared" si="74"/>
        <v>23288.282999999999</v>
      </c>
      <c r="BB94" s="504">
        <f t="shared" si="75"/>
        <v>0</v>
      </c>
      <c r="BH94" s="782" t="s">
        <v>558</v>
      </c>
      <c r="BI94" s="644">
        <v>15029043</v>
      </c>
      <c r="BJ94" s="644">
        <v>4660040</v>
      </c>
      <c r="BK94" s="644">
        <v>7075817</v>
      </c>
      <c r="BL94" s="644">
        <v>7953226</v>
      </c>
      <c r="BM94" s="548">
        <f t="shared" si="77"/>
        <v>15029.043</v>
      </c>
      <c r="BN94" s="548">
        <f t="shared" si="78"/>
        <v>4660.04</v>
      </c>
      <c r="BO94" s="548">
        <f t="shared" si="79"/>
        <v>7075.817</v>
      </c>
      <c r="BP94" s="650">
        <f t="shared" si="80"/>
        <v>7953.2259999999997</v>
      </c>
      <c r="BS94" s="373" t="s">
        <v>395</v>
      </c>
      <c r="BT94" s="597">
        <v>7213296</v>
      </c>
      <c r="BU94" s="597">
        <f t="shared" si="81"/>
        <v>7213.2960000000003</v>
      </c>
      <c r="BW94" s="597" t="s">
        <v>378</v>
      </c>
      <c r="BX94" s="597">
        <v>46675351</v>
      </c>
      <c r="BY94" s="597">
        <v>37551589</v>
      </c>
      <c r="BZ94" s="597">
        <v>9123762</v>
      </c>
      <c r="CA94" s="597">
        <v>33878146</v>
      </c>
      <c r="CB94" s="597">
        <f t="shared" si="82"/>
        <v>46675.351000000002</v>
      </c>
      <c r="CC94" s="597">
        <f t="shared" si="83"/>
        <v>37551.589</v>
      </c>
      <c r="CD94" s="597">
        <f t="shared" si="84"/>
        <v>9123.7620000000006</v>
      </c>
      <c r="CE94" s="597">
        <f t="shared" si="85"/>
        <v>33878.146000000001</v>
      </c>
      <c r="CK94" s="371" t="s">
        <v>378</v>
      </c>
      <c r="CL94" s="372">
        <v>51176890</v>
      </c>
      <c r="CM94" s="372">
        <v>36371265</v>
      </c>
      <c r="CN94" s="372">
        <v>41140291</v>
      </c>
      <c r="CO94" s="372">
        <v>10036599</v>
      </c>
      <c r="CP94" s="597">
        <f t="shared" si="87"/>
        <v>51176.89</v>
      </c>
      <c r="CQ94" s="597">
        <f t="shared" si="88"/>
        <v>36371.264999999999</v>
      </c>
      <c r="CR94" s="597">
        <f t="shared" si="89"/>
        <v>41140.290999999997</v>
      </c>
      <c r="CS94" s="597">
        <f t="shared" si="90"/>
        <v>10036.599</v>
      </c>
      <c r="CU94" s="548"/>
      <c r="CV94" s="371" t="s">
        <v>595</v>
      </c>
      <c r="CW94" s="372">
        <v>26451298</v>
      </c>
      <c r="CX94" s="372">
        <f t="shared" si="91"/>
        <v>26451.297999999999</v>
      </c>
      <c r="CZ94" s="1059" t="s">
        <v>378</v>
      </c>
      <c r="DA94" s="1060">
        <v>55586820</v>
      </c>
      <c r="DB94" s="1060">
        <v>38286382</v>
      </c>
      <c r="DC94" s="1060">
        <v>46148872</v>
      </c>
      <c r="DD94" s="1060">
        <v>9437948</v>
      </c>
      <c r="DE94" s="1060">
        <f t="shared" si="92"/>
        <v>55586.82</v>
      </c>
      <c r="DF94" s="1060">
        <f t="shared" si="93"/>
        <v>38286.381999999998</v>
      </c>
      <c r="DG94" s="1060">
        <f t="shared" si="94"/>
        <v>46148.872000000003</v>
      </c>
      <c r="DH94" s="1060">
        <f t="shared" si="95"/>
        <v>9437.9480000000003</v>
      </c>
    </row>
    <row r="95" spans="1:112" x14ac:dyDescent="0.25">
      <c r="A95" s="504" t="s">
        <v>380</v>
      </c>
      <c r="B95" s="504">
        <v>16010000</v>
      </c>
      <c r="C95" s="504">
        <v>10000</v>
      </c>
      <c r="D95" s="504">
        <v>3415703</v>
      </c>
      <c r="E95" s="504">
        <v>12594297</v>
      </c>
      <c r="F95" s="504">
        <f t="shared" si="57"/>
        <v>16010</v>
      </c>
      <c r="G95" s="504">
        <f t="shared" si="58"/>
        <v>10</v>
      </c>
      <c r="H95" s="504">
        <f t="shared" si="59"/>
        <v>3415.703</v>
      </c>
      <c r="I95" s="504">
        <f t="shared" si="60"/>
        <v>12594.297</v>
      </c>
      <c r="P95" s="371" t="s">
        <v>560</v>
      </c>
      <c r="Q95" s="372">
        <v>577269</v>
      </c>
      <c r="R95" s="372">
        <v>219912</v>
      </c>
      <c r="S95" s="372">
        <v>577269</v>
      </c>
      <c r="T95" s="372">
        <v>0</v>
      </c>
      <c r="U95" s="372">
        <f t="shared" si="62"/>
        <v>577.26900000000001</v>
      </c>
      <c r="V95" s="505">
        <f t="shared" si="63"/>
        <v>219.91200000000001</v>
      </c>
      <c r="W95" s="505">
        <f t="shared" si="64"/>
        <v>577.26900000000001</v>
      </c>
      <c r="X95" s="505">
        <f t="shared" si="65"/>
        <v>0</v>
      </c>
      <c r="AA95" s="371" t="s">
        <v>569</v>
      </c>
      <c r="AB95" s="372">
        <v>1157130</v>
      </c>
      <c r="AC95" s="505">
        <f t="shared" si="66"/>
        <v>1157.1300000000001</v>
      </c>
      <c r="AE95" s="373" t="s">
        <v>558</v>
      </c>
      <c r="AF95" s="504">
        <v>15356292</v>
      </c>
      <c r="AG95" s="504">
        <v>2939631</v>
      </c>
      <c r="AH95" s="504">
        <v>4334080</v>
      </c>
      <c r="AI95" s="504">
        <v>11022212</v>
      </c>
      <c r="AJ95" s="504">
        <f t="shared" si="67"/>
        <v>15356.291999999999</v>
      </c>
      <c r="AK95" s="504">
        <f t="shared" si="68"/>
        <v>2939.6309999999999</v>
      </c>
      <c r="AL95" s="504">
        <f t="shared" si="69"/>
        <v>4334.08</v>
      </c>
      <c r="AM95" s="504">
        <f t="shared" si="70"/>
        <v>11022.212</v>
      </c>
      <c r="AP95" s="371"/>
      <c r="AQ95" s="371"/>
      <c r="AR95" s="371"/>
      <c r="AS95" s="371"/>
      <c r="AT95" s="371" t="s">
        <v>558</v>
      </c>
      <c r="AU95" s="372">
        <v>15356292</v>
      </c>
      <c r="AV95" s="372">
        <v>4165120</v>
      </c>
      <c r="AW95" s="372">
        <v>5608142</v>
      </c>
      <c r="AX95" s="372">
        <v>9748150</v>
      </c>
      <c r="AY95" s="504">
        <f t="shared" si="72"/>
        <v>15356.291999999999</v>
      </c>
      <c r="AZ95" s="504">
        <f t="shared" si="73"/>
        <v>4165.12</v>
      </c>
      <c r="BA95" s="504">
        <f t="shared" si="74"/>
        <v>5608.1419999999998</v>
      </c>
      <c r="BB95" s="504">
        <f t="shared" si="75"/>
        <v>9748.15</v>
      </c>
      <c r="BH95" s="782" t="s">
        <v>560</v>
      </c>
      <c r="BI95" s="644">
        <v>1904119</v>
      </c>
      <c r="BJ95" s="644">
        <v>577269</v>
      </c>
      <c r="BK95" s="644">
        <v>1904119</v>
      </c>
      <c r="BL95" s="644">
        <v>0</v>
      </c>
      <c r="BM95" s="548">
        <f t="shared" si="77"/>
        <v>1904.1189999999999</v>
      </c>
      <c r="BN95" s="548">
        <f t="shared" si="78"/>
        <v>577.26900000000001</v>
      </c>
      <c r="BO95" s="548">
        <f t="shared" si="79"/>
        <v>1904.1189999999999</v>
      </c>
      <c r="BP95" s="650">
        <f t="shared" si="80"/>
        <v>0</v>
      </c>
      <c r="BS95" s="373" t="s">
        <v>1003</v>
      </c>
      <c r="BT95" s="597">
        <v>7213296</v>
      </c>
      <c r="BU95" s="597">
        <f t="shared" si="81"/>
        <v>7213.2960000000003</v>
      </c>
      <c r="BW95" s="597" t="s">
        <v>557</v>
      </c>
      <c r="BX95" s="597">
        <v>23926123</v>
      </c>
      <c r="BY95" s="597">
        <v>23926123</v>
      </c>
      <c r="BZ95" s="597">
        <v>0</v>
      </c>
      <c r="CA95" s="597">
        <v>23926123</v>
      </c>
      <c r="CB95" s="597">
        <f t="shared" si="82"/>
        <v>23926.123</v>
      </c>
      <c r="CC95" s="597">
        <f t="shared" si="83"/>
        <v>23926.123</v>
      </c>
      <c r="CD95" s="597">
        <f t="shared" si="84"/>
        <v>0</v>
      </c>
      <c r="CE95" s="597">
        <f t="shared" si="85"/>
        <v>23926.123</v>
      </c>
      <c r="CK95" s="371" t="s">
        <v>557</v>
      </c>
      <c r="CL95" s="372">
        <v>24143892</v>
      </c>
      <c r="CM95" s="372">
        <v>24143892</v>
      </c>
      <c r="CN95" s="372">
        <v>24143892</v>
      </c>
      <c r="CO95" s="372">
        <v>0</v>
      </c>
      <c r="CP95" s="597">
        <f t="shared" si="87"/>
        <v>24143.892</v>
      </c>
      <c r="CQ95" s="597">
        <f t="shared" si="88"/>
        <v>24143.892</v>
      </c>
      <c r="CR95" s="597">
        <f t="shared" si="89"/>
        <v>24143.892</v>
      </c>
      <c r="CS95" s="597">
        <f t="shared" si="90"/>
        <v>0</v>
      </c>
      <c r="CU95" s="548"/>
      <c r="CV95" s="371" t="s">
        <v>844</v>
      </c>
      <c r="CW95" s="372">
        <v>21682502</v>
      </c>
      <c r="CX95" s="372">
        <f t="shared" si="91"/>
        <v>21682.502</v>
      </c>
      <c r="CZ95" s="1059" t="s">
        <v>557</v>
      </c>
      <c r="DA95" s="1060">
        <v>28177992</v>
      </c>
      <c r="DB95" s="1060">
        <v>24143892</v>
      </c>
      <c r="DC95" s="1060">
        <v>27606792</v>
      </c>
      <c r="DD95" s="1060">
        <v>571200</v>
      </c>
      <c r="DE95" s="1060">
        <f t="shared" si="92"/>
        <v>28177.991999999998</v>
      </c>
      <c r="DF95" s="1060">
        <f t="shared" si="93"/>
        <v>24143.892</v>
      </c>
      <c r="DG95" s="1060">
        <f t="shared" si="94"/>
        <v>27606.792000000001</v>
      </c>
      <c r="DH95" s="1060">
        <f t="shared" si="95"/>
        <v>571.20000000000005</v>
      </c>
    </row>
    <row r="96" spans="1:112" x14ac:dyDescent="0.25">
      <c r="A96" s="504" t="s">
        <v>381</v>
      </c>
      <c r="B96" s="504">
        <v>9000000</v>
      </c>
      <c r="C96" s="504">
        <v>0</v>
      </c>
      <c r="D96" s="504">
        <v>3405703</v>
      </c>
      <c r="E96" s="504">
        <v>5594297</v>
      </c>
      <c r="F96" s="504">
        <f t="shared" si="57"/>
        <v>9000</v>
      </c>
      <c r="G96" s="504">
        <f t="shared" si="58"/>
        <v>0</v>
      </c>
      <c r="H96" s="504">
        <f t="shared" si="59"/>
        <v>3405.703</v>
      </c>
      <c r="I96" s="504">
        <f t="shared" si="60"/>
        <v>5594.2969999999996</v>
      </c>
      <c r="P96" s="371" t="s">
        <v>561</v>
      </c>
      <c r="Q96" s="372">
        <v>6000000</v>
      </c>
      <c r="R96" s="372">
        <v>0</v>
      </c>
      <c r="S96" s="372">
        <v>3521505</v>
      </c>
      <c r="T96" s="372">
        <v>2478495</v>
      </c>
      <c r="U96" s="372">
        <f t="shared" si="62"/>
        <v>6000</v>
      </c>
      <c r="V96" s="505">
        <f t="shared" si="63"/>
        <v>0</v>
      </c>
      <c r="W96" s="505">
        <f t="shared" si="64"/>
        <v>3521.5050000000001</v>
      </c>
      <c r="X96" s="505">
        <f t="shared" si="65"/>
        <v>2478.4949999999999</v>
      </c>
      <c r="AA96" s="371" t="s">
        <v>393</v>
      </c>
      <c r="AB96" s="372">
        <v>1157130</v>
      </c>
      <c r="AC96" s="505">
        <f t="shared" si="66"/>
        <v>1157.1300000000001</v>
      </c>
      <c r="AE96" s="373" t="s">
        <v>560</v>
      </c>
      <c r="AF96" s="504">
        <v>577269</v>
      </c>
      <c r="AG96" s="504">
        <v>577269</v>
      </c>
      <c r="AH96" s="504">
        <v>577269</v>
      </c>
      <c r="AI96" s="504">
        <v>0</v>
      </c>
      <c r="AJ96" s="504">
        <f t="shared" si="67"/>
        <v>577.26900000000001</v>
      </c>
      <c r="AK96" s="504">
        <f t="shared" si="68"/>
        <v>577.26900000000001</v>
      </c>
      <c r="AL96" s="504">
        <f t="shared" si="69"/>
        <v>577.26900000000001</v>
      </c>
      <c r="AM96" s="504">
        <f t="shared" si="70"/>
        <v>0</v>
      </c>
      <c r="AP96" s="371"/>
      <c r="AQ96" s="371"/>
      <c r="AR96" s="371"/>
      <c r="AS96" s="371"/>
      <c r="AT96" s="371" t="s">
        <v>560</v>
      </c>
      <c r="AU96" s="372">
        <v>1576869</v>
      </c>
      <c r="AV96" s="372">
        <v>577269</v>
      </c>
      <c r="AW96" s="372">
        <v>1576869</v>
      </c>
      <c r="AX96" s="372">
        <v>0</v>
      </c>
      <c r="AY96" s="504">
        <f t="shared" si="72"/>
        <v>1576.8689999999999</v>
      </c>
      <c r="AZ96" s="504">
        <f t="shared" si="73"/>
        <v>577.26900000000001</v>
      </c>
      <c r="BA96" s="504">
        <f t="shared" si="74"/>
        <v>1576.8689999999999</v>
      </c>
      <c r="BB96" s="504">
        <f t="shared" si="75"/>
        <v>0</v>
      </c>
      <c r="BH96" s="782" t="s">
        <v>561</v>
      </c>
      <c r="BI96" s="644">
        <v>6000000</v>
      </c>
      <c r="BJ96" s="644">
        <v>1173836</v>
      </c>
      <c r="BK96" s="644">
        <v>3521505</v>
      </c>
      <c r="BL96" s="644">
        <v>2478495</v>
      </c>
      <c r="BM96" s="548">
        <f t="shared" si="77"/>
        <v>6000</v>
      </c>
      <c r="BN96" s="548">
        <f t="shared" si="78"/>
        <v>1173.836</v>
      </c>
      <c r="BO96" s="548">
        <f t="shared" si="79"/>
        <v>3521.5050000000001</v>
      </c>
      <c r="BP96" s="650">
        <f t="shared" si="80"/>
        <v>2478.4949999999999</v>
      </c>
      <c r="BS96" s="373" t="s">
        <v>1004</v>
      </c>
      <c r="BT96" s="597">
        <v>7213296</v>
      </c>
      <c r="BU96" s="597">
        <f t="shared" si="81"/>
        <v>7213.2960000000003</v>
      </c>
      <c r="BW96" s="597" t="s">
        <v>558</v>
      </c>
      <c r="BX96" s="597">
        <v>14845109</v>
      </c>
      <c r="BY96" s="597">
        <v>8199842</v>
      </c>
      <c r="BZ96" s="597">
        <v>6645267</v>
      </c>
      <c r="CA96" s="597">
        <v>6287150</v>
      </c>
      <c r="CB96" s="597">
        <f t="shared" si="82"/>
        <v>14845.109</v>
      </c>
      <c r="CC96" s="597">
        <f t="shared" si="83"/>
        <v>8199.8420000000006</v>
      </c>
      <c r="CD96" s="597">
        <f t="shared" si="84"/>
        <v>6645.2669999999998</v>
      </c>
      <c r="CE96" s="597">
        <f t="shared" si="85"/>
        <v>6287.15</v>
      </c>
      <c r="CK96" s="371" t="s">
        <v>558</v>
      </c>
      <c r="CL96" s="372">
        <v>14031120</v>
      </c>
      <c r="CM96" s="372">
        <v>8152400</v>
      </c>
      <c r="CN96" s="372">
        <v>9773016</v>
      </c>
      <c r="CO96" s="372">
        <v>4258104</v>
      </c>
      <c r="CP96" s="597">
        <f t="shared" si="87"/>
        <v>14031.12</v>
      </c>
      <c r="CQ96" s="597">
        <f t="shared" si="88"/>
        <v>8152.4</v>
      </c>
      <c r="CR96" s="597">
        <f t="shared" si="89"/>
        <v>9773.0159999999996</v>
      </c>
      <c r="CS96" s="597">
        <f t="shared" si="90"/>
        <v>4258.1040000000003</v>
      </c>
      <c r="CU96" s="548"/>
      <c r="CV96" s="371" t="s">
        <v>849</v>
      </c>
      <c r="CW96" s="372">
        <v>4768796</v>
      </c>
      <c r="CX96" s="372">
        <f t="shared" si="91"/>
        <v>4768.7960000000003</v>
      </c>
      <c r="CZ96" s="1059" t="s">
        <v>558</v>
      </c>
      <c r="DA96" s="1060">
        <v>13847650</v>
      </c>
      <c r="DB96" s="1060">
        <v>9480599</v>
      </c>
      <c r="DC96" s="1060">
        <v>10759397</v>
      </c>
      <c r="DD96" s="1060">
        <v>3088253</v>
      </c>
      <c r="DE96" s="1060">
        <f t="shared" si="92"/>
        <v>13847.65</v>
      </c>
      <c r="DF96" s="1060">
        <f t="shared" si="93"/>
        <v>9480.5990000000002</v>
      </c>
      <c r="DG96" s="1060">
        <f t="shared" si="94"/>
        <v>10759.397000000001</v>
      </c>
      <c r="DH96" s="1060">
        <f t="shared" si="95"/>
        <v>3088.2530000000002</v>
      </c>
    </row>
    <row r="97" spans="1:112" x14ac:dyDescent="0.25">
      <c r="A97" s="504" t="s">
        <v>382</v>
      </c>
      <c r="B97" s="504">
        <v>7010000</v>
      </c>
      <c r="C97" s="504">
        <v>10000</v>
      </c>
      <c r="D97" s="504">
        <v>10000</v>
      </c>
      <c r="E97" s="504">
        <v>7000000</v>
      </c>
      <c r="F97" s="504">
        <f t="shared" si="57"/>
        <v>7010</v>
      </c>
      <c r="G97" s="504">
        <f t="shared" si="58"/>
        <v>10</v>
      </c>
      <c r="H97" s="504">
        <f t="shared" si="59"/>
        <v>10</v>
      </c>
      <c r="I97" s="504">
        <f t="shared" si="60"/>
        <v>7000</v>
      </c>
      <c r="P97" s="371" t="s">
        <v>380</v>
      </c>
      <c r="Q97" s="372">
        <v>16069500</v>
      </c>
      <c r="R97" s="372">
        <v>3475203</v>
      </c>
      <c r="S97" s="372">
        <v>4837484</v>
      </c>
      <c r="T97" s="372">
        <v>11232016</v>
      </c>
      <c r="U97" s="372">
        <f t="shared" si="62"/>
        <v>16069.5</v>
      </c>
      <c r="V97" s="505">
        <f t="shared" si="63"/>
        <v>3475.203</v>
      </c>
      <c r="W97" s="505">
        <f t="shared" si="64"/>
        <v>4837.4840000000004</v>
      </c>
      <c r="X97" s="505">
        <f t="shared" si="65"/>
        <v>11232.016</v>
      </c>
      <c r="AA97" s="371" t="s">
        <v>395</v>
      </c>
      <c r="AB97" s="372">
        <v>7213296</v>
      </c>
      <c r="AC97" s="505">
        <f t="shared" si="66"/>
        <v>7213.2960000000003</v>
      </c>
      <c r="AE97" s="373" t="s">
        <v>561</v>
      </c>
      <c r="AF97" s="504">
        <v>6000000</v>
      </c>
      <c r="AG97" s="504">
        <v>586918</v>
      </c>
      <c r="AH97" s="504">
        <v>3521505</v>
      </c>
      <c r="AI97" s="504">
        <v>2478495</v>
      </c>
      <c r="AJ97" s="504">
        <f t="shared" si="67"/>
        <v>6000</v>
      </c>
      <c r="AK97" s="504">
        <f t="shared" si="68"/>
        <v>586.91800000000001</v>
      </c>
      <c r="AL97" s="504">
        <f t="shared" si="69"/>
        <v>3521.5050000000001</v>
      </c>
      <c r="AM97" s="504">
        <f t="shared" si="70"/>
        <v>2478.4949999999999</v>
      </c>
      <c r="AP97" s="371"/>
      <c r="AQ97" s="371"/>
      <c r="AR97" s="371"/>
      <c r="AS97" s="371"/>
      <c r="AT97" s="371" t="s">
        <v>561</v>
      </c>
      <c r="AU97" s="372">
        <v>6000000</v>
      </c>
      <c r="AV97" s="372">
        <v>586918</v>
      </c>
      <c r="AW97" s="372">
        <v>3521505</v>
      </c>
      <c r="AX97" s="372">
        <v>2478495</v>
      </c>
      <c r="AY97" s="504">
        <f t="shared" si="72"/>
        <v>6000</v>
      </c>
      <c r="AZ97" s="504">
        <f t="shared" si="73"/>
        <v>586.91800000000001</v>
      </c>
      <c r="BA97" s="504">
        <f t="shared" si="74"/>
        <v>3521.5050000000001</v>
      </c>
      <c r="BB97" s="504">
        <f t="shared" si="75"/>
        <v>2478.4949999999999</v>
      </c>
      <c r="BH97" s="782" t="s">
        <v>380</v>
      </c>
      <c r="BI97" s="644">
        <v>159287900</v>
      </c>
      <c r="BJ97" s="644">
        <v>5762867</v>
      </c>
      <c r="BK97" s="644">
        <v>5762867</v>
      </c>
      <c r="BL97" s="644">
        <v>153525033</v>
      </c>
      <c r="BM97" s="548">
        <f t="shared" si="77"/>
        <v>159287.9</v>
      </c>
      <c r="BN97" s="548">
        <f t="shared" si="78"/>
        <v>5762.8670000000002</v>
      </c>
      <c r="BO97" s="548">
        <f t="shared" si="79"/>
        <v>5762.8670000000002</v>
      </c>
      <c r="BP97" s="650">
        <f t="shared" si="80"/>
        <v>153525.033</v>
      </c>
      <c r="BS97" s="373" t="s">
        <v>594</v>
      </c>
      <c r="BT97" s="597">
        <v>36737858</v>
      </c>
      <c r="BU97" s="597">
        <f t="shared" si="81"/>
        <v>36737.858</v>
      </c>
      <c r="BW97" s="597" t="s">
        <v>560</v>
      </c>
      <c r="BX97" s="597">
        <v>1904119</v>
      </c>
      <c r="BY97" s="597">
        <v>1904119</v>
      </c>
      <c r="BZ97" s="597">
        <v>0</v>
      </c>
      <c r="CA97" s="597">
        <v>1904119</v>
      </c>
      <c r="CB97" s="597">
        <f t="shared" si="82"/>
        <v>1904.1189999999999</v>
      </c>
      <c r="CC97" s="597">
        <f t="shared" si="83"/>
        <v>1904.1189999999999</v>
      </c>
      <c r="CD97" s="597">
        <f t="shared" si="84"/>
        <v>0</v>
      </c>
      <c r="CE97" s="597">
        <f t="shared" si="85"/>
        <v>1904.1189999999999</v>
      </c>
      <c r="CK97" s="371" t="s">
        <v>559</v>
      </c>
      <c r="CL97" s="372">
        <v>1387659</v>
      </c>
      <c r="CM97" s="372">
        <v>0</v>
      </c>
      <c r="CN97" s="372">
        <v>1387659</v>
      </c>
      <c r="CO97" s="372">
        <v>0</v>
      </c>
      <c r="CP97" s="597">
        <f t="shared" si="87"/>
        <v>1387.6590000000001</v>
      </c>
      <c r="CQ97" s="597">
        <f t="shared" si="88"/>
        <v>0</v>
      </c>
      <c r="CR97" s="597">
        <f t="shared" si="89"/>
        <v>1387.6590000000001</v>
      </c>
      <c r="CS97" s="597">
        <f t="shared" si="90"/>
        <v>0</v>
      </c>
      <c r="CU97" s="548"/>
      <c r="CV97" s="371" t="s">
        <v>577</v>
      </c>
      <c r="CW97" s="372">
        <v>38266652</v>
      </c>
      <c r="CX97" s="372">
        <f t="shared" si="91"/>
        <v>38266.652000000002</v>
      </c>
      <c r="CZ97" s="1059" t="s">
        <v>559</v>
      </c>
      <c r="DA97" s="1060">
        <v>1560209</v>
      </c>
      <c r="DB97" s="1060">
        <v>0</v>
      </c>
      <c r="DC97" s="1060">
        <v>1560209</v>
      </c>
      <c r="DD97" s="1060">
        <v>0</v>
      </c>
      <c r="DE97" s="1060">
        <f t="shared" si="92"/>
        <v>1560.2090000000001</v>
      </c>
      <c r="DF97" s="1060">
        <f t="shared" si="93"/>
        <v>0</v>
      </c>
      <c r="DG97" s="1060">
        <f t="shared" si="94"/>
        <v>1560.2090000000001</v>
      </c>
      <c r="DH97" s="1060">
        <f t="shared" si="95"/>
        <v>0</v>
      </c>
    </row>
    <row r="98" spans="1:112" x14ac:dyDescent="0.25">
      <c r="A98" s="504" t="s">
        <v>383</v>
      </c>
      <c r="B98" s="504">
        <v>286316472</v>
      </c>
      <c r="C98" s="504">
        <v>11402038</v>
      </c>
      <c r="D98" s="504">
        <v>141778267</v>
      </c>
      <c r="E98" s="504">
        <v>144538205</v>
      </c>
      <c r="F98" s="504">
        <f t="shared" si="57"/>
        <v>286316.47200000001</v>
      </c>
      <c r="G98" s="504">
        <f t="shared" si="58"/>
        <v>11402.038</v>
      </c>
      <c r="H98" s="504">
        <f t="shared" si="59"/>
        <v>141778.26699999999</v>
      </c>
      <c r="I98" s="504">
        <f t="shared" si="60"/>
        <v>144538.20499999999</v>
      </c>
      <c r="P98" s="371" t="s">
        <v>381</v>
      </c>
      <c r="Q98" s="372">
        <v>9000000</v>
      </c>
      <c r="R98" s="372">
        <v>3405703</v>
      </c>
      <c r="S98" s="372">
        <v>4767984</v>
      </c>
      <c r="T98" s="372">
        <v>4232016</v>
      </c>
      <c r="U98" s="372">
        <f t="shared" si="62"/>
        <v>9000</v>
      </c>
      <c r="V98" s="505">
        <f t="shared" si="63"/>
        <v>3405.703</v>
      </c>
      <c r="W98" s="505">
        <f t="shared" si="64"/>
        <v>4767.9840000000004</v>
      </c>
      <c r="X98" s="505">
        <f t="shared" si="65"/>
        <v>4232.0159999999996</v>
      </c>
      <c r="AA98" s="371" t="s">
        <v>1003</v>
      </c>
      <c r="AB98" s="372">
        <v>7213296</v>
      </c>
      <c r="AC98" s="505">
        <f t="shared" si="66"/>
        <v>7213.2960000000003</v>
      </c>
      <c r="AE98" s="373" t="s">
        <v>380</v>
      </c>
      <c r="AF98" s="504">
        <v>166091900</v>
      </c>
      <c r="AG98" s="504">
        <v>4978884</v>
      </c>
      <c r="AH98" s="504">
        <v>4978884</v>
      </c>
      <c r="AI98" s="504">
        <v>161113016</v>
      </c>
      <c r="AJ98" s="504">
        <f t="shared" si="67"/>
        <v>166091.9</v>
      </c>
      <c r="AK98" s="504">
        <f t="shared" si="68"/>
        <v>4978.884</v>
      </c>
      <c r="AL98" s="504">
        <f t="shared" si="69"/>
        <v>4978.884</v>
      </c>
      <c r="AM98" s="504">
        <f t="shared" si="70"/>
        <v>161113.016</v>
      </c>
      <c r="AP98" s="371"/>
      <c r="AQ98" s="371"/>
      <c r="AR98" s="371"/>
      <c r="AS98" s="371"/>
      <c r="AT98" s="371" t="s">
        <v>380</v>
      </c>
      <c r="AU98" s="372">
        <v>166167900</v>
      </c>
      <c r="AV98" s="372">
        <v>5054884</v>
      </c>
      <c r="AW98" s="372">
        <v>5054884</v>
      </c>
      <c r="AX98" s="372">
        <v>161113016</v>
      </c>
      <c r="AY98" s="504">
        <f t="shared" si="72"/>
        <v>166167.9</v>
      </c>
      <c r="AZ98" s="504">
        <f t="shared" si="73"/>
        <v>5054.884</v>
      </c>
      <c r="BA98" s="504">
        <f t="shared" si="74"/>
        <v>5054.884</v>
      </c>
      <c r="BB98" s="504">
        <f t="shared" si="75"/>
        <v>161113.016</v>
      </c>
      <c r="BH98" s="782" t="s">
        <v>381</v>
      </c>
      <c r="BI98" s="644">
        <v>159000000</v>
      </c>
      <c r="BJ98" s="644">
        <v>5475967</v>
      </c>
      <c r="BK98" s="644">
        <v>5475967</v>
      </c>
      <c r="BL98" s="644">
        <v>153524033</v>
      </c>
      <c r="BM98" s="548">
        <f t="shared" si="77"/>
        <v>159000</v>
      </c>
      <c r="BN98" s="548">
        <f t="shared" si="78"/>
        <v>5475.9669999999996</v>
      </c>
      <c r="BO98" s="548">
        <f t="shared" si="79"/>
        <v>5475.9669999999996</v>
      </c>
      <c r="BP98" s="650">
        <f t="shared" si="80"/>
        <v>153524.033</v>
      </c>
      <c r="BS98" s="373" t="s">
        <v>595</v>
      </c>
      <c r="BT98" s="597">
        <v>36737858</v>
      </c>
      <c r="BU98" s="597">
        <f t="shared" si="81"/>
        <v>36737.858</v>
      </c>
      <c r="BW98" s="597" t="s">
        <v>561</v>
      </c>
      <c r="BX98" s="597">
        <v>6000000</v>
      </c>
      <c r="BY98" s="597">
        <v>3521505</v>
      </c>
      <c r="BZ98" s="597">
        <v>2478495</v>
      </c>
      <c r="CA98" s="597">
        <v>1760754</v>
      </c>
      <c r="CB98" s="597">
        <f t="shared" si="82"/>
        <v>6000</v>
      </c>
      <c r="CC98" s="597">
        <f t="shared" si="83"/>
        <v>3521.5050000000001</v>
      </c>
      <c r="CD98" s="597">
        <f t="shared" si="84"/>
        <v>2478.4949999999999</v>
      </c>
      <c r="CE98" s="597">
        <f t="shared" si="85"/>
        <v>1760.7539999999999</v>
      </c>
      <c r="CK98" s="371" t="s">
        <v>560</v>
      </c>
      <c r="CL98" s="372">
        <v>1904119</v>
      </c>
      <c r="CM98" s="372">
        <v>1904119</v>
      </c>
      <c r="CN98" s="372">
        <v>1904119</v>
      </c>
      <c r="CO98" s="372">
        <v>0</v>
      </c>
      <c r="CP98" s="597">
        <f t="shared" si="87"/>
        <v>1904.1189999999999</v>
      </c>
      <c r="CQ98" s="597">
        <f t="shared" si="88"/>
        <v>1904.1189999999999</v>
      </c>
      <c r="CR98" s="597">
        <f t="shared" si="89"/>
        <v>1904.1189999999999</v>
      </c>
      <c r="CS98" s="597">
        <f t="shared" si="90"/>
        <v>0</v>
      </c>
      <c r="CU98" s="548"/>
      <c r="CV98" s="371" t="s">
        <v>398</v>
      </c>
      <c r="CW98" s="372">
        <v>38266652</v>
      </c>
      <c r="CX98" s="372">
        <f t="shared" si="91"/>
        <v>38266.652000000002</v>
      </c>
      <c r="CZ98" s="1059" t="s">
        <v>560</v>
      </c>
      <c r="DA98" s="1060">
        <v>2290869</v>
      </c>
      <c r="DB98" s="1060">
        <v>1904119</v>
      </c>
      <c r="DC98" s="1060">
        <v>2290869</v>
      </c>
      <c r="DD98" s="1060">
        <v>0</v>
      </c>
      <c r="DE98" s="1060">
        <f t="shared" si="92"/>
        <v>2290.8690000000001</v>
      </c>
      <c r="DF98" s="1060">
        <f t="shared" si="93"/>
        <v>1904.1189999999999</v>
      </c>
      <c r="DG98" s="1060">
        <f t="shared" si="94"/>
        <v>2290.8690000000001</v>
      </c>
      <c r="DH98" s="1060">
        <f t="shared" si="95"/>
        <v>0</v>
      </c>
    </row>
    <row r="99" spans="1:112" x14ac:dyDescent="0.25">
      <c r="A99" s="504" t="s">
        <v>384</v>
      </c>
      <c r="B99" s="504">
        <v>118014527</v>
      </c>
      <c r="C99" s="504">
        <v>4190284</v>
      </c>
      <c r="D99" s="504">
        <v>66367576</v>
      </c>
      <c r="E99" s="504">
        <v>51646951</v>
      </c>
      <c r="F99" s="504">
        <f t="shared" ref="F99:F130" si="96">+B99/$H$1*$I$1</f>
        <v>118014.527</v>
      </c>
      <c r="G99" s="504">
        <f t="shared" ref="G99:G130" si="97">+C99/$H$1*$I$1</f>
        <v>4190.2839999999997</v>
      </c>
      <c r="H99" s="504">
        <f t="shared" ref="H99:H130" si="98">+D99/$H$1*$I$1</f>
        <v>66367.576000000001</v>
      </c>
      <c r="I99" s="504">
        <f t="shared" ref="I99:I130" si="99">+E99/$H$1*$I$1</f>
        <v>51646.951000000001</v>
      </c>
      <c r="P99" s="371" t="s">
        <v>382</v>
      </c>
      <c r="Q99" s="372">
        <v>7069500</v>
      </c>
      <c r="R99" s="372">
        <v>69500</v>
      </c>
      <c r="S99" s="372">
        <v>69500</v>
      </c>
      <c r="T99" s="372">
        <v>7000000</v>
      </c>
      <c r="U99" s="372">
        <f t="shared" ref="U99:U130" si="100">+Q99/$W$1*$X$1</f>
        <v>7069.5</v>
      </c>
      <c r="V99" s="505">
        <f t="shared" ref="V99:V130" si="101">+R99/$W$1*$X$1</f>
        <v>69.5</v>
      </c>
      <c r="W99" s="505">
        <f t="shared" ref="W99:W130" si="102">+S99/$W$1*$X$1</f>
        <v>69.5</v>
      </c>
      <c r="X99" s="505">
        <f t="shared" ref="X99:X130" si="103">+T99/$W$1*$X$1</f>
        <v>7000</v>
      </c>
      <c r="AA99" s="371" t="s">
        <v>1004</v>
      </c>
      <c r="AB99" s="372">
        <v>7213296</v>
      </c>
      <c r="AC99" s="505">
        <f t="shared" ref="AC99:AC102" si="104">+AB99/$AB$1*$AC$1</f>
        <v>7213.2960000000003</v>
      </c>
      <c r="AE99" s="373" t="s">
        <v>381</v>
      </c>
      <c r="AF99" s="504">
        <v>159000000</v>
      </c>
      <c r="AG99" s="504">
        <v>4767984</v>
      </c>
      <c r="AH99" s="504">
        <v>4767984</v>
      </c>
      <c r="AI99" s="504">
        <v>154232016</v>
      </c>
      <c r="AJ99" s="504">
        <f t="shared" ref="AJ99:AJ130" si="105">+AF99/$AL$1*$AM$1</f>
        <v>159000</v>
      </c>
      <c r="AK99" s="504">
        <f t="shared" ref="AK99:AK130" si="106">+AG99/$AL$1*$AM$1</f>
        <v>4767.9840000000004</v>
      </c>
      <c r="AL99" s="504">
        <f t="shared" ref="AL99:AL130" si="107">+AH99/$AL$1*$AM$1</f>
        <v>4767.9840000000004</v>
      </c>
      <c r="AM99" s="504">
        <f t="shared" ref="AM99:AM130" si="108">+AI99/$AL$1*$AM$1</f>
        <v>154232.016</v>
      </c>
      <c r="AP99" s="371"/>
      <c r="AQ99" s="371"/>
      <c r="AR99" s="371"/>
      <c r="AS99" s="371"/>
      <c r="AT99" s="371" t="s">
        <v>381</v>
      </c>
      <c r="AU99" s="372">
        <v>159000000</v>
      </c>
      <c r="AV99" s="372">
        <v>4767984</v>
      </c>
      <c r="AW99" s="372">
        <v>4767984</v>
      </c>
      <c r="AX99" s="372">
        <v>154232016</v>
      </c>
      <c r="AY99" s="504">
        <f t="shared" si="72"/>
        <v>159000</v>
      </c>
      <c r="AZ99" s="504">
        <f t="shared" si="73"/>
        <v>4767.9840000000004</v>
      </c>
      <c r="BA99" s="504">
        <f t="shared" si="74"/>
        <v>4767.9840000000004</v>
      </c>
      <c r="BB99" s="504">
        <f t="shared" si="75"/>
        <v>154232.016</v>
      </c>
      <c r="BH99" s="782" t="s">
        <v>382</v>
      </c>
      <c r="BI99" s="644">
        <v>287900</v>
      </c>
      <c r="BJ99" s="644">
        <v>286900</v>
      </c>
      <c r="BK99" s="644">
        <v>286900</v>
      </c>
      <c r="BL99" s="644">
        <v>1000</v>
      </c>
      <c r="BM99" s="548">
        <f t="shared" si="77"/>
        <v>287.89999999999998</v>
      </c>
      <c r="BN99" s="548">
        <f t="shared" si="78"/>
        <v>286.89999999999998</v>
      </c>
      <c r="BO99" s="548">
        <f t="shared" si="79"/>
        <v>286.89999999999998</v>
      </c>
      <c r="BP99" s="650">
        <f t="shared" si="80"/>
        <v>1</v>
      </c>
      <c r="BS99" s="373" t="s">
        <v>844</v>
      </c>
      <c r="BT99" s="597">
        <v>36737858</v>
      </c>
      <c r="BU99" s="597">
        <f t="shared" si="81"/>
        <v>36737.858</v>
      </c>
      <c r="BW99" s="597" t="s">
        <v>380</v>
      </c>
      <c r="BX99" s="597">
        <v>159287900</v>
      </c>
      <c r="BY99" s="597">
        <v>6038007</v>
      </c>
      <c r="BZ99" s="597">
        <v>153249893</v>
      </c>
      <c r="CA99" s="597">
        <v>6038007</v>
      </c>
      <c r="CB99" s="597">
        <f t="shared" si="82"/>
        <v>159287.9</v>
      </c>
      <c r="CC99" s="597">
        <f t="shared" si="83"/>
        <v>6038.0069999999996</v>
      </c>
      <c r="CD99" s="597">
        <f t="shared" si="84"/>
        <v>153249.89300000001</v>
      </c>
      <c r="CE99" s="597">
        <f t="shared" si="85"/>
        <v>6038.0069999999996</v>
      </c>
      <c r="CK99" s="371" t="s">
        <v>561</v>
      </c>
      <c r="CL99" s="372">
        <v>9300000</v>
      </c>
      <c r="CM99" s="372">
        <v>1760754</v>
      </c>
      <c r="CN99" s="372">
        <v>3521505</v>
      </c>
      <c r="CO99" s="372">
        <v>5778495</v>
      </c>
      <c r="CP99" s="597">
        <f t="shared" si="87"/>
        <v>9300</v>
      </c>
      <c r="CQ99" s="597">
        <f t="shared" si="88"/>
        <v>1760.7539999999999</v>
      </c>
      <c r="CR99" s="597">
        <f t="shared" si="89"/>
        <v>3521.5050000000001</v>
      </c>
      <c r="CS99" s="597">
        <f t="shared" si="90"/>
        <v>5778.4949999999999</v>
      </c>
      <c r="CU99" s="548"/>
      <c r="CV99" s="371" t="s">
        <v>579</v>
      </c>
      <c r="CW99" s="372">
        <v>38266652</v>
      </c>
      <c r="CX99" s="372">
        <f t="shared" si="91"/>
        <v>38266.652000000002</v>
      </c>
      <c r="CZ99" s="1059" t="s">
        <v>561</v>
      </c>
      <c r="DA99" s="1060">
        <v>9300000</v>
      </c>
      <c r="DB99" s="1060">
        <v>2347672</v>
      </c>
      <c r="DC99" s="1060">
        <v>3521505</v>
      </c>
      <c r="DD99" s="1060">
        <v>5778495</v>
      </c>
      <c r="DE99" s="1060">
        <f t="shared" si="92"/>
        <v>9300</v>
      </c>
      <c r="DF99" s="1060">
        <f t="shared" si="93"/>
        <v>2347.672</v>
      </c>
      <c r="DG99" s="1060">
        <f t="shared" si="94"/>
        <v>3521.5050000000001</v>
      </c>
      <c r="DH99" s="1060">
        <f t="shared" si="95"/>
        <v>5778.4949999999999</v>
      </c>
    </row>
    <row r="100" spans="1:112" x14ac:dyDescent="0.25">
      <c r="A100" s="504" t="s">
        <v>468</v>
      </c>
      <c r="B100" s="504">
        <v>500000</v>
      </c>
      <c r="C100" s="504">
        <v>0</v>
      </c>
      <c r="D100" s="504">
        <v>0</v>
      </c>
      <c r="E100" s="504">
        <v>500000</v>
      </c>
      <c r="F100" s="504">
        <f t="shared" si="96"/>
        <v>500</v>
      </c>
      <c r="G100" s="504">
        <f t="shared" si="97"/>
        <v>0</v>
      </c>
      <c r="H100" s="504">
        <f t="shared" si="98"/>
        <v>0</v>
      </c>
      <c r="I100" s="504">
        <f t="shared" si="99"/>
        <v>500</v>
      </c>
      <c r="P100" s="371" t="s">
        <v>383</v>
      </c>
      <c r="Q100" s="372">
        <v>443413628</v>
      </c>
      <c r="R100" s="372">
        <v>40845820</v>
      </c>
      <c r="S100" s="372">
        <v>245279508</v>
      </c>
      <c r="T100" s="372">
        <v>198134120</v>
      </c>
      <c r="U100" s="372">
        <f t="shared" si="100"/>
        <v>443413.62800000003</v>
      </c>
      <c r="V100" s="505">
        <f t="shared" si="101"/>
        <v>40845.82</v>
      </c>
      <c r="W100" s="505">
        <f t="shared" si="102"/>
        <v>245279.508</v>
      </c>
      <c r="X100" s="505">
        <f t="shared" si="103"/>
        <v>198134.12</v>
      </c>
      <c r="AA100" s="371" t="s">
        <v>399</v>
      </c>
      <c r="AB100" s="372">
        <v>7613312730</v>
      </c>
      <c r="AC100" s="505">
        <f t="shared" si="104"/>
        <v>7613312.7300000004</v>
      </c>
      <c r="AE100" s="373" t="s">
        <v>382</v>
      </c>
      <c r="AF100" s="504">
        <v>7091900</v>
      </c>
      <c r="AG100" s="504">
        <v>210900</v>
      </c>
      <c r="AH100" s="504">
        <v>210900</v>
      </c>
      <c r="AI100" s="504">
        <v>6881000</v>
      </c>
      <c r="AJ100" s="504">
        <f t="shared" si="105"/>
        <v>7091.9</v>
      </c>
      <c r="AK100" s="504">
        <f t="shared" si="106"/>
        <v>210.9</v>
      </c>
      <c r="AL100" s="504">
        <f t="shared" si="107"/>
        <v>210.9</v>
      </c>
      <c r="AM100" s="504">
        <f t="shared" si="108"/>
        <v>6881</v>
      </c>
      <c r="AP100" s="371"/>
      <c r="AQ100" s="371"/>
      <c r="AR100" s="371"/>
      <c r="AS100" s="371"/>
      <c r="AT100" s="371" t="s">
        <v>382</v>
      </c>
      <c r="AU100" s="372">
        <v>7167900</v>
      </c>
      <c r="AV100" s="372">
        <v>286900</v>
      </c>
      <c r="AW100" s="372">
        <v>286900</v>
      </c>
      <c r="AX100" s="372">
        <v>6881000</v>
      </c>
      <c r="AY100" s="504">
        <f t="shared" si="72"/>
        <v>7167.9</v>
      </c>
      <c r="AZ100" s="504">
        <f t="shared" si="73"/>
        <v>286.89999999999998</v>
      </c>
      <c r="BA100" s="504">
        <f t="shared" si="74"/>
        <v>286.89999999999998</v>
      </c>
      <c r="BB100" s="504">
        <f t="shared" si="75"/>
        <v>6881</v>
      </c>
      <c r="BH100" s="782" t="s">
        <v>383</v>
      </c>
      <c r="BI100" s="644">
        <v>927498367</v>
      </c>
      <c r="BJ100" s="644">
        <v>165308791</v>
      </c>
      <c r="BK100" s="644">
        <v>429502116</v>
      </c>
      <c r="BL100" s="644">
        <v>497996251</v>
      </c>
      <c r="BM100" s="548">
        <f t="shared" si="77"/>
        <v>927498.36699999997</v>
      </c>
      <c r="BN100" s="548">
        <f t="shared" si="78"/>
        <v>165308.791</v>
      </c>
      <c r="BO100" s="548">
        <f t="shared" si="79"/>
        <v>429502.11599999998</v>
      </c>
      <c r="BP100" s="650">
        <f t="shared" si="80"/>
        <v>497996.25099999999</v>
      </c>
      <c r="BS100" s="373" t="s">
        <v>399</v>
      </c>
      <c r="BT100" s="597">
        <v>155341832</v>
      </c>
      <c r="BU100" s="597">
        <f t="shared" si="81"/>
        <v>155341.83199999999</v>
      </c>
      <c r="BW100" s="597" t="s">
        <v>381</v>
      </c>
      <c r="BX100" s="597">
        <v>159000000</v>
      </c>
      <c r="BY100" s="597">
        <v>5751107</v>
      </c>
      <c r="BZ100" s="597">
        <v>153248893</v>
      </c>
      <c r="CA100" s="597">
        <v>5751107</v>
      </c>
      <c r="CB100" s="597">
        <f t="shared" si="82"/>
        <v>159000</v>
      </c>
      <c r="CC100" s="597">
        <f t="shared" si="83"/>
        <v>5751.107</v>
      </c>
      <c r="CD100" s="597">
        <f t="shared" si="84"/>
        <v>153248.89300000001</v>
      </c>
      <c r="CE100" s="597">
        <f t="shared" si="85"/>
        <v>5751.107</v>
      </c>
      <c r="CK100" s="371" t="s">
        <v>379</v>
      </c>
      <c r="CL100" s="372">
        <v>410100</v>
      </c>
      <c r="CM100" s="372">
        <v>410100</v>
      </c>
      <c r="CN100" s="372">
        <v>410100</v>
      </c>
      <c r="CO100" s="372">
        <v>0</v>
      </c>
      <c r="CP100" s="597">
        <f t="shared" si="87"/>
        <v>410.1</v>
      </c>
      <c r="CQ100" s="597">
        <f t="shared" si="88"/>
        <v>410.1</v>
      </c>
      <c r="CR100" s="597">
        <f t="shared" si="89"/>
        <v>410.1</v>
      </c>
      <c r="CS100" s="597">
        <f t="shared" si="90"/>
        <v>0</v>
      </c>
      <c r="CU100" s="548"/>
      <c r="CZ100" s="1059" t="s">
        <v>379</v>
      </c>
      <c r="DA100" s="1060">
        <v>410100</v>
      </c>
      <c r="DB100" s="1060">
        <v>410100</v>
      </c>
      <c r="DC100" s="1060">
        <v>410100</v>
      </c>
      <c r="DD100" s="1060">
        <v>0</v>
      </c>
      <c r="DE100" s="1060">
        <f t="shared" si="92"/>
        <v>410.1</v>
      </c>
      <c r="DF100" s="1060">
        <f t="shared" si="93"/>
        <v>410.1</v>
      </c>
      <c r="DG100" s="1060">
        <f t="shared" si="94"/>
        <v>410.1</v>
      </c>
      <c r="DH100" s="1060">
        <f t="shared" si="95"/>
        <v>0</v>
      </c>
    </row>
    <row r="101" spans="1:112" x14ac:dyDescent="0.25">
      <c r="A101" s="504" t="s">
        <v>562</v>
      </c>
      <c r="B101" s="504">
        <v>48503899</v>
      </c>
      <c r="C101" s="504">
        <v>6652254</v>
      </c>
      <c r="D101" s="504">
        <v>46287435</v>
      </c>
      <c r="E101" s="504">
        <v>2216464</v>
      </c>
      <c r="F101" s="504">
        <f t="shared" si="96"/>
        <v>48503.898999999998</v>
      </c>
      <c r="G101" s="504">
        <f t="shared" si="97"/>
        <v>6652.2539999999999</v>
      </c>
      <c r="H101" s="504">
        <f t="shared" si="98"/>
        <v>46287.434999999998</v>
      </c>
      <c r="I101" s="504">
        <f t="shared" si="99"/>
        <v>2216.4639999999999</v>
      </c>
      <c r="P101" s="371" t="s">
        <v>384</v>
      </c>
      <c r="Q101" s="372">
        <v>120568531</v>
      </c>
      <c r="R101" s="372">
        <v>12309131</v>
      </c>
      <c r="S101" s="372">
        <v>87634980</v>
      </c>
      <c r="T101" s="372">
        <v>32933551</v>
      </c>
      <c r="U101" s="372">
        <f t="shared" si="100"/>
        <v>120568.531</v>
      </c>
      <c r="V101" s="505">
        <f t="shared" si="101"/>
        <v>12309.130999999999</v>
      </c>
      <c r="W101" s="505">
        <f t="shared" si="102"/>
        <v>87634.98</v>
      </c>
      <c r="X101" s="505">
        <f t="shared" si="103"/>
        <v>32933.550999999999</v>
      </c>
      <c r="AA101" s="371" t="s">
        <v>400</v>
      </c>
      <c r="AB101" s="372">
        <v>7137347763</v>
      </c>
      <c r="AC101" s="505">
        <f t="shared" si="104"/>
        <v>7137347.7630000003</v>
      </c>
      <c r="AE101" s="373" t="s">
        <v>383</v>
      </c>
      <c r="AF101" s="504">
        <v>631450970</v>
      </c>
      <c r="AG101" s="504">
        <v>86472824</v>
      </c>
      <c r="AH101" s="504">
        <v>260819767</v>
      </c>
      <c r="AI101" s="504">
        <v>370631203</v>
      </c>
      <c r="AJ101" s="504">
        <f t="shared" si="105"/>
        <v>631450.97</v>
      </c>
      <c r="AK101" s="504">
        <f t="shared" si="106"/>
        <v>86472.823999999993</v>
      </c>
      <c r="AL101" s="504">
        <f t="shared" si="107"/>
        <v>260819.76699999999</v>
      </c>
      <c r="AM101" s="504">
        <f t="shared" si="108"/>
        <v>370631.20299999998</v>
      </c>
      <c r="AP101" s="371"/>
      <c r="AQ101" s="371"/>
      <c r="AR101" s="371"/>
      <c r="AS101" s="371"/>
      <c r="AT101" s="371" t="s">
        <v>383</v>
      </c>
      <c r="AU101" s="372">
        <v>797014234</v>
      </c>
      <c r="AV101" s="372">
        <v>137368497</v>
      </c>
      <c r="AW101" s="372">
        <v>294153467</v>
      </c>
      <c r="AX101" s="372">
        <v>502860767</v>
      </c>
      <c r="AY101" s="504">
        <f t="shared" si="72"/>
        <v>797014.23400000005</v>
      </c>
      <c r="AZ101" s="504">
        <f t="shared" si="73"/>
        <v>137368.497</v>
      </c>
      <c r="BA101" s="504">
        <f t="shared" si="74"/>
        <v>294153.467</v>
      </c>
      <c r="BB101" s="504">
        <f t="shared" si="75"/>
        <v>502860.76699999999</v>
      </c>
      <c r="BH101" s="782" t="s">
        <v>384</v>
      </c>
      <c r="BI101" s="644">
        <v>121705288</v>
      </c>
      <c r="BJ101" s="644">
        <v>41054397</v>
      </c>
      <c r="BK101" s="644">
        <v>91813411</v>
      </c>
      <c r="BL101" s="644">
        <v>29891877</v>
      </c>
      <c r="BM101" s="548">
        <f t="shared" si="77"/>
        <v>121705.288</v>
      </c>
      <c r="BN101" s="548">
        <f t="shared" si="78"/>
        <v>41054.396999999997</v>
      </c>
      <c r="BO101" s="548">
        <f t="shared" si="79"/>
        <v>91813.410999999993</v>
      </c>
      <c r="BP101" s="650">
        <f t="shared" si="80"/>
        <v>29891.877</v>
      </c>
      <c r="BS101" s="373" t="s">
        <v>400</v>
      </c>
      <c r="BT101" s="597">
        <v>132786362</v>
      </c>
      <c r="BU101" s="597">
        <f t="shared" si="81"/>
        <v>132786.36199999999</v>
      </c>
      <c r="BW101" s="597" t="s">
        <v>382</v>
      </c>
      <c r="BX101" s="597">
        <v>287900</v>
      </c>
      <c r="BY101" s="597">
        <v>286900</v>
      </c>
      <c r="BZ101" s="597">
        <v>1000</v>
      </c>
      <c r="CA101" s="597">
        <v>286900</v>
      </c>
      <c r="CB101" s="597">
        <f t="shared" si="82"/>
        <v>287.89999999999998</v>
      </c>
      <c r="CC101" s="597">
        <f t="shared" si="83"/>
        <v>286.89999999999998</v>
      </c>
      <c r="CD101" s="597">
        <f t="shared" si="84"/>
        <v>1</v>
      </c>
      <c r="CE101" s="597">
        <f t="shared" si="85"/>
        <v>286.89999999999998</v>
      </c>
      <c r="CK101" s="371" t="s">
        <v>380</v>
      </c>
      <c r="CL101" s="372">
        <v>158942800</v>
      </c>
      <c r="CM101" s="372">
        <v>6038007</v>
      </c>
      <c r="CN101" s="372">
        <v>158218999</v>
      </c>
      <c r="CO101" s="372">
        <v>723801</v>
      </c>
      <c r="CP101" s="597">
        <f t="shared" si="87"/>
        <v>158942.79999999999</v>
      </c>
      <c r="CQ101" s="597">
        <f t="shared" si="88"/>
        <v>6038.0069999999996</v>
      </c>
      <c r="CR101" s="597">
        <f t="shared" si="89"/>
        <v>158218.99900000001</v>
      </c>
      <c r="CS101" s="597">
        <f t="shared" si="90"/>
        <v>723.80100000000004</v>
      </c>
      <c r="CU101" s="548"/>
      <c r="CZ101" s="1059" t="s">
        <v>380</v>
      </c>
      <c r="DA101" s="1060">
        <v>161423950</v>
      </c>
      <c r="DB101" s="1060">
        <v>8218999</v>
      </c>
      <c r="DC101" s="1060">
        <v>160700149</v>
      </c>
      <c r="DD101" s="1060">
        <v>723801</v>
      </c>
      <c r="DE101" s="1060">
        <f t="shared" si="92"/>
        <v>161423.95000000001</v>
      </c>
      <c r="DF101" s="1060">
        <f t="shared" si="93"/>
        <v>8218.9989999999998</v>
      </c>
      <c r="DG101" s="1060">
        <f t="shared" si="94"/>
        <v>160700.149</v>
      </c>
      <c r="DH101" s="1060">
        <f t="shared" si="95"/>
        <v>723.80100000000004</v>
      </c>
    </row>
    <row r="102" spans="1:112" x14ac:dyDescent="0.25">
      <c r="A102" s="504" t="s">
        <v>563</v>
      </c>
      <c r="B102" s="504">
        <v>41983249</v>
      </c>
      <c r="C102" s="504">
        <v>0</v>
      </c>
      <c r="D102" s="504">
        <v>23146459</v>
      </c>
      <c r="E102" s="504">
        <v>18836790</v>
      </c>
      <c r="F102" s="504">
        <f t="shared" si="96"/>
        <v>41983.249000000003</v>
      </c>
      <c r="G102" s="504">
        <f t="shared" si="97"/>
        <v>0</v>
      </c>
      <c r="H102" s="504">
        <f t="shared" si="98"/>
        <v>23146.458999999999</v>
      </c>
      <c r="I102" s="504">
        <f t="shared" si="99"/>
        <v>18836.79</v>
      </c>
      <c r="P102" s="371" t="s">
        <v>468</v>
      </c>
      <c r="Q102" s="372">
        <v>12775580</v>
      </c>
      <c r="R102" s="372">
        <v>972055</v>
      </c>
      <c r="S102" s="372">
        <v>12775580</v>
      </c>
      <c r="T102" s="372">
        <v>0</v>
      </c>
      <c r="U102" s="372">
        <f t="shared" si="100"/>
        <v>12775.58</v>
      </c>
      <c r="V102" s="505">
        <f t="shared" si="101"/>
        <v>972.05499999999995</v>
      </c>
      <c r="W102" s="505">
        <f t="shared" si="102"/>
        <v>12775.58</v>
      </c>
      <c r="X102" s="505">
        <f t="shared" si="103"/>
        <v>0</v>
      </c>
      <c r="AA102" s="371" t="s">
        <v>402</v>
      </c>
      <c r="AB102" s="372">
        <v>475964967</v>
      </c>
      <c r="AC102" s="505">
        <f t="shared" si="104"/>
        <v>475964.967</v>
      </c>
      <c r="AE102" s="373" t="s">
        <v>384</v>
      </c>
      <c r="AF102" s="504">
        <v>120568531</v>
      </c>
      <c r="AG102" s="504">
        <v>21771879</v>
      </c>
      <c r="AH102" s="504">
        <v>91633380</v>
      </c>
      <c r="AI102" s="504">
        <v>28935151</v>
      </c>
      <c r="AJ102" s="504">
        <f t="shared" si="105"/>
        <v>120568.531</v>
      </c>
      <c r="AK102" s="504">
        <f t="shared" si="106"/>
        <v>21771.879000000001</v>
      </c>
      <c r="AL102" s="504">
        <f t="shared" si="107"/>
        <v>91633.38</v>
      </c>
      <c r="AM102" s="504">
        <f t="shared" si="108"/>
        <v>28935.151000000002</v>
      </c>
      <c r="AP102" s="371"/>
      <c r="AQ102" s="371"/>
      <c r="AR102" s="371"/>
      <c r="AS102" s="371"/>
      <c r="AT102" s="371" t="s">
        <v>384</v>
      </c>
      <c r="AU102" s="372">
        <v>121849231</v>
      </c>
      <c r="AV102" s="372">
        <v>32079140</v>
      </c>
      <c r="AW102" s="372">
        <v>97247412</v>
      </c>
      <c r="AX102" s="372">
        <v>24601819</v>
      </c>
      <c r="AY102" s="504">
        <f t="shared" si="72"/>
        <v>121849.231</v>
      </c>
      <c r="AZ102" s="504">
        <f t="shared" si="73"/>
        <v>32079.14</v>
      </c>
      <c r="BA102" s="504">
        <f t="shared" si="74"/>
        <v>97247.411999999997</v>
      </c>
      <c r="BB102" s="504">
        <f t="shared" si="75"/>
        <v>24601.819</v>
      </c>
      <c r="BH102" s="782" t="s">
        <v>468</v>
      </c>
      <c r="BI102" s="644">
        <v>13342777</v>
      </c>
      <c r="BJ102" s="644">
        <v>2916165</v>
      </c>
      <c r="BK102" s="644">
        <v>12775580</v>
      </c>
      <c r="BL102" s="644">
        <v>567197</v>
      </c>
      <c r="BM102" s="548">
        <f t="shared" si="77"/>
        <v>13342.777</v>
      </c>
      <c r="BN102" s="548">
        <f t="shared" si="78"/>
        <v>2916.165</v>
      </c>
      <c r="BO102" s="548">
        <f t="shared" si="79"/>
        <v>12775.58</v>
      </c>
      <c r="BP102" s="650">
        <f t="shared" si="80"/>
        <v>567.197</v>
      </c>
      <c r="BS102" s="373" t="s">
        <v>402</v>
      </c>
      <c r="BT102" s="597">
        <v>22555470</v>
      </c>
      <c r="BU102" s="597">
        <f>+BT102/$BT$1*$BU$1</f>
        <v>22555.47</v>
      </c>
      <c r="BW102" s="597" t="s">
        <v>383</v>
      </c>
      <c r="BX102" s="597">
        <v>782047324</v>
      </c>
      <c r="BY102" s="597">
        <v>514212431</v>
      </c>
      <c r="BZ102" s="597">
        <v>267834893</v>
      </c>
      <c r="CA102" s="597">
        <v>229557480</v>
      </c>
      <c r="CB102" s="597">
        <f t="shared" si="82"/>
        <v>782047.32400000002</v>
      </c>
      <c r="CC102" s="597">
        <f t="shared" si="83"/>
        <v>514212.43099999998</v>
      </c>
      <c r="CD102" s="597">
        <f t="shared" si="84"/>
        <v>267834.89299999998</v>
      </c>
      <c r="CE102" s="597">
        <f t="shared" si="85"/>
        <v>229557.48</v>
      </c>
      <c r="CK102" s="371" t="s">
        <v>381</v>
      </c>
      <c r="CL102" s="372">
        <v>158654900</v>
      </c>
      <c r="CM102" s="372">
        <v>5751107</v>
      </c>
      <c r="CN102" s="372">
        <v>157932099</v>
      </c>
      <c r="CO102" s="372">
        <v>722801</v>
      </c>
      <c r="CP102" s="597">
        <f t="shared" si="87"/>
        <v>158654.9</v>
      </c>
      <c r="CQ102" s="597">
        <f t="shared" si="88"/>
        <v>5751.107</v>
      </c>
      <c r="CR102" s="597">
        <f t="shared" si="89"/>
        <v>157932.09899999999</v>
      </c>
      <c r="CS102" s="597">
        <f t="shared" si="90"/>
        <v>722.80100000000004</v>
      </c>
      <c r="CU102" s="548"/>
      <c r="CZ102" s="1059" t="s">
        <v>381</v>
      </c>
      <c r="DA102" s="1060">
        <v>158654900</v>
      </c>
      <c r="DB102" s="1060">
        <v>7932099</v>
      </c>
      <c r="DC102" s="1060">
        <v>157932099</v>
      </c>
      <c r="DD102" s="1060">
        <v>722801</v>
      </c>
      <c r="DE102" s="1060">
        <f t="shared" si="92"/>
        <v>158654.9</v>
      </c>
      <c r="DF102" s="1060">
        <f t="shared" si="93"/>
        <v>7932.0990000000002</v>
      </c>
      <c r="DG102" s="1060">
        <f t="shared" si="94"/>
        <v>157932.09899999999</v>
      </c>
      <c r="DH102" s="1060">
        <f t="shared" si="95"/>
        <v>722.80100000000004</v>
      </c>
    </row>
    <row r="103" spans="1:112" x14ac:dyDescent="0.25">
      <c r="A103" s="504" t="s">
        <v>564</v>
      </c>
      <c r="B103" s="504">
        <v>3000000</v>
      </c>
      <c r="C103" s="504">
        <v>262000</v>
      </c>
      <c r="D103" s="504">
        <v>262000</v>
      </c>
      <c r="E103" s="504">
        <v>2738000</v>
      </c>
      <c r="F103" s="504">
        <f t="shared" si="96"/>
        <v>3000</v>
      </c>
      <c r="G103" s="504">
        <f t="shared" si="97"/>
        <v>262</v>
      </c>
      <c r="H103" s="504">
        <f t="shared" si="98"/>
        <v>262</v>
      </c>
      <c r="I103" s="504">
        <f t="shared" si="99"/>
        <v>2738</v>
      </c>
      <c r="P103" s="371" t="s">
        <v>562</v>
      </c>
      <c r="Q103" s="372">
        <v>122880441</v>
      </c>
      <c r="R103" s="372">
        <v>16254616</v>
      </c>
      <c r="S103" s="372">
        <v>53319236</v>
      </c>
      <c r="T103" s="372">
        <v>69561205</v>
      </c>
      <c r="U103" s="372">
        <f t="shared" si="100"/>
        <v>122880.44100000001</v>
      </c>
      <c r="V103" s="505">
        <f t="shared" si="101"/>
        <v>16254.616</v>
      </c>
      <c r="W103" s="505">
        <f t="shared" si="102"/>
        <v>53319.235999999997</v>
      </c>
      <c r="X103" s="505">
        <f t="shared" si="103"/>
        <v>69561.205000000002</v>
      </c>
      <c r="AE103" s="373" t="s">
        <v>468</v>
      </c>
      <c r="AF103" s="504">
        <v>12775580</v>
      </c>
      <c r="AG103" s="504">
        <v>1944110</v>
      </c>
      <c r="AH103" s="504">
        <v>12775580</v>
      </c>
      <c r="AI103" s="504">
        <v>0</v>
      </c>
      <c r="AJ103" s="504">
        <f t="shared" si="105"/>
        <v>12775.58</v>
      </c>
      <c r="AK103" s="504">
        <f t="shared" si="106"/>
        <v>1944.11</v>
      </c>
      <c r="AL103" s="504">
        <f t="shared" si="107"/>
        <v>12775.58</v>
      </c>
      <c r="AM103" s="504">
        <f t="shared" si="108"/>
        <v>0</v>
      </c>
      <c r="AP103" s="371"/>
      <c r="AQ103" s="371"/>
      <c r="AR103" s="371"/>
      <c r="AS103" s="371"/>
      <c r="AT103" s="371" t="s">
        <v>468</v>
      </c>
      <c r="AU103" s="372">
        <v>12775580</v>
      </c>
      <c r="AV103" s="372">
        <v>2916165</v>
      </c>
      <c r="AW103" s="372">
        <v>12775580</v>
      </c>
      <c r="AX103" s="372">
        <v>0</v>
      </c>
      <c r="AY103" s="504">
        <f t="shared" si="72"/>
        <v>12775.58</v>
      </c>
      <c r="AZ103" s="504">
        <f t="shared" si="73"/>
        <v>2916.165</v>
      </c>
      <c r="BA103" s="504">
        <f t="shared" si="74"/>
        <v>12775.58</v>
      </c>
      <c r="BB103" s="504">
        <f t="shared" si="75"/>
        <v>0</v>
      </c>
      <c r="BH103" s="782" t="s">
        <v>562</v>
      </c>
      <c r="BI103" s="644">
        <v>194880729</v>
      </c>
      <c r="BJ103" s="644">
        <v>72732062</v>
      </c>
      <c r="BK103" s="644">
        <v>106045906</v>
      </c>
      <c r="BL103" s="644">
        <v>88834823</v>
      </c>
      <c r="BM103" s="548">
        <f t="shared" si="77"/>
        <v>194880.72899999999</v>
      </c>
      <c r="BN103" s="548">
        <f t="shared" si="78"/>
        <v>72732.062000000005</v>
      </c>
      <c r="BO103" s="548">
        <f t="shared" si="79"/>
        <v>106045.906</v>
      </c>
      <c r="BP103" s="650">
        <f t="shared" si="80"/>
        <v>88834.823000000004</v>
      </c>
      <c r="BT103" s="597">
        <f>SUM(BT3:BT102)</f>
        <v>11266971559</v>
      </c>
      <c r="BW103" s="597" t="s">
        <v>384</v>
      </c>
      <c r="BX103" s="597">
        <v>118268088</v>
      </c>
      <c r="BY103" s="597">
        <v>95817069</v>
      </c>
      <c r="BZ103" s="597">
        <v>22451019</v>
      </c>
      <c r="CA103" s="597">
        <v>49035182</v>
      </c>
      <c r="CB103" s="597">
        <f t="shared" si="82"/>
        <v>118268.088</v>
      </c>
      <c r="CC103" s="597">
        <f t="shared" si="83"/>
        <v>95817.069000000003</v>
      </c>
      <c r="CD103" s="597">
        <f t="shared" si="84"/>
        <v>22451.019</v>
      </c>
      <c r="CE103" s="597">
        <f t="shared" si="85"/>
        <v>49035.182000000001</v>
      </c>
      <c r="CK103" s="371" t="s">
        <v>382</v>
      </c>
      <c r="CL103" s="372">
        <v>287900</v>
      </c>
      <c r="CM103" s="372">
        <v>286900</v>
      </c>
      <c r="CN103" s="372">
        <v>286900</v>
      </c>
      <c r="CO103" s="372">
        <v>1000</v>
      </c>
      <c r="CP103" s="597">
        <f t="shared" si="87"/>
        <v>287.89999999999998</v>
      </c>
      <c r="CQ103" s="597">
        <f t="shared" si="88"/>
        <v>286.89999999999998</v>
      </c>
      <c r="CR103" s="597">
        <f t="shared" si="89"/>
        <v>286.89999999999998</v>
      </c>
      <c r="CS103" s="597">
        <f t="shared" si="90"/>
        <v>1</v>
      </c>
      <c r="CU103" s="548"/>
      <c r="CZ103" s="1059" t="s">
        <v>382</v>
      </c>
      <c r="DA103" s="1060">
        <v>287900</v>
      </c>
      <c r="DB103" s="1060">
        <v>286900</v>
      </c>
      <c r="DC103" s="1060">
        <v>286900</v>
      </c>
      <c r="DD103" s="1060">
        <v>1000</v>
      </c>
      <c r="DE103" s="1060">
        <f t="shared" si="92"/>
        <v>287.89999999999998</v>
      </c>
      <c r="DF103" s="1060">
        <f t="shared" si="93"/>
        <v>286.89999999999998</v>
      </c>
      <c r="DG103" s="1060">
        <f t="shared" si="94"/>
        <v>286.89999999999998</v>
      </c>
      <c r="DH103" s="1060">
        <f t="shared" si="95"/>
        <v>1</v>
      </c>
    </row>
    <row r="104" spans="1:112" x14ac:dyDescent="0.25">
      <c r="A104" s="504" t="s">
        <v>385</v>
      </c>
      <c r="B104" s="504">
        <v>74314797</v>
      </c>
      <c r="C104" s="504">
        <v>297500</v>
      </c>
      <c r="D104" s="504">
        <v>5714797</v>
      </c>
      <c r="E104" s="504">
        <v>68600000</v>
      </c>
      <c r="F104" s="504">
        <f t="shared" si="96"/>
        <v>74314.797000000006</v>
      </c>
      <c r="G104" s="504">
        <f t="shared" si="97"/>
        <v>297.5</v>
      </c>
      <c r="H104" s="504">
        <f t="shared" si="98"/>
        <v>5714.7969999999996</v>
      </c>
      <c r="I104" s="504">
        <f t="shared" si="99"/>
        <v>68600</v>
      </c>
      <c r="P104" s="371" t="s">
        <v>563</v>
      </c>
      <c r="Q104" s="372">
        <v>40374359</v>
      </c>
      <c r="R104" s="372">
        <v>4512180</v>
      </c>
      <c r="S104" s="372">
        <v>33537459</v>
      </c>
      <c r="T104" s="372">
        <v>6836900</v>
      </c>
      <c r="U104" s="372">
        <f t="shared" si="100"/>
        <v>40374.358999999997</v>
      </c>
      <c r="V104" s="505">
        <f t="shared" si="101"/>
        <v>4512.18</v>
      </c>
      <c r="W104" s="505">
        <f t="shared" si="102"/>
        <v>33537.459000000003</v>
      </c>
      <c r="X104" s="505">
        <f t="shared" si="103"/>
        <v>6836.9</v>
      </c>
      <c r="AA104" s="371"/>
      <c r="AB104" s="372"/>
      <c r="AC104" s="505"/>
      <c r="AE104" s="373" t="s">
        <v>562</v>
      </c>
      <c r="AF104" s="504">
        <v>124059752</v>
      </c>
      <c r="AG104" s="504">
        <v>44619192</v>
      </c>
      <c r="AH104" s="504">
        <v>81798033</v>
      </c>
      <c r="AI104" s="504">
        <v>42261719</v>
      </c>
      <c r="AJ104" s="504">
        <f t="shared" si="105"/>
        <v>124059.75199999999</v>
      </c>
      <c r="AK104" s="504">
        <f t="shared" si="106"/>
        <v>44619.192000000003</v>
      </c>
      <c r="AL104" s="504">
        <f t="shared" si="107"/>
        <v>81798.032999999996</v>
      </c>
      <c r="AM104" s="504">
        <f t="shared" si="108"/>
        <v>42261.718999999997</v>
      </c>
      <c r="AP104" s="371"/>
      <c r="AQ104" s="372"/>
      <c r="AR104" s="372"/>
      <c r="AT104" s="371" t="s">
        <v>562</v>
      </c>
      <c r="AU104" s="372">
        <v>125611752</v>
      </c>
      <c r="AV104" s="372">
        <v>64361141</v>
      </c>
      <c r="AW104" s="372">
        <v>98388508</v>
      </c>
      <c r="AX104" s="372">
        <v>27223244</v>
      </c>
      <c r="AY104" s="504">
        <f t="shared" si="72"/>
        <v>125611.75199999999</v>
      </c>
      <c r="AZ104" s="504">
        <f t="shared" si="73"/>
        <v>64361.141000000003</v>
      </c>
      <c r="BA104" s="504">
        <f t="shared" si="74"/>
        <v>98388.508000000002</v>
      </c>
      <c r="BB104" s="504">
        <f t="shared" si="75"/>
        <v>27223.243999999999</v>
      </c>
      <c r="BH104" s="782" t="s">
        <v>563</v>
      </c>
      <c r="BI104" s="644">
        <v>85000000</v>
      </c>
      <c r="BJ104" s="644">
        <v>22080869</v>
      </c>
      <c r="BK104" s="644">
        <v>69973519</v>
      </c>
      <c r="BL104" s="644">
        <v>15026481</v>
      </c>
      <c r="BM104" s="548">
        <f t="shared" si="77"/>
        <v>85000</v>
      </c>
      <c r="BN104" s="548">
        <f t="shared" si="78"/>
        <v>22080.868999999999</v>
      </c>
      <c r="BO104" s="548">
        <f t="shared" si="79"/>
        <v>69973.519</v>
      </c>
      <c r="BP104" s="650">
        <f t="shared" si="80"/>
        <v>15026.481</v>
      </c>
      <c r="BW104" s="597" t="s">
        <v>468</v>
      </c>
      <c r="BX104" s="597">
        <v>13342777</v>
      </c>
      <c r="BY104" s="597">
        <v>12775580</v>
      </c>
      <c r="BZ104" s="597">
        <v>567197</v>
      </c>
      <c r="CA104" s="597">
        <v>3888220</v>
      </c>
      <c r="CB104" s="597">
        <f t="shared" si="82"/>
        <v>13342.777</v>
      </c>
      <c r="CC104" s="597">
        <f t="shared" si="83"/>
        <v>12775.58</v>
      </c>
      <c r="CD104" s="597">
        <f t="shared" si="84"/>
        <v>567.197</v>
      </c>
      <c r="CE104" s="597">
        <f t="shared" si="85"/>
        <v>3888.22</v>
      </c>
      <c r="CK104" s="371" t="s">
        <v>383</v>
      </c>
      <c r="CL104" s="372">
        <v>780450569</v>
      </c>
      <c r="CM104" s="372">
        <v>302819018</v>
      </c>
      <c r="CN104" s="372">
        <v>540664050</v>
      </c>
      <c r="CO104" s="372">
        <v>239786519</v>
      </c>
      <c r="CP104" s="597">
        <f t="shared" si="87"/>
        <v>780450.56900000002</v>
      </c>
      <c r="CQ104" s="597">
        <f t="shared" si="88"/>
        <v>302819.01799999998</v>
      </c>
      <c r="CR104" s="597">
        <f t="shared" si="89"/>
        <v>540664.05000000005</v>
      </c>
      <c r="CS104" s="597">
        <f t="shared" si="90"/>
        <v>239786.519</v>
      </c>
      <c r="CU104" s="548"/>
      <c r="CZ104" s="1059" t="s">
        <v>1155</v>
      </c>
      <c r="DA104" s="1060">
        <v>2481150</v>
      </c>
      <c r="DB104" s="1060">
        <v>0</v>
      </c>
      <c r="DC104" s="1060">
        <v>2481150</v>
      </c>
      <c r="DD104" s="1060">
        <v>0</v>
      </c>
      <c r="DE104" s="1060">
        <f t="shared" si="92"/>
        <v>2481.15</v>
      </c>
      <c r="DF104" s="1060">
        <f t="shared" si="93"/>
        <v>0</v>
      </c>
      <c r="DG104" s="1060">
        <f t="shared" si="94"/>
        <v>2481.15</v>
      </c>
      <c r="DH104" s="1060">
        <f t="shared" si="95"/>
        <v>0</v>
      </c>
    </row>
    <row r="105" spans="1:112" x14ac:dyDescent="0.25">
      <c r="A105" s="504" t="s">
        <v>386</v>
      </c>
      <c r="B105" s="504">
        <v>1017845671</v>
      </c>
      <c r="C105" s="504">
        <v>9220862</v>
      </c>
      <c r="D105" s="504">
        <v>957198882</v>
      </c>
      <c r="E105" s="504">
        <v>60646789</v>
      </c>
      <c r="F105" s="504">
        <f t="shared" si="96"/>
        <v>1017845.671</v>
      </c>
      <c r="G105" s="504">
        <f t="shared" si="97"/>
        <v>9220.8619999999992</v>
      </c>
      <c r="H105" s="504">
        <f t="shared" si="98"/>
        <v>957198.88199999998</v>
      </c>
      <c r="I105" s="504">
        <f t="shared" si="99"/>
        <v>60646.788999999997</v>
      </c>
      <c r="P105" s="371" t="s">
        <v>564</v>
      </c>
      <c r="Q105" s="372">
        <v>3000000</v>
      </c>
      <c r="R105" s="372">
        <v>411881</v>
      </c>
      <c r="S105" s="372">
        <v>1374262</v>
      </c>
      <c r="T105" s="372">
        <v>1625738</v>
      </c>
      <c r="U105" s="372">
        <f t="shared" si="100"/>
        <v>3000</v>
      </c>
      <c r="V105" s="505">
        <f t="shared" si="101"/>
        <v>411.88099999999997</v>
      </c>
      <c r="W105" s="505">
        <f t="shared" si="102"/>
        <v>1374.2619999999999</v>
      </c>
      <c r="X105" s="505">
        <f t="shared" si="103"/>
        <v>1625.7380000000001</v>
      </c>
      <c r="AA105" s="371"/>
      <c r="AB105" s="372"/>
      <c r="AC105" s="505"/>
      <c r="AE105" s="373" t="s">
        <v>563</v>
      </c>
      <c r="AF105" s="504">
        <v>85000000</v>
      </c>
      <c r="AG105" s="504">
        <v>8303339</v>
      </c>
      <c r="AH105" s="504">
        <v>51430791</v>
      </c>
      <c r="AI105" s="504">
        <v>33569209</v>
      </c>
      <c r="AJ105" s="504">
        <f t="shared" si="105"/>
        <v>85000</v>
      </c>
      <c r="AK105" s="504">
        <f t="shared" si="106"/>
        <v>8303.3389999999999</v>
      </c>
      <c r="AL105" s="504">
        <f t="shared" si="107"/>
        <v>51430.790999999997</v>
      </c>
      <c r="AM105" s="504">
        <f t="shared" si="108"/>
        <v>33569.209000000003</v>
      </c>
      <c r="AP105" s="371"/>
      <c r="AQ105" s="372"/>
      <c r="AR105" s="372"/>
      <c r="AT105" s="371" t="s">
        <v>563</v>
      </c>
      <c r="AU105" s="372">
        <v>85000000</v>
      </c>
      <c r="AV105" s="372">
        <v>15748143</v>
      </c>
      <c r="AW105" s="372">
        <v>59601019</v>
      </c>
      <c r="AX105" s="372">
        <v>25398981</v>
      </c>
      <c r="AY105" s="504">
        <f t="shared" si="72"/>
        <v>85000</v>
      </c>
      <c r="AZ105" s="504">
        <f t="shared" si="73"/>
        <v>15748.143</v>
      </c>
      <c r="BA105" s="504">
        <f t="shared" si="74"/>
        <v>59601.019</v>
      </c>
      <c r="BB105" s="504">
        <f t="shared" si="75"/>
        <v>25398.981</v>
      </c>
      <c r="BH105" s="782" t="s">
        <v>564</v>
      </c>
      <c r="BI105" s="644">
        <v>2753775</v>
      </c>
      <c r="BJ105" s="644">
        <v>2515620</v>
      </c>
      <c r="BK105" s="644">
        <v>2649310</v>
      </c>
      <c r="BL105" s="644">
        <v>104465</v>
      </c>
      <c r="BM105" s="548">
        <f t="shared" si="77"/>
        <v>2753.7750000000001</v>
      </c>
      <c r="BN105" s="548">
        <f t="shared" si="78"/>
        <v>2515.62</v>
      </c>
      <c r="BO105" s="548">
        <f t="shared" si="79"/>
        <v>2649.31</v>
      </c>
      <c r="BP105" s="650">
        <f t="shared" si="80"/>
        <v>104.465</v>
      </c>
      <c r="BW105" s="597" t="s">
        <v>562</v>
      </c>
      <c r="BX105" s="597">
        <v>172454048</v>
      </c>
      <c r="BY105" s="597">
        <v>115663311</v>
      </c>
      <c r="BZ105" s="597">
        <v>56790737</v>
      </c>
      <c r="CA105" s="597">
        <v>82913329</v>
      </c>
      <c r="CB105" s="597">
        <f t="shared" si="82"/>
        <v>172454.04800000001</v>
      </c>
      <c r="CC105" s="597">
        <f t="shared" si="83"/>
        <v>115663.311</v>
      </c>
      <c r="CD105" s="597">
        <f t="shared" si="84"/>
        <v>56790.737000000001</v>
      </c>
      <c r="CE105" s="597">
        <f t="shared" si="85"/>
        <v>82913.328999999998</v>
      </c>
      <c r="CK105" s="371" t="s">
        <v>384</v>
      </c>
      <c r="CL105" s="372">
        <v>121768088</v>
      </c>
      <c r="CM105" s="372">
        <v>58607257</v>
      </c>
      <c r="CN105" s="372">
        <v>105200229</v>
      </c>
      <c r="CO105" s="372">
        <v>16567859</v>
      </c>
      <c r="CP105" s="597">
        <f t="shared" si="87"/>
        <v>121768.088</v>
      </c>
      <c r="CQ105" s="597">
        <f t="shared" si="88"/>
        <v>58607.256999999998</v>
      </c>
      <c r="CR105" s="597">
        <f t="shared" si="89"/>
        <v>105200.22900000001</v>
      </c>
      <c r="CS105" s="597">
        <f t="shared" si="90"/>
        <v>16567.859</v>
      </c>
      <c r="CU105" s="548"/>
      <c r="CZ105" s="1059" t="s">
        <v>383</v>
      </c>
      <c r="DA105" s="1060">
        <v>781249452</v>
      </c>
      <c r="DB105" s="1060">
        <v>424464060</v>
      </c>
      <c r="DC105" s="1060">
        <v>651772139</v>
      </c>
      <c r="DD105" s="1060">
        <v>129477313</v>
      </c>
      <c r="DE105" s="1060">
        <f t="shared" si="92"/>
        <v>781249.45200000005</v>
      </c>
      <c r="DF105" s="1060">
        <f t="shared" si="93"/>
        <v>424464.06</v>
      </c>
      <c r="DG105" s="1060">
        <f t="shared" si="94"/>
        <v>651772.13899999997</v>
      </c>
      <c r="DH105" s="1060">
        <f t="shared" si="95"/>
        <v>129477.31299999999</v>
      </c>
    </row>
    <row r="106" spans="1:112" x14ac:dyDescent="0.25">
      <c r="A106" s="504" t="s">
        <v>387</v>
      </c>
      <c r="B106" s="504">
        <v>874508882</v>
      </c>
      <c r="C106" s="504">
        <v>9220862</v>
      </c>
      <c r="D106" s="504">
        <v>817198882</v>
      </c>
      <c r="E106" s="504">
        <v>57310000</v>
      </c>
      <c r="F106" s="504">
        <f t="shared" si="96"/>
        <v>874508.88199999998</v>
      </c>
      <c r="G106" s="504">
        <f t="shared" si="97"/>
        <v>9220.8619999999992</v>
      </c>
      <c r="H106" s="504">
        <f t="shared" si="98"/>
        <v>817198.88199999998</v>
      </c>
      <c r="I106" s="504">
        <f t="shared" si="99"/>
        <v>57310</v>
      </c>
      <c r="P106" s="371" t="s">
        <v>385</v>
      </c>
      <c r="Q106" s="372">
        <v>143814717</v>
      </c>
      <c r="R106" s="372">
        <v>6385957</v>
      </c>
      <c r="S106" s="372">
        <v>56637991</v>
      </c>
      <c r="T106" s="372">
        <v>87176726</v>
      </c>
      <c r="U106" s="372">
        <f t="shared" si="100"/>
        <v>143814.717</v>
      </c>
      <c r="V106" s="505">
        <f t="shared" si="101"/>
        <v>6385.9570000000003</v>
      </c>
      <c r="W106" s="505">
        <f t="shared" si="102"/>
        <v>56637.991000000002</v>
      </c>
      <c r="X106" s="505">
        <f t="shared" si="103"/>
        <v>87176.725999999995</v>
      </c>
      <c r="AE106" s="373" t="s">
        <v>564</v>
      </c>
      <c r="AF106" s="504">
        <v>3000000</v>
      </c>
      <c r="AG106" s="504">
        <v>1597097</v>
      </c>
      <c r="AH106" s="504">
        <v>2248238</v>
      </c>
      <c r="AI106" s="504">
        <v>751762</v>
      </c>
      <c r="AJ106" s="504">
        <f t="shared" si="105"/>
        <v>3000</v>
      </c>
      <c r="AK106" s="504">
        <f t="shared" si="106"/>
        <v>1597.097</v>
      </c>
      <c r="AL106" s="504">
        <f t="shared" si="107"/>
        <v>2248.2379999999998</v>
      </c>
      <c r="AM106" s="504">
        <f t="shared" si="108"/>
        <v>751.76199999999994</v>
      </c>
      <c r="AP106" s="371"/>
      <c r="AQ106" s="372"/>
      <c r="AR106" s="372"/>
      <c r="AT106" s="371" t="s">
        <v>564</v>
      </c>
      <c r="AU106" s="372">
        <v>3000000</v>
      </c>
      <c r="AV106" s="372">
        <v>2515620</v>
      </c>
      <c r="AW106" s="372">
        <v>2649310</v>
      </c>
      <c r="AX106" s="372">
        <v>350690</v>
      </c>
      <c r="AY106" s="504">
        <f t="shared" si="72"/>
        <v>3000</v>
      </c>
      <c r="AZ106" s="504">
        <f t="shared" si="73"/>
        <v>2515.62</v>
      </c>
      <c r="BA106" s="504">
        <f t="shared" si="74"/>
        <v>2649.31</v>
      </c>
      <c r="BB106" s="504">
        <f t="shared" si="75"/>
        <v>350.69</v>
      </c>
      <c r="BH106" s="782" t="s">
        <v>385</v>
      </c>
      <c r="BI106" s="644">
        <v>509815798</v>
      </c>
      <c r="BJ106" s="644">
        <v>24009678</v>
      </c>
      <c r="BK106" s="644">
        <v>146244390</v>
      </c>
      <c r="BL106" s="644">
        <v>363571408</v>
      </c>
      <c r="BM106" s="548">
        <f t="shared" si="77"/>
        <v>509815.79800000001</v>
      </c>
      <c r="BN106" s="548">
        <f t="shared" si="78"/>
        <v>24009.678</v>
      </c>
      <c r="BO106" s="548">
        <f t="shared" si="79"/>
        <v>146244.39000000001</v>
      </c>
      <c r="BP106" s="650">
        <f t="shared" si="80"/>
        <v>363571.408</v>
      </c>
      <c r="BW106" s="597" t="s">
        <v>563</v>
      </c>
      <c r="BX106" s="597">
        <v>84496680</v>
      </c>
      <c r="BY106" s="597">
        <v>69973519</v>
      </c>
      <c r="BZ106" s="597">
        <v>14523161</v>
      </c>
      <c r="CA106" s="597">
        <v>29644036</v>
      </c>
      <c r="CB106" s="597">
        <f t="shared" si="82"/>
        <v>84496.68</v>
      </c>
      <c r="CC106" s="597">
        <f t="shared" si="83"/>
        <v>69973.519</v>
      </c>
      <c r="CD106" s="597">
        <f t="shared" si="84"/>
        <v>14523.161</v>
      </c>
      <c r="CE106" s="597">
        <f t="shared" si="85"/>
        <v>29644.036</v>
      </c>
      <c r="CK106" s="371" t="s">
        <v>468</v>
      </c>
      <c r="CL106" s="372">
        <v>13342777</v>
      </c>
      <c r="CM106" s="372">
        <v>3888220</v>
      </c>
      <c r="CN106" s="372">
        <v>12775580</v>
      </c>
      <c r="CO106" s="372">
        <v>567197</v>
      </c>
      <c r="CP106" s="597">
        <f t="shared" si="87"/>
        <v>13342.777</v>
      </c>
      <c r="CQ106" s="597">
        <f t="shared" si="88"/>
        <v>3888.22</v>
      </c>
      <c r="CR106" s="597">
        <f t="shared" si="89"/>
        <v>12775.58</v>
      </c>
      <c r="CS106" s="597">
        <f t="shared" si="90"/>
        <v>567.197</v>
      </c>
      <c r="CU106" s="548"/>
      <c r="CZ106" s="1059" t="s">
        <v>384</v>
      </c>
      <c r="DA106" s="1060">
        <v>121752088</v>
      </c>
      <c r="DB106" s="1060">
        <v>68704842</v>
      </c>
      <c r="DC106" s="1060">
        <v>110080347</v>
      </c>
      <c r="DD106" s="1060">
        <v>11671741</v>
      </c>
      <c r="DE106" s="1060">
        <f t="shared" si="92"/>
        <v>121752.088</v>
      </c>
      <c r="DF106" s="1060">
        <f t="shared" si="93"/>
        <v>68704.842000000004</v>
      </c>
      <c r="DG106" s="1060">
        <f t="shared" si="94"/>
        <v>110080.34699999999</v>
      </c>
      <c r="DH106" s="1060">
        <f t="shared" si="95"/>
        <v>11671.741</v>
      </c>
    </row>
    <row r="107" spans="1:112" x14ac:dyDescent="0.25">
      <c r="A107" s="504" t="s">
        <v>565</v>
      </c>
      <c r="B107" s="504">
        <v>28000000</v>
      </c>
      <c r="C107" s="504">
        <v>0</v>
      </c>
      <c r="D107" s="504">
        <v>28000000</v>
      </c>
      <c r="E107" s="504">
        <v>0</v>
      </c>
      <c r="F107" s="504">
        <f t="shared" si="96"/>
        <v>28000</v>
      </c>
      <c r="G107" s="504">
        <f t="shared" si="97"/>
        <v>0</v>
      </c>
      <c r="H107" s="504">
        <f t="shared" si="98"/>
        <v>28000</v>
      </c>
      <c r="I107" s="504">
        <f t="shared" si="99"/>
        <v>0</v>
      </c>
      <c r="P107" s="371" t="s">
        <v>386</v>
      </c>
      <c r="Q107" s="372">
        <v>1043333130</v>
      </c>
      <c r="R107" s="372">
        <v>61908061</v>
      </c>
      <c r="S107" s="372">
        <v>979461518</v>
      </c>
      <c r="T107" s="372">
        <v>63871612</v>
      </c>
      <c r="U107" s="372">
        <f t="shared" si="100"/>
        <v>1043333.13</v>
      </c>
      <c r="V107" s="505">
        <f t="shared" si="101"/>
        <v>61908.061000000002</v>
      </c>
      <c r="W107" s="505">
        <f t="shared" si="102"/>
        <v>979461.51800000004</v>
      </c>
      <c r="X107" s="505">
        <f t="shared" si="103"/>
        <v>63871.612000000001</v>
      </c>
      <c r="AE107" s="373" t="s">
        <v>385</v>
      </c>
      <c r="AF107" s="504">
        <v>286047107</v>
      </c>
      <c r="AG107" s="504">
        <v>8237207</v>
      </c>
      <c r="AH107" s="504">
        <v>20933745</v>
      </c>
      <c r="AI107" s="504">
        <v>265113362</v>
      </c>
      <c r="AJ107" s="504">
        <f t="shared" si="105"/>
        <v>286047.10700000002</v>
      </c>
      <c r="AK107" s="504">
        <f t="shared" si="106"/>
        <v>8237.2070000000003</v>
      </c>
      <c r="AL107" s="504">
        <f t="shared" si="107"/>
        <v>20933.744999999999</v>
      </c>
      <c r="AM107" s="504">
        <f t="shared" si="108"/>
        <v>265113.36200000002</v>
      </c>
      <c r="AP107" s="371"/>
      <c r="AQ107" s="372"/>
      <c r="AR107" s="372"/>
      <c r="AT107" s="371" t="s">
        <v>385</v>
      </c>
      <c r="AU107" s="372">
        <v>448777671</v>
      </c>
      <c r="AV107" s="372">
        <v>19748288</v>
      </c>
      <c r="AW107" s="372">
        <v>23491638</v>
      </c>
      <c r="AX107" s="372">
        <v>425286033</v>
      </c>
      <c r="AY107" s="504">
        <f t="shared" si="72"/>
        <v>448777.67099999997</v>
      </c>
      <c r="AZ107" s="504">
        <f t="shared" si="73"/>
        <v>19748.288</v>
      </c>
      <c r="BA107" s="504">
        <f t="shared" si="74"/>
        <v>23491.637999999999</v>
      </c>
      <c r="BB107" s="504">
        <f t="shared" si="75"/>
        <v>425286.033</v>
      </c>
      <c r="BH107" s="782" t="s">
        <v>386</v>
      </c>
      <c r="BI107" s="644">
        <v>1017154047</v>
      </c>
      <c r="BJ107" s="644">
        <v>312067626</v>
      </c>
      <c r="BK107" s="644">
        <v>1014323685</v>
      </c>
      <c r="BL107" s="644">
        <v>2830362</v>
      </c>
      <c r="BM107" s="548">
        <f t="shared" si="77"/>
        <v>1017154.047</v>
      </c>
      <c r="BN107" s="548">
        <f t="shared" si="78"/>
        <v>312067.62599999999</v>
      </c>
      <c r="BO107" s="548">
        <f t="shared" si="79"/>
        <v>1014323.6850000001</v>
      </c>
      <c r="BP107" s="650">
        <f t="shared" si="80"/>
        <v>2830.3620000000001</v>
      </c>
      <c r="BW107" s="597" t="s">
        <v>564</v>
      </c>
      <c r="BX107" s="597">
        <v>2753775</v>
      </c>
      <c r="BY107" s="597">
        <v>2649310</v>
      </c>
      <c r="BZ107" s="597">
        <v>104465</v>
      </c>
      <c r="CA107" s="597">
        <v>2515620</v>
      </c>
      <c r="CB107" s="597">
        <f t="shared" si="82"/>
        <v>2753.7750000000001</v>
      </c>
      <c r="CC107" s="597">
        <f t="shared" si="83"/>
        <v>2649.31</v>
      </c>
      <c r="CD107" s="597">
        <f t="shared" si="84"/>
        <v>104.465</v>
      </c>
      <c r="CE107" s="597">
        <f t="shared" si="85"/>
        <v>2515.62</v>
      </c>
      <c r="CK107" s="371" t="s">
        <v>562</v>
      </c>
      <c r="CL107" s="372">
        <v>169337773</v>
      </c>
      <c r="CM107" s="372">
        <v>91017537</v>
      </c>
      <c r="CN107" s="372">
        <v>123899445</v>
      </c>
      <c r="CO107" s="372">
        <v>45438328</v>
      </c>
      <c r="CP107" s="597">
        <f t="shared" si="87"/>
        <v>169337.77299999999</v>
      </c>
      <c r="CQ107" s="597">
        <f t="shared" si="88"/>
        <v>91017.536999999997</v>
      </c>
      <c r="CR107" s="597">
        <f t="shared" si="89"/>
        <v>123899.44500000001</v>
      </c>
      <c r="CS107" s="597">
        <f t="shared" si="90"/>
        <v>45438.328000000001</v>
      </c>
      <c r="CU107" s="548"/>
      <c r="CZ107" s="1059" t="s">
        <v>468</v>
      </c>
      <c r="DA107" s="1060">
        <v>13342777</v>
      </c>
      <c r="DB107" s="1060">
        <v>6804385</v>
      </c>
      <c r="DC107" s="1060">
        <v>12775580</v>
      </c>
      <c r="DD107" s="1060">
        <v>567197</v>
      </c>
      <c r="DE107" s="1060">
        <f t="shared" si="92"/>
        <v>13342.777</v>
      </c>
      <c r="DF107" s="1060">
        <f t="shared" si="93"/>
        <v>6804.3850000000002</v>
      </c>
      <c r="DG107" s="1060">
        <f t="shared" si="94"/>
        <v>12775.58</v>
      </c>
      <c r="DH107" s="1060">
        <f t="shared" si="95"/>
        <v>567.197</v>
      </c>
    </row>
    <row r="108" spans="1:112" x14ac:dyDescent="0.25">
      <c r="A108" s="504" t="s">
        <v>566</v>
      </c>
      <c r="B108" s="504">
        <v>112000000</v>
      </c>
      <c r="C108" s="504">
        <v>0</v>
      </c>
      <c r="D108" s="504">
        <v>112000000</v>
      </c>
      <c r="E108" s="504">
        <v>0</v>
      </c>
      <c r="F108" s="504">
        <f t="shared" si="96"/>
        <v>112000</v>
      </c>
      <c r="G108" s="504">
        <f t="shared" si="97"/>
        <v>0</v>
      </c>
      <c r="H108" s="504">
        <f t="shared" si="98"/>
        <v>112000</v>
      </c>
      <c r="I108" s="504">
        <f t="shared" si="99"/>
        <v>0</v>
      </c>
      <c r="P108" s="371" t="s">
        <v>387</v>
      </c>
      <c r="Q108" s="372">
        <v>874508882</v>
      </c>
      <c r="R108" s="372">
        <v>47176547</v>
      </c>
      <c r="S108" s="372">
        <v>810795222</v>
      </c>
      <c r="T108" s="372">
        <v>63713660</v>
      </c>
      <c r="U108" s="372">
        <f t="shared" si="100"/>
        <v>874508.88199999998</v>
      </c>
      <c r="V108" s="505">
        <f t="shared" si="101"/>
        <v>47176.546999999999</v>
      </c>
      <c r="W108" s="505">
        <f t="shared" si="102"/>
        <v>810795.22199999995</v>
      </c>
      <c r="X108" s="505">
        <f t="shared" si="103"/>
        <v>63713.66</v>
      </c>
      <c r="AE108" s="373" t="s">
        <v>386</v>
      </c>
      <c r="AF108" s="504">
        <v>1043179541</v>
      </c>
      <c r="AG108" s="504">
        <v>167822135</v>
      </c>
      <c r="AH108" s="504">
        <v>979461518</v>
      </c>
      <c r="AI108" s="504">
        <v>63718023</v>
      </c>
      <c r="AJ108" s="504">
        <f t="shared" si="105"/>
        <v>1043179.541</v>
      </c>
      <c r="AK108" s="504">
        <f t="shared" si="106"/>
        <v>167822.13500000001</v>
      </c>
      <c r="AL108" s="504">
        <f t="shared" si="107"/>
        <v>979461.51800000004</v>
      </c>
      <c r="AM108" s="504">
        <f t="shared" si="108"/>
        <v>63718.023000000001</v>
      </c>
      <c r="AP108" s="371"/>
      <c r="AQ108" s="372"/>
      <c r="AR108" s="372"/>
      <c r="AT108" s="371" t="s">
        <v>386</v>
      </c>
      <c r="AU108" s="372">
        <v>1041894841</v>
      </c>
      <c r="AV108" s="372">
        <v>258187488</v>
      </c>
      <c r="AW108" s="372">
        <v>979461518</v>
      </c>
      <c r="AX108" s="372">
        <v>62433323</v>
      </c>
      <c r="AY108" s="504">
        <f t="shared" si="72"/>
        <v>1041894.841</v>
      </c>
      <c r="AZ108" s="504">
        <f t="shared" si="73"/>
        <v>258187.48800000001</v>
      </c>
      <c r="BA108" s="504">
        <f t="shared" si="74"/>
        <v>979461.51800000004</v>
      </c>
      <c r="BB108" s="504">
        <f t="shared" si="75"/>
        <v>62433.322999999997</v>
      </c>
      <c r="BH108" s="782" t="s">
        <v>387</v>
      </c>
      <c r="BI108" s="644">
        <v>848487389</v>
      </c>
      <c r="BJ108" s="644">
        <v>255093205</v>
      </c>
      <c r="BK108" s="644">
        <v>845657389</v>
      </c>
      <c r="BL108" s="644">
        <v>2830000</v>
      </c>
      <c r="BM108" s="548">
        <f t="shared" si="77"/>
        <v>848487.38899999997</v>
      </c>
      <c r="BN108" s="548">
        <f t="shared" si="78"/>
        <v>255093.20499999999</v>
      </c>
      <c r="BO108" s="548">
        <f t="shared" si="79"/>
        <v>845657.38899999997</v>
      </c>
      <c r="BP108" s="650">
        <f t="shared" si="80"/>
        <v>2830</v>
      </c>
      <c r="BW108" s="597" t="s">
        <v>385</v>
      </c>
      <c r="BX108" s="597">
        <v>390731956</v>
      </c>
      <c r="BY108" s="597">
        <v>217333642</v>
      </c>
      <c r="BZ108" s="597">
        <v>173398314</v>
      </c>
      <c r="CA108" s="597">
        <v>61561093</v>
      </c>
      <c r="CB108" s="597">
        <f t="shared" si="82"/>
        <v>390731.95600000001</v>
      </c>
      <c r="CC108" s="597">
        <f t="shared" si="83"/>
        <v>217333.64199999999</v>
      </c>
      <c r="CD108" s="597">
        <f t="shared" si="84"/>
        <v>173398.31400000001</v>
      </c>
      <c r="CE108" s="597">
        <f t="shared" si="85"/>
        <v>61561.093000000001</v>
      </c>
      <c r="CK108" s="371" t="s">
        <v>563</v>
      </c>
      <c r="CL108" s="372">
        <v>84496680</v>
      </c>
      <c r="CM108" s="372">
        <v>35273203</v>
      </c>
      <c r="CN108" s="372">
        <v>70633519</v>
      </c>
      <c r="CO108" s="372">
        <v>13863161</v>
      </c>
      <c r="CP108" s="597">
        <f t="shared" si="87"/>
        <v>84496.68</v>
      </c>
      <c r="CQ108" s="597">
        <f t="shared" si="88"/>
        <v>35273.203000000001</v>
      </c>
      <c r="CR108" s="597">
        <f t="shared" si="89"/>
        <v>70633.519</v>
      </c>
      <c r="CS108" s="597">
        <f t="shared" si="90"/>
        <v>13863.161</v>
      </c>
      <c r="CU108" s="548"/>
      <c r="CZ108" s="1059" t="s">
        <v>562</v>
      </c>
      <c r="DA108" s="1060">
        <v>170112656</v>
      </c>
      <c r="DB108" s="1060">
        <v>109083470</v>
      </c>
      <c r="DC108" s="1060">
        <v>140358431</v>
      </c>
      <c r="DD108" s="1060">
        <v>29754225</v>
      </c>
      <c r="DE108" s="1060">
        <f t="shared" si="92"/>
        <v>170112.65599999999</v>
      </c>
      <c r="DF108" s="1060">
        <f t="shared" si="93"/>
        <v>109083.47</v>
      </c>
      <c r="DG108" s="1060">
        <f t="shared" si="94"/>
        <v>140358.43100000001</v>
      </c>
      <c r="DH108" s="1060">
        <f t="shared" si="95"/>
        <v>29754.224999999999</v>
      </c>
    </row>
    <row r="109" spans="1:112" x14ac:dyDescent="0.25">
      <c r="A109" s="504" t="s">
        <v>469</v>
      </c>
      <c r="B109" s="504">
        <v>3336789</v>
      </c>
      <c r="C109" s="504">
        <v>0</v>
      </c>
      <c r="D109" s="504">
        <v>0</v>
      </c>
      <c r="E109" s="504">
        <v>3336789</v>
      </c>
      <c r="F109" s="504">
        <f t="shared" si="96"/>
        <v>3336.7890000000002</v>
      </c>
      <c r="G109" s="504">
        <f t="shared" si="97"/>
        <v>0</v>
      </c>
      <c r="H109" s="504">
        <f t="shared" si="98"/>
        <v>0</v>
      </c>
      <c r="I109" s="504">
        <f t="shared" si="99"/>
        <v>3336.7890000000002</v>
      </c>
      <c r="P109" s="371" t="s">
        <v>565</v>
      </c>
      <c r="Q109" s="372">
        <v>28000000</v>
      </c>
      <c r="R109" s="372">
        <v>1862688</v>
      </c>
      <c r="S109" s="372">
        <v>28000000</v>
      </c>
      <c r="T109" s="372">
        <v>0</v>
      </c>
      <c r="U109" s="372">
        <f t="shared" si="100"/>
        <v>28000</v>
      </c>
      <c r="V109" s="505">
        <f t="shared" si="101"/>
        <v>1862.6880000000001</v>
      </c>
      <c r="W109" s="505">
        <f t="shared" si="102"/>
        <v>28000</v>
      </c>
      <c r="X109" s="505">
        <f t="shared" si="103"/>
        <v>0</v>
      </c>
      <c r="AE109" s="373" t="s">
        <v>387</v>
      </c>
      <c r="AF109" s="504">
        <v>874508882</v>
      </c>
      <c r="AG109" s="504">
        <v>138538788</v>
      </c>
      <c r="AH109" s="504">
        <v>810795222</v>
      </c>
      <c r="AI109" s="504">
        <v>63713660</v>
      </c>
      <c r="AJ109" s="504">
        <f t="shared" si="105"/>
        <v>874508.88199999998</v>
      </c>
      <c r="AK109" s="504">
        <f t="shared" si="106"/>
        <v>138538.788</v>
      </c>
      <c r="AL109" s="504">
        <f t="shared" si="107"/>
        <v>810795.22199999995</v>
      </c>
      <c r="AM109" s="504">
        <f t="shared" si="108"/>
        <v>63713.66</v>
      </c>
      <c r="AP109" s="371"/>
      <c r="AQ109" s="372"/>
      <c r="AR109" s="372"/>
      <c r="AT109" s="371" t="s">
        <v>387</v>
      </c>
      <c r="AU109" s="372">
        <v>873228182</v>
      </c>
      <c r="AV109" s="372">
        <v>213867114</v>
      </c>
      <c r="AW109" s="372">
        <v>810795222</v>
      </c>
      <c r="AX109" s="372">
        <v>62432960</v>
      </c>
      <c r="AY109" s="504">
        <f t="shared" si="72"/>
        <v>873228.18200000003</v>
      </c>
      <c r="AZ109" s="504">
        <f t="shared" si="73"/>
        <v>213867.114</v>
      </c>
      <c r="BA109" s="504">
        <f t="shared" si="74"/>
        <v>810795.22199999995</v>
      </c>
      <c r="BB109" s="504">
        <f t="shared" si="75"/>
        <v>62432.959999999999</v>
      </c>
      <c r="BH109" s="782" t="s">
        <v>565</v>
      </c>
      <c r="BI109" s="644">
        <v>28000000</v>
      </c>
      <c r="BJ109" s="644">
        <v>5746390</v>
      </c>
      <c r="BK109" s="644">
        <v>28000000</v>
      </c>
      <c r="BL109" s="644">
        <v>0</v>
      </c>
      <c r="BM109" s="548">
        <f t="shared" si="77"/>
        <v>28000</v>
      </c>
      <c r="BN109" s="548">
        <f t="shared" si="78"/>
        <v>5746.39</v>
      </c>
      <c r="BO109" s="548">
        <f t="shared" si="79"/>
        <v>28000</v>
      </c>
      <c r="BP109" s="650">
        <f t="shared" si="80"/>
        <v>0</v>
      </c>
      <c r="BW109" s="597" t="s">
        <v>386</v>
      </c>
      <c r="BX109" s="597">
        <v>1014324047</v>
      </c>
      <c r="BY109" s="597">
        <v>1014323685</v>
      </c>
      <c r="BZ109" s="597">
        <v>362</v>
      </c>
      <c r="CA109" s="597">
        <v>428157586</v>
      </c>
      <c r="CB109" s="597">
        <f t="shared" si="82"/>
        <v>1014324.047</v>
      </c>
      <c r="CC109" s="597">
        <f t="shared" si="83"/>
        <v>1014323.6850000001</v>
      </c>
      <c r="CD109" s="597">
        <f t="shared" si="84"/>
        <v>0.36199999999999999</v>
      </c>
      <c r="CE109" s="597">
        <f t="shared" si="85"/>
        <v>428157.58600000001</v>
      </c>
      <c r="CK109" s="371" t="s">
        <v>564</v>
      </c>
      <c r="CL109" s="372">
        <v>2753775</v>
      </c>
      <c r="CM109" s="372">
        <v>2515620</v>
      </c>
      <c r="CN109" s="372">
        <v>2649310</v>
      </c>
      <c r="CO109" s="372">
        <v>104465</v>
      </c>
      <c r="CP109" s="597">
        <f t="shared" si="87"/>
        <v>2753.7750000000001</v>
      </c>
      <c r="CQ109" s="597">
        <f t="shared" si="88"/>
        <v>2515.62</v>
      </c>
      <c r="CR109" s="597">
        <f t="shared" si="89"/>
        <v>2649.31</v>
      </c>
      <c r="CS109" s="597">
        <f t="shared" si="90"/>
        <v>104.465</v>
      </c>
      <c r="CU109" s="548"/>
      <c r="CZ109" s="1059" t="s">
        <v>563</v>
      </c>
      <c r="DA109" s="1060">
        <v>84496680</v>
      </c>
      <c r="DB109" s="1060">
        <v>41539165</v>
      </c>
      <c r="DC109" s="1060">
        <v>70633519</v>
      </c>
      <c r="DD109" s="1060">
        <v>13863161</v>
      </c>
      <c r="DE109" s="1060">
        <f t="shared" si="92"/>
        <v>84496.68</v>
      </c>
      <c r="DF109" s="1060">
        <f t="shared" si="93"/>
        <v>41539.165000000001</v>
      </c>
      <c r="DG109" s="1060">
        <f t="shared" si="94"/>
        <v>70633.519</v>
      </c>
      <c r="DH109" s="1060">
        <f t="shared" si="95"/>
        <v>13863.161</v>
      </c>
    </row>
    <row r="110" spans="1:112" x14ac:dyDescent="0.25">
      <c r="A110" s="504" t="s">
        <v>567</v>
      </c>
      <c r="B110" s="504">
        <v>5000000</v>
      </c>
      <c r="C110" s="504">
        <v>0</v>
      </c>
      <c r="D110" s="504">
        <v>4366098</v>
      </c>
      <c r="E110" s="504">
        <v>633902</v>
      </c>
      <c r="F110" s="504">
        <f t="shared" si="96"/>
        <v>5000</v>
      </c>
      <c r="G110" s="504">
        <f t="shared" si="97"/>
        <v>0</v>
      </c>
      <c r="H110" s="504">
        <f t="shared" si="98"/>
        <v>4366.098</v>
      </c>
      <c r="I110" s="504">
        <f t="shared" si="99"/>
        <v>633.90200000000004</v>
      </c>
      <c r="P110" s="371" t="s">
        <v>566</v>
      </c>
      <c r="Q110" s="372">
        <v>112000000</v>
      </c>
      <c r="R110" s="372">
        <v>10479968</v>
      </c>
      <c r="S110" s="372">
        <v>112000000</v>
      </c>
      <c r="T110" s="372">
        <v>0</v>
      </c>
      <c r="U110" s="372">
        <f t="shared" si="100"/>
        <v>112000</v>
      </c>
      <c r="V110" s="505">
        <f t="shared" si="101"/>
        <v>10479.968000000001</v>
      </c>
      <c r="W110" s="505">
        <f t="shared" si="102"/>
        <v>112000</v>
      </c>
      <c r="X110" s="505">
        <f t="shared" si="103"/>
        <v>0</v>
      </c>
      <c r="AE110" s="373" t="s">
        <v>565</v>
      </c>
      <c r="AF110" s="504">
        <v>28000000</v>
      </c>
      <c r="AG110" s="504">
        <v>3800757</v>
      </c>
      <c r="AH110" s="504">
        <v>28000000</v>
      </c>
      <c r="AI110" s="504">
        <v>0</v>
      </c>
      <c r="AJ110" s="504">
        <f t="shared" si="105"/>
        <v>28000</v>
      </c>
      <c r="AK110" s="504">
        <f t="shared" si="106"/>
        <v>3800.7570000000001</v>
      </c>
      <c r="AL110" s="504">
        <f t="shared" si="107"/>
        <v>28000</v>
      </c>
      <c r="AM110" s="504">
        <f t="shared" si="108"/>
        <v>0</v>
      </c>
      <c r="AP110" s="371"/>
      <c r="AQ110" s="372"/>
      <c r="AR110" s="372"/>
      <c r="AT110" s="371" t="s">
        <v>565</v>
      </c>
      <c r="AU110" s="372">
        <v>28000000</v>
      </c>
      <c r="AV110" s="372">
        <v>5746390</v>
      </c>
      <c r="AW110" s="372">
        <v>28000000</v>
      </c>
      <c r="AX110" s="372">
        <v>0</v>
      </c>
      <c r="AY110" s="504">
        <f t="shared" si="72"/>
        <v>28000</v>
      </c>
      <c r="AZ110" s="504">
        <f t="shared" si="73"/>
        <v>5746.39</v>
      </c>
      <c r="BA110" s="504">
        <f t="shared" si="74"/>
        <v>28000</v>
      </c>
      <c r="BB110" s="504">
        <f t="shared" si="75"/>
        <v>0</v>
      </c>
      <c r="BH110" s="782" t="s">
        <v>566</v>
      </c>
      <c r="BI110" s="644">
        <v>112000000</v>
      </c>
      <c r="BJ110" s="644">
        <v>41672599</v>
      </c>
      <c r="BK110" s="644">
        <v>112000000</v>
      </c>
      <c r="BL110" s="644">
        <v>0</v>
      </c>
      <c r="BM110" s="548">
        <f t="shared" si="77"/>
        <v>112000</v>
      </c>
      <c r="BN110" s="548">
        <f t="shared" si="78"/>
        <v>41672.599000000002</v>
      </c>
      <c r="BO110" s="548">
        <f t="shared" si="79"/>
        <v>112000</v>
      </c>
      <c r="BP110" s="650">
        <f t="shared" si="80"/>
        <v>0</v>
      </c>
      <c r="BW110" s="597" t="s">
        <v>387</v>
      </c>
      <c r="BX110" s="597">
        <v>845657389</v>
      </c>
      <c r="BY110" s="597">
        <v>845657389</v>
      </c>
      <c r="BZ110" s="597">
        <v>0</v>
      </c>
      <c r="CA110" s="597">
        <v>356424743</v>
      </c>
      <c r="CB110" s="597">
        <f t="shared" si="82"/>
        <v>845657.38899999997</v>
      </c>
      <c r="CC110" s="597">
        <f t="shared" si="83"/>
        <v>845657.38899999997</v>
      </c>
      <c r="CD110" s="597">
        <f t="shared" si="84"/>
        <v>0</v>
      </c>
      <c r="CE110" s="597">
        <f t="shared" si="85"/>
        <v>356424.74300000002</v>
      </c>
      <c r="CK110" s="371" t="s">
        <v>385</v>
      </c>
      <c r="CL110" s="372">
        <v>388751476</v>
      </c>
      <c r="CM110" s="372">
        <v>111517181</v>
      </c>
      <c r="CN110" s="372">
        <v>225505967</v>
      </c>
      <c r="CO110" s="372">
        <v>163245509</v>
      </c>
      <c r="CP110" s="597">
        <f t="shared" si="87"/>
        <v>388751.47600000002</v>
      </c>
      <c r="CQ110" s="597">
        <f t="shared" si="88"/>
        <v>111517.181</v>
      </c>
      <c r="CR110" s="597">
        <f t="shared" si="89"/>
        <v>225505.967</v>
      </c>
      <c r="CS110" s="597">
        <f t="shared" si="90"/>
        <v>163245.50899999999</v>
      </c>
      <c r="CU110" s="548"/>
      <c r="CZ110" s="1059" t="s">
        <v>564</v>
      </c>
      <c r="DA110" s="1060">
        <v>2793775</v>
      </c>
      <c r="DB110" s="1060">
        <v>2515620</v>
      </c>
      <c r="DC110" s="1060">
        <v>2649310</v>
      </c>
      <c r="DD110" s="1060">
        <v>144465</v>
      </c>
      <c r="DE110" s="1060">
        <f t="shared" si="92"/>
        <v>2793.7750000000001</v>
      </c>
      <c r="DF110" s="1060">
        <f t="shared" si="93"/>
        <v>2515.62</v>
      </c>
      <c r="DG110" s="1060">
        <f t="shared" si="94"/>
        <v>2649.31</v>
      </c>
      <c r="DH110" s="1060">
        <f t="shared" si="95"/>
        <v>144.465</v>
      </c>
    </row>
    <row r="111" spans="1:112" x14ac:dyDescent="0.25">
      <c r="A111" s="504" t="s">
        <v>388</v>
      </c>
      <c r="B111" s="504">
        <v>5000000</v>
      </c>
      <c r="C111" s="504">
        <v>0</v>
      </c>
      <c r="D111" s="504">
        <v>4366098</v>
      </c>
      <c r="E111" s="504">
        <v>633902</v>
      </c>
      <c r="F111" s="504">
        <f t="shared" si="96"/>
        <v>5000</v>
      </c>
      <c r="G111" s="504">
        <f t="shared" si="97"/>
        <v>0</v>
      </c>
      <c r="H111" s="504">
        <f t="shared" si="98"/>
        <v>4366.098</v>
      </c>
      <c r="I111" s="504">
        <f t="shared" si="99"/>
        <v>633.90200000000004</v>
      </c>
      <c r="P111" s="371" t="s">
        <v>469</v>
      </c>
      <c r="Q111" s="372">
        <v>28824248</v>
      </c>
      <c r="R111" s="372">
        <v>2388858</v>
      </c>
      <c r="S111" s="372">
        <v>28666296</v>
      </c>
      <c r="T111" s="372">
        <v>157952</v>
      </c>
      <c r="U111" s="372">
        <f t="shared" si="100"/>
        <v>28824.248</v>
      </c>
      <c r="V111" s="505">
        <f t="shared" si="101"/>
        <v>2388.8580000000002</v>
      </c>
      <c r="W111" s="505">
        <f t="shared" si="102"/>
        <v>28666.295999999998</v>
      </c>
      <c r="X111" s="505">
        <f t="shared" si="103"/>
        <v>157.952</v>
      </c>
      <c r="AE111" s="373" t="s">
        <v>566</v>
      </c>
      <c r="AF111" s="504">
        <v>112000000</v>
      </c>
      <c r="AG111" s="504">
        <v>20704874</v>
      </c>
      <c r="AH111" s="504">
        <v>112000000</v>
      </c>
      <c r="AI111" s="504">
        <v>0</v>
      </c>
      <c r="AJ111" s="504">
        <f t="shared" si="105"/>
        <v>112000</v>
      </c>
      <c r="AK111" s="504">
        <f t="shared" si="106"/>
        <v>20704.874</v>
      </c>
      <c r="AL111" s="504">
        <f t="shared" si="107"/>
        <v>112000</v>
      </c>
      <c r="AM111" s="504">
        <f t="shared" si="108"/>
        <v>0</v>
      </c>
      <c r="AP111" s="371"/>
      <c r="AQ111" s="372"/>
      <c r="AR111" s="372"/>
      <c r="AT111" s="371" t="s">
        <v>566</v>
      </c>
      <c r="AU111" s="372">
        <v>112000000</v>
      </c>
      <c r="AV111" s="372">
        <v>31407410</v>
      </c>
      <c r="AW111" s="372">
        <v>112000000</v>
      </c>
      <c r="AX111" s="372">
        <v>0</v>
      </c>
      <c r="AY111" s="504">
        <f t="shared" si="72"/>
        <v>112000</v>
      </c>
      <c r="AZ111" s="504">
        <f t="shared" si="73"/>
        <v>31407.41</v>
      </c>
      <c r="BA111" s="504">
        <f t="shared" si="74"/>
        <v>112000</v>
      </c>
      <c r="BB111" s="504">
        <f t="shared" si="75"/>
        <v>0</v>
      </c>
      <c r="BH111" s="782" t="s">
        <v>469</v>
      </c>
      <c r="BI111" s="644">
        <v>28666658</v>
      </c>
      <c r="BJ111" s="644">
        <v>9555432</v>
      </c>
      <c r="BK111" s="644">
        <v>28666296</v>
      </c>
      <c r="BL111" s="644">
        <v>362</v>
      </c>
      <c r="BM111" s="548">
        <f t="shared" si="77"/>
        <v>28666.657999999999</v>
      </c>
      <c r="BN111" s="548">
        <f t="shared" si="78"/>
        <v>9555.4320000000007</v>
      </c>
      <c r="BO111" s="548">
        <f t="shared" si="79"/>
        <v>28666.295999999998</v>
      </c>
      <c r="BP111" s="650">
        <f t="shared" si="80"/>
        <v>0.36199999999999999</v>
      </c>
      <c r="BW111" s="597" t="s">
        <v>565</v>
      </c>
      <c r="BX111" s="597">
        <v>28000000</v>
      </c>
      <c r="BY111" s="597">
        <v>28000000</v>
      </c>
      <c r="BZ111" s="597">
        <v>0</v>
      </c>
      <c r="CA111" s="597">
        <v>7809975</v>
      </c>
      <c r="CB111" s="597">
        <f t="shared" si="82"/>
        <v>28000</v>
      </c>
      <c r="CC111" s="597">
        <f t="shared" si="83"/>
        <v>28000</v>
      </c>
      <c r="CD111" s="597">
        <f t="shared" si="84"/>
        <v>0</v>
      </c>
      <c r="CE111" s="597">
        <f t="shared" si="85"/>
        <v>7809.9750000000004</v>
      </c>
      <c r="CK111" s="371" t="s">
        <v>386</v>
      </c>
      <c r="CL111" s="372">
        <v>1014324047</v>
      </c>
      <c r="CM111" s="372">
        <v>511398278</v>
      </c>
      <c r="CN111" s="372">
        <v>1014323685</v>
      </c>
      <c r="CO111" s="372">
        <v>362</v>
      </c>
      <c r="CP111" s="597">
        <f t="shared" si="87"/>
        <v>1014324.047</v>
      </c>
      <c r="CQ111" s="597">
        <f t="shared" si="88"/>
        <v>511398.27799999999</v>
      </c>
      <c r="CR111" s="597">
        <f t="shared" si="89"/>
        <v>1014323.6850000001</v>
      </c>
      <c r="CS111" s="597">
        <f t="shared" si="90"/>
        <v>0.36199999999999999</v>
      </c>
      <c r="CU111" s="548"/>
      <c r="CZ111" s="1059" t="s">
        <v>385</v>
      </c>
      <c r="DA111" s="1060">
        <v>388751476</v>
      </c>
      <c r="DB111" s="1060">
        <v>195816578</v>
      </c>
      <c r="DC111" s="1060">
        <v>315274952</v>
      </c>
      <c r="DD111" s="1060">
        <v>73476524</v>
      </c>
      <c r="DE111" s="1060">
        <f t="shared" si="92"/>
        <v>388751.47600000002</v>
      </c>
      <c r="DF111" s="1060">
        <f t="shared" si="93"/>
        <v>195816.57800000001</v>
      </c>
      <c r="DG111" s="1060">
        <f t="shared" si="94"/>
        <v>315274.95199999999</v>
      </c>
      <c r="DH111" s="1060">
        <f t="shared" si="95"/>
        <v>73476.524000000005</v>
      </c>
    </row>
    <row r="112" spans="1:112" x14ac:dyDescent="0.25">
      <c r="A112" s="504" t="s">
        <v>568</v>
      </c>
      <c r="B112" s="504">
        <v>1263759788</v>
      </c>
      <c r="C112" s="504">
        <v>0</v>
      </c>
      <c r="D112" s="504">
        <v>390241708</v>
      </c>
      <c r="E112" s="504">
        <v>873518080</v>
      </c>
      <c r="F112" s="504">
        <f t="shared" si="96"/>
        <v>1263759.7879999999</v>
      </c>
      <c r="G112" s="504">
        <f t="shared" si="97"/>
        <v>0</v>
      </c>
      <c r="H112" s="504">
        <f t="shared" si="98"/>
        <v>390241.70799999998</v>
      </c>
      <c r="I112" s="504">
        <f t="shared" si="99"/>
        <v>873518.07999999996</v>
      </c>
      <c r="P112" s="371" t="s">
        <v>567</v>
      </c>
      <c r="Q112" s="372">
        <v>5000000</v>
      </c>
      <c r="R112" s="372">
        <v>0</v>
      </c>
      <c r="S112" s="372">
        <v>4366098</v>
      </c>
      <c r="T112" s="372">
        <v>633902</v>
      </c>
      <c r="U112" s="372">
        <f t="shared" si="100"/>
        <v>5000</v>
      </c>
      <c r="V112" s="505">
        <f t="shared" si="101"/>
        <v>0</v>
      </c>
      <c r="W112" s="505">
        <f t="shared" si="102"/>
        <v>4366.098</v>
      </c>
      <c r="X112" s="505">
        <f t="shared" si="103"/>
        <v>633.90200000000004</v>
      </c>
      <c r="AE112" s="373" t="s">
        <v>469</v>
      </c>
      <c r="AF112" s="504">
        <v>28670659</v>
      </c>
      <c r="AG112" s="504">
        <v>4777716</v>
      </c>
      <c r="AH112" s="504">
        <v>28666296</v>
      </c>
      <c r="AI112" s="504">
        <v>4363</v>
      </c>
      <c r="AJ112" s="504">
        <f t="shared" si="105"/>
        <v>28670.659</v>
      </c>
      <c r="AK112" s="504">
        <f t="shared" si="106"/>
        <v>4777.7160000000003</v>
      </c>
      <c r="AL112" s="504">
        <f t="shared" si="107"/>
        <v>28666.295999999998</v>
      </c>
      <c r="AM112" s="504">
        <f t="shared" si="108"/>
        <v>4.3630000000000004</v>
      </c>
      <c r="AP112" s="371"/>
      <c r="AQ112" s="372"/>
      <c r="AR112" s="372"/>
      <c r="AT112" s="371" t="s">
        <v>469</v>
      </c>
      <c r="AU112" s="372">
        <v>28666659</v>
      </c>
      <c r="AV112" s="372">
        <v>7166574</v>
      </c>
      <c r="AW112" s="372">
        <v>28666296</v>
      </c>
      <c r="AX112" s="372">
        <v>363</v>
      </c>
      <c r="AY112" s="504">
        <f t="shared" si="72"/>
        <v>28666.659</v>
      </c>
      <c r="AZ112" s="504">
        <f t="shared" si="73"/>
        <v>7166.5739999999996</v>
      </c>
      <c r="BA112" s="504">
        <f t="shared" si="74"/>
        <v>28666.295999999998</v>
      </c>
      <c r="BB112" s="504">
        <f t="shared" si="75"/>
        <v>0.36299999999999999</v>
      </c>
      <c r="BH112" s="782" t="s">
        <v>567</v>
      </c>
      <c r="BI112" s="644">
        <v>16010214</v>
      </c>
      <c r="BJ112" s="644">
        <v>4521812</v>
      </c>
      <c r="BK112" s="644">
        <v>4521812</v>
      </c>
      <c r="BL112" s="644">
        <v>11488402</v>
      </c>
      <c r="BM112" s="548">
        <f t="shared" si="77"/>
        <v>16010.214</v>
      </c>
      <c r="BN112" s="548">
        <f t="shared" si="78"/>
        <v>4521.8119999999999</v>
      </c>
      <c r="BO112" s="548">
        <f t="shared" si="79"/>
        <v>4521.8119999999999</v>
      </c>
      <c r="BP112" s="650">
        <f t="shared" si="80"/>
        <v>11488.402</v>
      </c>
      <c r="BW112" s="597" t="s">
        <v>566</v>
      </c>
      <c r="BX112" s="597">
        <v>112000000</v>
      </c>
      <c r="BY112" s="597">
        <v>112000000</v>
      </c>
      <c r="BZ112" s="597">
        <v>0</v>
      </c>
      <c r="CA112" s="597">
        <v>51978578</v>
      </c>
      <c r="CB112" s="597">
        <f t="shared" si="82"/>
        <v>112000</v>
      </c>
      <c r="CC112" s="597">
        <f t="shared" si="83"/>
        <v>112000</v>
      </c>
      <c r="CD112" s="597">
        <f t="shared" si="84"/>
        <v>0</v>
      </c>
      <c r="CE112" s="597">
        <f t="shared" si="85"/>
        <v>51978.578000000001</v>
      </c>
      <c r="CK112" s="371" t="s">
        <v>387</v>
      </c>
      <c r="CL112" s="372">
        <v>845657389</v>
      </c>
      <c r="CM112" s="372">
        <v>422788307</v>
      </c>
      <c r="CN112" s="372">
        <v>845657389</v>
      </c>
      <c r="CO112" s="372">
        <v>0</v>
      </c>
      <c r="CP112" s="597">
        <f t="shared" si="87"/>
        <v>845657.38899999997</v>
      </c>
      <c r="CQ112" s="597">
        <f t="shared" si="88"/>
        <v>422788.30699999997</v>
      </c>
      <c r="CR112" s="597">
        <f t="shared" si="89"/>
        <v>845657.38899999997</v>
      </c>
      <c r="CS112" s="597">
        <f t="shared" si="90"/>
        <v>0</v>
      </c>
      <c r="CU112" s="548"/>
      <c r="CZ112" s="1059" t="s">
        <v>386</v>
      </c>
      <c r="DA112" s="1060">
        <v>1014324047</v>
      </c>
      <c r="DB112" s="1060">
        <v>557267542</v>
      </c>
      <c r="DC112" s="1060">
        <v>1014323685</v>
      </c>
      <c r="DD112" s="1060">
        <v>362</v>
      </c>
      <c r="DE112" s="1060">
        <f t="shared" si="92"/>
        <v>1014324.047</v>
      </c>
      <c r="DF112" s="1060">
        <f t="shared" si="93"/>
        <v>557267.54200000002</v>
      </c>
      <c r="DG112" s="1060">
        <f t="shared" si="94"/>
        <v>1014323.6850000001</v>
      </c>
      <c r="DH112" s="1060">
        <f t="shared" si="95"/>
        <v>0.36199999999999999</v>
      </c>
    </row>
    <row r="113" spans="1:112" x14ac:dyDescent="0.25">
      <c r="A113" s="504" t="s">
        <v>389</v>
      </c>
      <c r="B113" s="504">
        <v>311405041</v>
      </c>
      <c r="C113" s="504">
        <v>0</v>
      </c>
      <c r="D113" s="504">
        <v>311405040</v>
      </c>
      <c r="E113" s="504">
        <v>1</v>
      </c>
      <c r="F113" s="504">
        <f t="shared" si="96"/>
        <v>311405.04100000003</v>
      </c>
      <c r="G113" s="504">
        <f t="shared" si="97"/>
        <v>0</v>
      </c>
      <c r="H113" s="504">
        <f t="shared" si="98"/>
        <v>311405.03999999998</v>
      </c>
      <c r="I113" s="504">
        <f t="shared" si="99"/>
        <v>1E-3</v>
      </c>
      <c r="P113" s="371" t="s">
        <v>388</v>
      </c>
      <c r="Q113" s="372">
        <v>5000000</v>
      </c>
      <c r="R113" s="372">
        <v>0</v>
      </c>
      <c r="S113" s="372">
        <v>4366098</v>
      </c>
      <c r="T113" s="372">
        <v>633902</v>
      </c>
      <c r="U113" s="372">
        <f t="shared" si="100"/>
        <v>5000</v>
      </c>
      <c r="V113" s="505">
        <f t="shared" si="101"/>
        <v>0</v>
      </c>
      <c r="W113" s="505">
        <f t="shared" si="102"/>
        <v>4366.098</v>
      </c>
      <c r="X113" s="505">
        <f t="shared" si="103"/>
        <v>633.90200000000004</v>
      </c>
      <c r="AE113" s="373" t="s">
        <v>567</v>
      </c>
      <c r="AF113" s="504">
        <v>5000000</v>
      </c>
      <c r="AG113" s="504">
        <v>0</v>
      </c>
      <c r="AH113" s="504">
        <v>4511598</v>
      </c>
      <c r="AI113" s="504">
        <v>488402</v>
      </c>
      <c r="AJ113" s="504">
        <f t="shared" si="105"/>
        <v>5000</v>
      </c>
      <c r="AK113" s="504">
        <f t="shared" si="106"/>
        <v>0</v>
      </c>
      <c r="AL113" s="504">
        <f t="shared" si="107"/>
        <v>4511.598</v>
      </c>
      <c r="AM113" s="504">
        <f t="shared" si="108"/>
        <v>488.40199999999999</v>
      </c>
      <c r="AP113" s="371"/>
      <c r="AQ113" s="372"/>
      <c r="AR113" s="372"/>
      <c r="AT113" s="371" t="s">
        <v>567</v>
      </c>
      <c r="AU113" s="372">
        <v>16010214</v>
      </c>
      <c r="AV113" s="372">
        <v>4521812</v>
      </c>
      <c r="AW113" s="372">
        <v>4521812</v>
      </c>
      <c r="AX113" s="372">
        <v>11488402</v>
      </c>
      <c r="AY113" s="504">
        <f t="shared" si="72"/>
        <v>16010.214</v>
      </c>
      <c r="AZ113" s="504">
        <f t="shared" si="73"/>
        <v>4521.8119999999999</v>
      </c>
      <c r="BA113" s="504">
        <f t="shared" si="74"/>
        <v>4521.8119999999999</v>
      </c>
      <c r="BB113" s="504">
        <f t="shared" si="75"/>
        <v>11488.402</v>
      </c>
      <c r="BH113" s="782" t="s">
        <v>388</v>
      </c>
      <c r="BI113" s="644">
        <v>16000000</v>
      </c>
      <c r="BJ113" s="644">
        <v>4511598</v>
      </c>
      <c r="BK113" s="644">
        <v>4511598</v>
      </c>
      <c r="BL113" s="644">
        <v>11488402</v>
      </c>
      <c r="BM113" s="548">
        <f t="shared" si="77"/>
        <v>16000</v>
      </c>
      <c r="BN113" s="548">
        <f t="shared" si="78"/>
        <v>4511.598</v>
      </c>
      <c r="BO113" s="548">
        <f t="shared" si="79"/>
        <v>4511.598</v>
      </c>
      <c r="BP113" s="650">
        <f t="shared" si="80"/>
        <v>11488.402</v>
      </c>
      <c r="BW113" s="597" t="s">
        <v>469</v>
      </c>
      <c r="BX113" s="597">
        <v>28666658</v>
      </c>
      <c r="BY113" s="597">
        <v>28666296</v>
      </c>
      <c r="BZ113" s="597">
        <v>362</v>
      </c>
      <c r="CA113" s="597">
        <v>11944290</v>
      </c>
      <c r="CB113" s="597">
        <f t="shared" si="82"/>
        <v>28666.657999999999</v>
      </c>
      <c r="CC113" s="597">
        <f t="shared" si="83"/>
        <v>28666.295999999998</v>
      </c>
      <c r="CD113" s="597">
        <f t="shared" si="84"/>
        <v>0.36199999999999999</v>
      </c>
      <c r="CE113" s="597">
        <f t="shared" si="85"/>
        <v>11944.29</v>
      </c>
      <c r="CK113" s="371" t="s">
        <v>565</v>
      </c>
      <c r="CL113" s="372">
        <v>28000000</v>
      </c>
      <c r="CM113" s="372">
        <v>11834690</v>
      </c>
      <c r="CN113" s="372">
        <v>28000000</v>
      </c>
      <c r="CO113" s="372">
        <v>0</v>
      </c>
      <c r="CP113" s="597">
        <f t="shared" si="87"/>
        <v>28000</v>
      </c>
      <c r="CQ113" s="597">
        <f t="shared" si="88"/>
        <v>11834.69</v>
      </c>
      <c r="CR113" s="597">
        <f t="shared" si="89"/>
        <v>28000</v>
      </c>
      <c r="CS113" s="597">
        <f t="shared" si="90"/>
        <v>0</v>
      </c>
      <c r="CU113" s="548"/>
      <c r="CZ113" s="1059" t="s">
        <v>387</v>
      </c>
      <c r="DA113" s="1060">
        <v>845657389</v>
      </c>
      <c r="DB113" s="1060">
        <v>453954630</v>
      </c>
      <c r="DC113" s="1060">
        <v>845657389</v>
      </c>
      <c r="DD113" s="1060">
        <v>0</v>
      </c>
      <c r="DE113" s="1060">
        <f t="shared" si="92"/>
        <v>845657.38899999997</v>
      </c>
      <c r="DF113" s="1060">
        <f t="shared" si="93"/>
        <v>453954.63</v>
      </c>
      <c r="DG113" s="1060">
        <f t="shared" si="94"/>
        <v>845657.38899999997</v>
      </c>
      <c r="DH113" s="1060">
        <f t="shared" si="95"/>
        <v>0</v>
      </c>
    </row>
    <row r="114" spans="1:112" x14ac:dyDescent="0.25">
      <c r="A114" s="504" t="s">
        <v>390</v>
      </c>
      <c r="B114" s="504">
        <v>48560000</v>
      </c>
      <c r="C114" s="504">
        <v>0</v>
      </c>
      <c r="D114" s="504">
        <v>0</v>
      </c>
      <c r="E114" s="504">
        <v>48560000</v>
      </c>
      <c r="F114" s="504">
        <f t="shared" si="96"/>
        <v>48560</v>
      </c>
      <c r="G114" s="504">
        <f t="shared" si="97"/>
        <v>0</v>
      </c>
      <c r="H114" s="504">
        <f t="shared" si="98"/>
        <v>0</v>
      </c>
      <c r="I114" s="504">
        <f t="shared" si="99"/>
        <v>48560</v>
      </c>
      <c r="P114" s="371" t="s">
        <v>568</v>
      </c>
      <c r="Q114" s="372">
        <v>1017333562</v>
      </c>
      <c r="R114" s="372">
        <v>1866674</v>
      </c>
      <c r="S114" s="372">
        <v>875155493</v>
      </c>
      <c r="T114" s="372">
        <v>142178069</v>
      </c>
      <c r="U114" s="372">
        <f t="shared" si="100"/>
        <v>1017333.562</v>
      </c>
      <c r="V114" s="505">
        <f t="shared" si="101"/>
        <v>1866.674</v>
      </c>
      <c r="W114" s="505">
        <f t="shared" si="102"/>
        <v>875155.49300000002</v>
      </c>
      <c r="X114" s="505">
        <f t="shared" si="103"/>
        <v>142178.06899999999</v>
      </c>
      <c r="AE114" s="373" t="s">
        <v>388</v>
      </c>
      <c r="AF114" s="504">
        <v>5000000</v>
      </c>
      <c r="AG114" s="504">
        <v>0</v>
      </c>
      <c r="AH114" s="504">
        <v>4511598</v>
      </c>
      <c r="AI114" s="504">
        <v>488402</v>
      </c>
      <c r="AJ114" s="504">
        <f t="shared" si="105"/>
        <v>5000</v>
      </c>
      <c r="AK114" s="504">
        <f t="shared" si="106"/>
        <v>0</v>
      </c>
      <c r="AL114" s="504">
        <f t="shared" si="107"/>
        <v>4511.598</v>
      </c>
      <c r="AM114" s="504">
        <f t="shared" si="108"/>
        <v>488.40199999999999</v>
      </c>
      <c r="AP114" s="371"/>
      <c r="AQ114" s="372"/>
      <c r="AR114" s="372"/>
      <c r="AT114" s="371" t="s">
        <v>388</v>
      </c>
      <c r="AU114" s="372">
        <v>16000000</v>
      </c>
      <c r="AV114" s="372">
        <v>4511598</v>
      </c>
      <c r="AW114" s="372">
        <v>4511598</v>
      </c>
      <c r="AX114" s="372">
        <v>11488402</v>
      </c>
      <c r="AY114" s="504">
        <f t="shared" si="72"/>
        <v>16000</v>
      </c>
      <c r="AZ114" s="504">
        <f t="shared" si="73"/>
        <v>4511.598</v>
      </c>
      <c r="BA114" s="504">
        <f t="shared" si="74"/>
        <v>4511.598</v>
      </c>
      <c r="BB114" s="504">
        <f t="shared" si="75"/>
        <v>11488.402</v>
      </c>
      <c r="BH114" s="782" t="s">
        <v>478</v>
      </c>
      <c r="BI114" s="644">
        <v>10214</v>
      </c>
      <c r="BJ114" s="644">
        <v>10214</v>
      </c>
      <c r="BK114" s="644">
        <v>10214</v>
      </c>
      <c r="BL114" s="644">
        <v>0</v>
      </c>
      <c r="BM114" s="548">
        <f t="shared" si="77"/>
        <v>10.214</v>
      </c>
      <c r="BN114" s="548">
        <f t="shared" si="78"/>
        <v>10.214</v>
      </c>
      <c r="BO114" s="548">
        <f t="shared" si="79"/>
        <v>10.214</v>
      </c>
      <c r="BP114" s="650">
        <f t="shared" si="80"/>
        <v>0</v>
      </c>
      <c r="BW114" s="597" t="s">
        <v>567</v>
      </c>
      <c r="BX114" s="597">
        <v>15521812</v>
      </c>
      <c r="BY114" s="597">
        <v>7421648</v>
      </c>
      <c r="BZ114" s="597">
        <v>8100164</v>
      </c>
      <c r="CA114" s="597">
        <v>4521812</v>
      </c>
      <c r="CB114" s="597">
        <f t="shared" si="82"/>
        <v>15521.812</v>
      </c>
      <c r="CC114" s="597">
        <f t="shared" si="83"/>
        <v>7421.6480000000001</v>
      </c>
      <c r="CD114" s="597">
        <f t="shared" si="84"/>
        <v>8100.1639999999998</v>
      </c>
      <c r="CE114" s="597">
        <f t="shared" si="85"/>
        <v>4521.8119999999999</v>
      </c>
      <c r="CK114" s="371" t="s">
        <v>566</v>
      </c>
      <c r="CL114" s="372">
        <v>112000000</v>
      </c>
      <c r="CM114" s="372">
        <v>62442133</v>
      </c>
      <c r="CN114" s="372">
        <v>112000000</v>
      </c>
      <c r="CO114" s="372">
        <v>0</v>
      </c>
      <c r="CP114" s="597">
        <f t="shared" si="87"/>
        <v>112000</v>
      </c>
      <c r="CQ114" s="597">
        <f t="shared" si="88"/>
        <v>62442.133000000002</v>
      </c>
      <c r="CR114" s="597">
        <f t="shared" si="89"/>
        <v>112000</v>
      </c>
      <c r="CS114" s="597">
        <f t="shared" si="90"/>
        <v>0</v>
      </c>
      <c r="CU114" s="548"/>
      <c r="CZ114" s="1059" t="s">
        <v>565</v>
      </c>
      <c r="DA114" s="1060">
        <v>28000000</v>
      </c>
      <c r="DB114" s="1060">
        <v>13717465</v>
      </c>
      <c r="DC114" s="1060">
        <v>28000000</v>
      </c>
      <c r="DD114" s="1060">
        <v>0</v>
      </c>
      <c r="DE114" s="1060">
        <f t="shared" si="92"/>
        <v>28000</v>
      </c>
      <c r="DF114" s="1060">
        <f t="shared" si="93"/>
        <v>13717.465</v>
      </c>
      <c r="DG114" s="1060">
        <f t="shared" si="94"/>
        <v>28000</v>
      </c>
      <c r="DH114" s="1060">
        <f t="shared" si="95"/>
        <v>0</v>
      </c>
    </row>
    <row r="115" spans="1:112" x14ac:dyDescent="0.25">
      <c r="A115" s="504" t="s">
        <v>391</v>
      </c>
      <c r="B115" s="504">
        <v>898671526</v>
      </c>
      <c r="C115" s="504">
        <v>0</v>
      </c>
      <c r="D115" s="504">
        <v>78836668</v>
      </c>
      <c r="E115" s="504">
        <v>819834858</v>
      </c>
      <c r="F115" s="504">
        <f t="shared" si="96"/>
        <v>898671.52599999995</v>
      </c>
      <c r="G115" s="504">
        <f t="shared" si="97"/>
        <v>0</v>
      </c>
      <c r="H115" s="504">
        <f t="shared" si="98"/>
        <v>78836.668000000005</v>
      </c>
      <c r="I115" s="504">
        <f t="shared" si="99"/>
        <v>819834.85800000001</v>
      </c>
      <c r="P115" s="371" t="s">
        <v>389</v>
      </c>
      <c r="Q115" s="372">
        <v>288105042</v>
      </c>
      <c r="R115" s="372">
        <v>0</v>
      </c>
      <c r="S115" s="372">
        <v>237405043</v>
      </c>
      <c r="T115" s="372">
        <v>50699999</v>
      </c>
      <c r="U115" s="372">
        <f t="shared" si="100"/>
        <v>288105.04200000002</v>
      </c>
      <c r="V115" s="505">
        <f t="shared" si="101"/>
        <v>0</v>
      </c>
      <c r="W115" s="505">
        <f t="shared" si="102"/>
        <v>237405.04300000001</v>
      </c>
      <c r="X115" s="505">
        <f t="shared" si="103"/>
        <v>50699.999000000003</v>
      </c>
      <c r="AE115" s="373" t="s">
        <v>568</v>
      </c>
      <c r="AF115" s="504">
        <v>2347571880</v>
      </c>
      <c r="AG115" s="504">
        <v>190502491</v>
      </c>
      <c r="AH115" s="504">
        <v>1229026660</v>
      </c>
      <c r="AI115" s="504">
        <v>1118545220</v>
      </c>
      <c r="AJ115" s="504">
        <f t="shared" si="105"/>
        <v>2347571.88</v>
      </c>
      <c r="AK115" s="504">
        <f t="shared" si="106"/>
        <v>190502.49100000001</v>
      </c>
      <c r="AL115" s="504">
        <f t="shared" si="107"/>
        <v>1229026.6599999999</v>
      </c>
      <c r="AM115" s="504">
        <f t="shared" si="108"/>
        <v>1118545.22</v>
      </c>
      <c r="AP115" s="371"/>
      <c r="AQ115" s="372"/>
      <c r="AR115" s="372"/>
      <c r="AT115" s="371" t="s">
        <v>478</v>
      </c>
      <c r="AU115" s="372">
        <v>10214</v>
      </c>
      <c r="AV115" s="372">
        <v>10214</v>
      </c>
      <c r="AW115" s="372">
        <v>10214</v>
      </c>
      <c r="AX115" s="372">
        <v>0</v>
      </c>
      <c r="AY115" s="504">
        <f t="shared" si="72"/>
        <v>10.214</v>
      </c>
      <c r="AZ115" s="504">
        <f t="shared" si="73"/>
        <v>10.214</v>
      </c>
      <c r="BA115" s="504">
        <f t="shared" si="74"/>
        <v>10.214</v>
      </c>
      <c r="BB115" s="504">
        <f t="shared" si="75"/>
        <v>0</v>
      </c>
      <c r="BH115" s="782" t="s">
        <v>568</v>
      </c>
      <c r="BI115" s="644">
        <v>2028738295</v>
      </c>
      <c r="BJ115" s="644">
        <v>411049155</v>
      </c>
      <c r="BK115" s="644">
        <v>1268061708</v>
      </c>
      <c r="BL115" s="644">
        <v>760676587</v>
      </c>
      <c r="BM115" s="548">
        <f t="shared" si="77"/>
        <v>2028738.2949999999</v>
      </c>
      <c r="BN115" s="548">
        <f t="shared" si="78"/>
        <v>411049.15500000003</v>
      </c>
      <c r="BO115" s="548">
        <f t="shared" si="79"/>
        <v>1268061.7080000001</v>
      </c>
      <c r="BP115" s="650">
        <f t="shared" si="80"/>
        <v>760676.58700000006</v>
      </c>
      <c r="BW115" s="597" t="s">
        <v>388</v>
      </c>
      <c r="BX115" s="597">
        <v>15511598</v>
      </c>
      <c r="BY115" s="597">
        <v>7411434</v>
      </c>
      <c r="BZ115" s="597">
        <v>8100164</v>
      </c>
      <c r="CA115" s="597">
        <v>4511598</v>
      </c>
      <c r="CB115" s="597">
        <f t="shared" si="82"/>
        <v>15511.598</v>
      </c>
      <c r="CC115" s="597">
        <f t="shared" si="83"/>
        <v>7411.4340000000002</v>
      </c>
      <c r="CD115" s="597">
        <f t="shared" si="84"/>
        <v>8100.1639999999998</v>
      </c>
      <c r="CE115" s="597">
        <f t="shared" si="85"/>
        <v>4511.598</v>
      </c>
      <c r="CK115" s="371" t="s">
        <v>469</v>
      </c>
      <c r="CL115" s="372">
        <v>28666658</v>
      </c>
      <c r="CM115" s="372">
        <v>14333148</v>
      </c>
      <c r="CN115" s="372">
        <v>28666296</v>
      </c>
      <c r="CO115" s="372">
        <v>362</v>
      </c>
      <c r="CP115" s="597">
        <f t="shared" si="87"/>
        <v>28666.657999999999</v>
      </c>
      <c r="CQ115" s="597">
        <f t="shared" si="88"/>
        <v>14333.147999999999</v>
      </c>
      <c r="CR115" s="597">
        <f t="shared" si="89"/>
        <v>28666.295999999998</v>
      </c>
      <c r="CS115" s="597">
        <f t="shared" si="90"/>
        <v>0.36199999999999999</v>
      </c>
      <c r="CU115" s="548"/>
      <c r="CZ115" s="1059" t="s">
        <v>566</v>
      </c>
      <c r="DA115" s="1060">
        <v>112000000</v>
      </c>
      <c r="DB115" s="1060">
        <v>72873441</v>
      </c>
      <c r="DC115" s="1060">
        <v>112000000</v>
      </c>
      <c r="DD115" s="1060">
        <v>0</v>
      </c>
      <c r="DE115" s="1060">
        <f t="shared" si="92"/>
        <v>112000</v>
      </c>
      <c r="DF115" s="1060">
        <f t="shared" si="93"/>
        <v>72873.441000000006</v>
      </c>
      <c r="DG115" s="1060">
        <f t="shared" si="94"/>
        <v>112000</v>
      </c>
      <c r="DH115" s="1060">
        <f t="shared" si="95"/>
        <v>0</v>
      </c>
    </row>
    <row r="116" spans="1:112" x14ac:dyDescent="0.25">
      <c r="A116" s="504" t="s">
        <v>392</v>
      </c>
      <c r="B116" s="504">
        <v>5123221</v>
      </c>
      <c r="C116" s="504">
        <v>0</v>
      </c>
      <c r="D116" s="504">
        <v>0</v>
      </c>
      <c r="E116" s="504">
        <v>5123221</v>
      </c>
      <c r="F116" s="504">
        <f t="shared" si="96"/>
        <v>5123.2209999999995</v>
      </c>
      <c r="G116" s="504">
        <f t="shared" si="97"/>
        <v>0</v>
      </c>
      <c r="H116" s="504">
        <f t="shared" si="98"/>
        <v>0</v>
      </c>
      <c r="I116" s="504">
        <f t="shared" si="99"/>
        <v>5123.2209999999995</v>
      </c>
      <c r="P116" s="371" t="s">
        <v>390</v>
      </c>
      <c r="Q116" s="372">
        <v>48560000</v>
      </c>
      <c r="R116" s="372">
        <v>0</v>
      </c>
      <c r="S116" s="372">
        <v>0</v>
      </c>
      <c r="T116" s="372">
        <v>48560000</v>
      </c>
      <c r="U116" s="372">
        <f t="shared" si="100"/>
        <v>48560</v>
      </c>
      <c r="V116" s="505">
        <f t="shared" si="101"/>
        <v>0</v>
      </c>
      <c r="W116" s="505">
        <f t="shared" si="102"/>
        <v>0</v>
      </c>
      <c r="X116" s="505">
        <f t="shared" si="103"/>
        <v>48560</v>
      </c>
      <c r="AE116" s="373" t="s">
        <v>389</v>
      </c>
      <c r="AF116" s="504">
        <v>1235420002</v>
      </c>
      <c r="AG116" s="504">
        <v>63274461</v>
      </c>
      <c r="AH116" s="504">
        <v>590117914</v>
      </c>
      <c r="AI116" s="504">
        <v>645302088</v>
      </c>
      <c r="AJ116" s="504">
        <f t="shared" si="105"/>
        <v>1235420.0020000001</v>
      </c>
      <c r="AK116" s="504">
        <f t="shared" si="106"/>
        <v>63274.461000000003</v>
      </c>
      <c r="AL116" s="504">
        <f t="shared" si="107"/>
        <v>590117.91399999999</v>
      </c>
      <c r="AM116" s="504">
        <f t="shared" si="108"/>
        <v>645302.08799999999</v>
      </c>
      <c r="AP116" s="371"/>
      <c r="AQ116" s="372"/>
      <c r="AR116" s="372"/>
      <c r="AT116" s="371" t="s">
        <v>568</v>
      </c>
      <c r="AU116" s="372">
        <v>2128082915</v>
      </c>
      <c r="AV116" s="372">
        <v>327143420</v>
      </c>
      <c r="AW116" s="372">
        <v>1260961708</v>
      </c>
      <c r="AX116" s="372">
        <v>867121207</v>
      </c>
      <c r="AY116" s="504">
        <f t="shared" si="72"/>
        <v>2128082.915</v>
      </c>
      <c r="AZ116" s="504">
        <f t="shared" si="73"/>
        <v>327143.42</v>
      </c>
      <c r="BA116" s="504">
        <f t="shared" si="74"/>
        <v>1260961.7080000001</v>
      </c>
      <c r="BB116" s="504">
        <f t="shared" si="75"/>
        <v>867121.20700000005</v>
      </c>
      <c r="BH116" s="782" t="s">
        <v>389</v>
      </c>
      <c r="BI116" s="644">
        <v>1054726955</v>
      </c>
      <c r="BJ116" s="644">
        <v>197975961</v>
      </c>
      <c r="BK116" s="644">
        <v>590118913</v>
      </c>
      <c r="BL116" s="644">
        <v>464608042</v>
      </c>
      <c r="BM116" s="548">
        <f t="shared" si="77"/>
        <v>1054726.9550000001</v>
      </c>
      <c r="BN116" s="548">
        <f t="shared" si="78"/>
        <v>197975.96100000001</v>
      </c>
      <c r="BO116" s="548">
        <f t="shared" si="79"/>
        <v>590118.91299999994</v>
      </c>
      <c r="BP116" s="650">
        <f t="shared" si="80"/>
        <v>464608.04200000002</v>
      </c>
      <c r="BW116" s="597" t="s">
        <v>478</v>
      </c>
      <c r="BX116" s="597">
        <v>10214</v>
      </c>
      <c r="BY116" s="597">
        <v>10214</v>
      </c>
      <c r="BZ116" s="597">
        <v>0</v>
      </c>
      <c r="CA116" s="597">
        <v>10214</v>
      </c>
      <c r="CB116" s="597">
        <f t="shared" si="82"/>
        <v>10.214</v>
      </c>
      <c r="CC116" s="597">
        <f t="shared" si="83"/>
        <v>10.214</v>
      </c>
      <c r="CD116" s="597">
        <f t="shared" si="84"/>
        <v>0</v>
      </c>
      <c r="CE116" s="597">
        <f t="shared" si="85"/>
        <v>10.214</v>
      </c>
      <c r="CK116" s="371" t="s">
        <v>567</v>
      </c>
      <c r="CL116" s="372">
        <v>19921648</v>
      </c>
      <c r="CM116" s="372">
        <v>7421648</v>
      </c>
      <c r="CN116" s="372">
        <v>7421648</v>
      </c>
      <c r="CO116" s="372">
        <v>12500000</v>
      </c>
      <c r="CP116" s="597">
        <f t="shared" si="87"/>
        <v>19921.648000000001</v>
      </c>
      <c r="CQ116" s="597">
        <f t="shared" si="88"/>
        <v>7421.6480000000001</v>
      </c>
      <c r="CR116" s="597">
        <f t="shared" si="89"/>
        <v>7421.6480000000001</v>
      </c>
      <c r="CS116" s="597">
        <f t="shared" si="90"/>
        <v>12500</v>
      </c>
      <c r="CU116" s="548"/>
      <c r="CZ116" s="1059" t="s">
        <v>469</v>
      </c>
      <c r="DA116" s="1060">
        <v>28666658</v>
      </c>
      <c r="DB116" s="1060">
        <v>16722006</v>
      </c>
      <c r="DC116" s="1060">
        <v>28666296</v>
      </c>
      <c r="DD116" s="1060">
        <v>362</v>
      </c>
      <c r="DE116" s="1060">
        <f t="shared" si="92"/>
        <v>28666.657999999999</v>
      </c>
      <c r="DF116" s="1060">
        <f t="shared" si="93"/>
        <v>16722.006000000001</v>
      </c>
      <c r="DG116" s="1060">
        <f t="shared" si="94"/>
        <v>28666.295999999998</v>
      </c>
      <c r="DH116" s="1060">
        <f t="shared" si="95"/>
        <v>0.36199999999999999</v>
      </c>
    </row>
    <row r="117" spans="1:112" x14ac:dyDescent="0.25">
      <c r="A117" s="504" t="s">
        <v>569</v>
      </c>
      <c r="B117" s="504">
        <v>1700000</v>
      </c>
      <c r="C117" s="504">
        <v>0</v>
      </c>
      <c r="D117" s="504">
        <v>78669</v>
      </c>
      <c r="E117" s="504">
        <v>1621331</v>
      </c>
      <c r="F117" s="504">
        <f t="shared" si="96"/>
        <v>1700</v>
      </c>
      <c r="G117" s="504">
        <f t="shared" si="97"/>
        <v>0</v>
      </c>
      <c r="H117" s="504">
        <f t="shared" si="98"/>
        <v>78.668999999999997</v>
      </c>
      <c r="I117" s="504">
        <f t="shared" si="99"/>
        <v>1621.3309999999999</v>
      </c>
      <c r="P117" s="371" t="s">
        <v>391</v>
      </c>
      <c r="Q117" s="372">
        <v>678144432</v>
      </c>
      <c r="R117" s="372">
        <v>1866674</v>
      </c>
      <c r="S117" s="372">
        <v>637750450</v>
      </c>
      <c r="T117" s="372">
        <v>40393982</v>
      </c>
      <c r="U117" s="372">
        <f t="shared" si="100"/>
        <v>678144.43200000003</v>
      </c>
      <c r="V117" s="505">
        <f t="shared" si="101"/>
        <v>1866.674</v>
      </c>
      <c r="W117" s="505">
        <f t="shared" si="102"/>
        <v>637750.44999999995</v>
      </c>
      <c r="X117" s="505">
        <f t="shared" si="103"/>
        <v>40393.982000000004</v>
      </c>
      <c r="AE117" s="373" t="s">
        <v>390</v>
      </c>
      <c r="AF117" s="504">
        <v>48560000</v>
      </c>
      <c r="AG117" s="504">
        <v>1125000</v>
      </c>
      <c r="AH117" s="504">
        <v>1125000</v>
      </c>
      <c r="AI117" s="504">
        <v>47435000</v>
      </c>
      <c r="AJ117" s="504">
        <f t="shared" si="105"/>
        <v>48560</v>
      </c>
      <c r="AK117" s="504">
        <f t="shared" si="106"/>
        <v>1125</v>
      </c>
      <c r="AL117" s="504">
        <f t="shared" si="107"/>
        <v>1125</v>
      </c>
      <c r="AM117" s="504">
        <f t="shared" si="108"/>
        <v>47435</v>
      </c>
      <c r="AP117" s="371"/>
      <c r="AQ117" s="372"/>
      <c r="AR117" s="372"/>
      <c r="AT117" s="371" t="s">
        <v>389</v>
      </c>
      <c r="AU117" s="372">
        <v>1115459704</v>
      </c>
      <c r="AV117" s="372">
        <v>186275961</v>
      </c>
      <c r="AW117" s="372">
        <v>590118913</v>
      </c>
      <c r="AX117" s="372">
        <v>525340791</v>
      </c>
      <c r="AY117" s="504">
        <f t="shared" si="72"/>
        <v>1115459.7039999999</v>
      </c>
      <c r="AZ117" s="504">
        <f t="shared" si="73"/>
        <v>186275.96100000001</v>
      </c>
      <c r="BA117" s="504">
        <f t="shared" si="74"/>
        <v>590118.91299999994</v>
      </c>
      <c r="BB117" s="504">
        <f t="shared" si="75"/>
        <v>525340.79099999997</v>
      </c>
      <c r="BH117" s="782" t="s">
        <v>390</v>
      </c>
      <c r="BI117" s="644">
        <v>48560000</v>
      </c>
      <c r="BJ117" s="644">
        <v>1125000</v>
      </c>
      <c r="BK117" s="644">
        <v>16790000</v>
      </c>
      <c r="BL117" s="644">
        <v>31770000</v>
      </c>
      <c r="BM117" s="548">
        <f t="shared" si="77"/>
        <v>48560</v>
      </c>
      <c r="BN117" s="548">
        <f t="shared" si="78"/>
        <v>1125</v>
      </c>
      <c r="BO117" s="548">
        <f t="shared" si="79"/>
        <v>16790</v>
      </c>
      <c r="BP117" s="650">
        <f t="shared" si="80"/>
        <v>31770</v>
      </c>
      <c r="BW117" s="597" t="s">
        <v>568</v>
      </c>
      <c r="BX117" s="597">
        <v>2202549352</v>
      </c>
      <c r="BY117" s="597">
        <v>1290586708</v>
      </c>
      <c r="BZ117" s="597">
        <v>911962644</v>
      </c>
      <c r="CA117" s="597">
        <v>661073836</v>
      </c>
      <c r="CB117" s="597">
        <f t="shared" si="82"/>
        <v>2202549.352</v>
      </c>
      <c r="CC117" s="597">
        <f t="shared" si="83"/>
        <v>1290586.7080000001</v>
      </c>
      <c r="CD117" s="597">
        <f t="shared" si="84"/>
        <v>911962.64399999997</v>
      </c>
      <c r="CE117" s="597">
        <f t="shared" si="85"/>
        <v>661073.83600000001</v>
      </c>
      <c r="CK117" s="371" t="s">
        <v>388</v>
      </c>
      <c r="CL117" s="372">
        <v>19911434</v>
      </c>
      <c r="CM117" s="372">
        <v>7411434</v>
      </c>
      <c r="CN117" s="372">
        <v>7411434</v>
      </c>
      <c r="CO117" s="372">
        <v>12500000</v>
      </c>
      <c r="CP117" s="597">
        <f t="shared" si="87"/>
        <v>19911.434000000001</v>
      </c>
      <c r="CQ117" s="597">
        <f t="shared" si="88"/>
        <v>7411.4340000000002</v>
      </c>
      <c r="CR117" s="597">
        <f t="shared" si="89"/>
        <v>7411.4340000000002</v>
      </c>
      <c r="CS117" s="597">
        <f t="shared" si="90"/>
        <v>12500</v>
      </c>
      <c r="CU117" s="548"/>
      <c r="CZ117" s="1059" t="s">
        <v>567</v>
      </c>
      <c r="DA117" s="1060">
        <v>19931522</v>
      </c>
      <c r="DB117" s="1060">
        <v>7431522</v>
      </c>
      <c r="DC117" s="1060">
        <v>7431522</v>
      </c>
      <c r="DD117" s="1060">
        <v>12500000</v>
      </c>
      <c r="DE117" s="1060">
        <f t="shared" si="92"/>
        <v>19931.522000000001</v>
      </c>
      <c r="DF117" s="1060">
        <f t="shared" si="93"/>
        <v>7431.5219999999999</v>
      </c>
      <c r="DG117" s="1060">
        <f t="shared" si="94"/>
        <v>7431.5219999999999</v>
      </c>
      <c r="DH117" s="1060">
        <f t="shared" si="95"/>
        <v>12500</v>
      </c>
    </row>
    <row r="118" spans="1:112" x14ac:dyDescent="0.25">
      <c r="A118" s="504" t="s">
        <v>393</v>
      </c>
      <c r="B118" s="504">
        <v>1700000</v>
      </c>
      <c r="C118" s="504">
        <v>0</v>
      </c>
      <c r="D118" s="504">
        <v>78669</v>
      </c>
      <c r="E118" s="504">
        <v>1621331</v>
      </c>
      <c r="F118" s="504">
        <f t="shared" si="96"/>
        <v>1700</v>
      </c>
      <c r="G118" s="504">
        <f t="shared" si="97"/>
        <v>0</v>
      </c>
      <c r="H118" s="504">
        <f t="shared" si="98"/>
        <v>78.668999999999997</v>
      </c>
      <c r="I118" s="504">
        <f t="shared" si="99"/>
        <v>1621.3309999999999</v>
      </c>
      <c r="P118" s="371" t="s">
        <v>392</v>
      </c>
      <c r="Q118" s="372">
        <v>2524088</v>
      </c>
      <c r="R118" s="372">
        <v>0</v>
      </c>
      <c r="S118" s="372">
        <v>0</v>
      </c>
      <c r="T118" s="372">
        <v>2524088</v>
      </c>
      <c r="U118" s="372">
        <f t="shared" si="100"/>
        <v>2524.0880000000002</v>
      </c>
      <c r="V118" s="505">
        <f t="shared" si="101"/>
        <v>0</v>
      </c>
      <c r="W118" s="505">
        <f t="shared" si="102"/>
        <v>0</v>
      </c>
      <c r="X118" s="505">
        <f t="shared" si="103"/>
        <v>2524.0880000000002</v>
      </c>
      <c r="AE118" s="373" t="s">
        <v>391</v>
      </c>
      <c r="AF118" s="504">
        <v>1003110823</v>
      </c>
      <c r="AG118" s="504">
        <v>126103030</v>
      </c>
      <c r="AH118" s="504">
        <v>637783746</v>
      </c>
      <c r="AI118" s="504">
        <v>365327077</v>
      </c>
      <c r="AJ118" s="504">
        <f t="shared" si="105"/>
        <v>1003110.823</v>
      </c>
      <c r="AK118" s="504">
        <f t="shared" si="106"/>
        <v>126103.03</v>
      </c>
      <c r="AL118" s="504">
        <f t="shared" si="107"/>
        <v>637783.74600000004</v>
      </c>
      <c r="AM118" s="504">
        <f t="shared" si="108"/>
        <v>365327.07699999999</v>
      </c>
      <c r="AP118" s="371"/>
      <c r="AQ118" s="372"/>
      <c r="AR118" s="372"/>
      <c r="AT118" s="371" t="s">
        <v>390</v>
      </c>
      <c r="AU118" s="372">
        <v>48560000</v>
      </c>
      <c r="AV118" s="372">
        <v>1125000</v>
      </c>
      <c r="AW118" s="372">
        <v>9690000</v>
      </c>
      <c r="AX118" s="372">
        <v>38870000</v>
      </c>
      <c r="AY118" s="504">
        <f t="shared" si="72"/>
        <v>48560</v>
      </c>
      <c r="AZ118" s="504">
        <f t="shared" si="73"/>
        <v>1125</v>
      </c>
      <c r="BA118" s="504">
        <f t="shared" si="74"/>
        <v>9690</v>
      </c>
      <c r="BB118" s="504">
        <f t="shared" si="75"/>
        <v>38870</v>
      </c>
      <c r="BH118" s="782" t="s">
        <v>391</v>
      </c>
      <c r="BI118" s="644">
        <v>925442057</v>
      </c>
      <c r="BJ118" s="644">
        <v>211948194</v>
      </c>
      <c r="BK118" s="644">
        <v>661152795</v>
      </c>
      <c r="BL118" s="644">
        <v>264289262</v>
      </c>
      <c r="BM118" s="548">
        <f t="shared" si="77"/>
        <v>925442.05700000003</v>
      </c>
      <c r="BN118" s="548">
        <f t="shared" si="78"/>
        <v>211948.19399999999</v>
      </c>
      <c r="BO118" s="548">
        <f t="shared" si="79"/>
        <v>661152.79500000004</v>
      </c>
      <c r="BP118" s="650">
        <f t="shared" si="80"/>
        <v>264289.26199999999</v>
      </c>
      <c r="BW118" s="597" t="s">
        <v>389</v>
      </c>
      <c r="BX118" s="597">
        <v>1266126955</v>
      </c>
      <c r="BY118" s="597">
        <v>609618913</v>
      </c>
      <c r="BZ118" s="597">
        <v>656508042</v>
      </c>
      <c r="CA118" s="597">
        <v>312821910</v>
      </c>
      <c r="CB118" s="597">
        <f t="shared" si="82"/>
        <v>1266126.9550000001</v>
      </c>
      <c r="CC118" s="597">
        <f t="shared" si="83"/>
        <v>609618.91299999994</v>
      </c>
      <c r="CD118" s="597">
        <f t="shared" si="84"/>
        <v>656508.04200000002</v>
      </c>
      <c r="CE118" s="597">
        <f t="shared" si="85"/>
        <v>312821.90999999997</v>
      </c>
      <c r="CK118" s="371" t="s">
        <v>478</v>
      </c>
      <c r="CL118" s="372">
        <v>10214</v>
      </c>
      <c r="CM118" s="372">
        <v>10214</v>
      </c>
      <c r="CN118" s="372">
        <v>10214</v>
      </c>
      <c r="CO118" s="372">
        <v>0</v>
      </c>
      <c r="CP118" s="597">
        <f t="shared" si="87"/>
        <v>10.214</v>
      </c>
      <c r="CQ118" s="597">
        <f t="shared" si="88"/>
        <v>10.214</v>
      </c>
      <c r="CR118" s="597">
        <f t="shared" si="89"/>
        <v>10.214</v>
      </c>
      <c r="CS118" s="597">
        <f t="shared" si="90"/>
        <v>0</v>
      </c>
      <c r="CU118" s="548"/>
      <c r="CZ118" s="1059" t="s">
        <v>388</v>
      </c>
      <c r="DA118" s="1060">
        <v>19911434</v>
      </c>
      <c r="DB118" s="1060">
        <v>7411434</v>
      </c>
      <c r="DC118" s="1060">
        <v>7411434</v>
      </c>
      <c r="DD118" s="1060">
        <v>12500000</v>
      </c>
      <c r="DE118" s="1060">
        <f t="shared" si="92"/>
        <v>19911.434000000001</v>
      </c>
      <c r="DF118" s="1060">
        <f t="shared" si="93"/>
        <v>7411.4340000000002</v>
      </c>
      <c r="DG118" s="1060">
        <f t="shared" si="94"/>
        <v>7411.4340000000002</v>
      </c>
      <c r="DH118" s="1060">
        <f t="shared" si="95"/>
        <v>12500</v>
      </c>
    </row>
    <row r="119" spans="1:112" x14ac:dyDescent="0.25">
      <c r="A119" s="504" t="s">
        <v>571</v>
      </c>
      <c r="B119" s="504">
        <v>10000</v>
      </c>
      <c r="C119" s="504">
        <v>0</v>
      </c>
      <c r="D119" s="504">
        <v>0</v>
      </c>
      <c r="E119" s="504">
        <v>10000</v>
      </c>
      <c r="F119" s="504">
        <f t="shared" si="96"/>
        <v>10</v>
      </c>
      <c r="G119" s="504">
        <f t="shared" si="97"/>
        <v>0</v>
      </c>
      <c r="H119" s="504">
        <f t="shared" si="98"/>
        <v>0</v>
      </c>
      <c r="I119" s="504">
        <f t="shared" si="99"/>
        <v>10</v>
      </c>
      <c r="P119" s="371" t="s">
        <v>569</v>
      </c>
      <c r="Q119" s="372">
        <v>3586768</v>
      </c>
      <c r="R119" s="372">
        <v>2244608</v>
      </c>
      <c r="S119" s="372">
        <v>2394768</v>
      </c>
      <c r="T119" s="372">
        <v>1192000</v>
      </c>
      <c r="U119" s="372">
        <f t="shared" si="100"/>
        <v>3586.768</v>
      </c>
      <c r="V119" s="505">
        <f t="shared" si="101"/>
        <v>2244.6080000000002</v>
      </c>
      <c r="W119" s="505">
        <f t="shared" si="102"/>
        <v>2394.768</v>
      </c>
      <c r="X119" s="505">
        <f t="shared" si="103"/>
        <v>1192</v>
      </c>
      <c r="AE119" s="373" t="s">
        <v>392</v>
      </c>
      <c r="AF119" s="504">
        <v>60481055</v>
      </c>
      <c r="AG119" s="504">
        <v>0</v>
      </c>
      <c r="AH119" s="504">
        <v>0</v>
      </c>
      <c r="AI119" s="504">
        <v>60481055</v>
      </c>
      <c r="AJ119" s="504">
        <f t="shared" si="105"/>
        <v>60481.055</v>
      </c>
      <c r="AK119" s="504">
        <f t="shared" si="106"/>
        <v>0</v>
      </c>
      <c r="AL119" s="504">
        <f t="shared" si="107"/>
        <v>0</v>
      </c>
      <c r="AM119" s="504">
        <f t="shared" si="108"/>
        <v>60481.055</v>
      </c>
      <c r="AP119" s="371"/>
      <c r="AQ119" s="372"/>
      <c r="AR119" s="372"/>
      <c r="AT119" s="371" t="s">
        <v>391</v>
      </c>
      <c r="AU119" s="372">
        <v>962110823</v>
      </c>
      <c r="AV119" s="372">
        <v>139742459</v>
      </c>
      <c r="AW119" s="372">
        <v>661152795</v>
      </c>
      <c r="AX119" s="372">
        <v>300958028</v>
      </c>
      <c r="AY119" s="504">
        <f t="shared" si="72"/>
        <v>962110.82299999997</v>
      </c>
      <c r="AZ119" s="504">
        <f t="shared" si="73"/>
        <v>139742.459</v>
      </c>
      <c r="BA119" s="504">
        <f t="shared" si="74"/>
        <v>661152.79500000004</v>
      </c>
      <c r="BB119" s="504">
        <f t="shared" si="75"/>
        <v>300958.02799999999</v>
      </c>
      <c r="BH119" s="782" t="s">
        <v>392</v>
      </c>
      <c r="BI119" s="644">
        <v>9283</v>
      </c>
      <c r="BJ119" s="644">
        <v>0</v>
      </c>
      <c r="BK119" s="644">
        <v>0</v>
      </c>
      <c r="BL119" s="644">
        <v>9283</v>
      </c>
      <c r="BM119" s="548">
        <f t="shared" si="77"/>
        <v>9.2829999999999995</v>
      </c>
      <c r="BN119" s="548">
        <f t="shared" si="78"/>
        <v>0</v>
      </c>
      <c r="BO119" s="548">
        <f t="shared" si="79"/>
        <v>0</v>
      </c>
      <c r="BP119" s="650">
        <f t="shared" si="80"/>
        <v>9.2829999999999995</v>
      </c>
      <c r="BW119" s="597" t="s">
        <v>390</v>
      </c>
      <c r="BX119" s="597">
        <v>28560000</v>
      </c>
      <c r="BY119" s="597">
        <v>19815000</v>
      </c>
      <c r="BZ119" s="597">
        <v>8745000</v>
      </c>
      <c r="CA119" s="597">
        <v>2250000</v>
      </c>
      <c r="CB119" s="597">
        <f t="shared" si="82"/>
        <v>28560</v>
      </c>
      <c r="CC119" s="597">
        <f t="shared" si="83"/>
        <v>19815</v>
      </c>
      <c r="CD119" s="597">
        <f t="shared" si="84"/>
        <v>8745</v>
      </c>
      <c r="CE119" s="597">
        <f t="shared" si="85"/>
        <v>2250</v>
      </c>
      <c r="CK119" s="371" t="s">
        <v>568</v>
      </c>
      <c r="CL119" s="372">
        <v>2236393493</v>
      </c>
      <c r="CM119" s="372">
        <v>696151968</v>
      </c>
      <c r="CN119" s="372">
        <v>1387020969</v>
      </c>
      <c r="CO119" s="372">
        <v>849372524</v>
      </c>
      <c r="CP119" s="597">
        <f t="shared" si="87"/>
        <v>2236393.4929999998</v>
      </c>
      <c r="CQ119" s="597">
        <f t="shared" si="88"/>
        <v>696151.96799999999</v>
      </c>
      <c r="CR119" s="597">
        <f t="shared" si="89"/>
        <v>1387020.969</v>
      </c>
      <c r="CS119" s="597">
        <f t="shared" si="90"/>
        <v>849372.52399999998</v>
      </c>
      <c r="CU119" s="548"/>
      <c r="CZ119" s="1059" t="s">
        <v>478</v>
      </c>
      <c r="DA119" s="1060">
        <v>20088</v>
      </c>
      <c r="DB119" s="1060">
        <v>20088</v>
      </c>
      <c r="DC119" s="1060">
        <v>20088</v>
      </c>
      <c r="DD119" s="1060">
        <v>0</v>
      </c>
      <c r="DE119" s="1060">
        <f t="shared" si="92"/>
        <v>20.088000000000001</v>
      </c>
      <c r="DF119" s="1060">
        <f t="shared" si="93"/>
        <v>20.088000000000001</v>
      </c>
      <c r="DG119" s="1060">
        <f t="shared" si="94"/>
        <v>20.088000000000001</v>
      </c>
      <c r="DH119" s="1060">
        <f t="shared" si="95"/>
        <v>0</v>
      </c>
    </row>
    <row r="120" spans="1:112" x14ac:dyDescent="0.25">
      <c r="A120" s="504" t="s">
        <v>572</v>
      </c>
      <c r="B120" s="504">
        <v>10000</v>
      </c>
      <c r="C120" s="504">
        <v>0</v>
      </c>
      <c r="D120" s="504">
        <v>0</v>
      </c>
      <c r="E120" s="504">
        <v>10000</v>
      </c>
      <c r="F120" s="504">
        <f t="shared" si="96"/>
        <v>10</v>
      </c>
      <c r="G120" s="504">
        <f t="shared" si="97"/>
        <v>0</v>
      </c>
      <c r="H120" s="504">
        <f t="shared" si="98"/>
        <v>0</v>
      </c>
      <c r="I120" s="504">
        <f t="shared" si="99"/>
        <v>10</v>
      </c>
      <c r="P120" s="371" t="s">
        <v>393</v>
      </c>
      <c r="Q120" s="372">
        <v>2186769</v>
      </c>
      <c r="R120" s="372">
        <v>844609</v>
      </c>
      <c r="S120" s="372">
        <v>994769</v>
      </c>
      <c r="T120" s="372">
        <v>1192000</v>
      </c>
      <c r="U120" s="372">
        <f t="shared" si="100"/>
        <v>2186.7689999999998</v>
      </c>
      <c r="V120" s="505">
        <f t="shared" si="101"/>
        <v>844.60900000000004</v>
      </c>
      <c r="W120" s="505">
        <f t="shared" si="102"/>
        <v>994.76900000000001</v>
      </c>
      <c r="X120" s="505">
        <f t="shared" si="103"/>
        <v>1192</v>
      </c>
      <c r="AE120" s="373" t="s">
        <v>569</v>
      </c>
      <c r="AF120" s="504">
        <v>4515348</v>
      </c>
      <c r="AG120" s="504">
        <v>3401738</v>
      </c>
      <c r="AH120" s="504">
        <v>3568408</v>
      </c>
      <c r="AI120" s="504">
        <v>946940</v>
      </c>
      <c r="AJ120" s="504">
        <f t="shared" si="105"/>
        <v>4515.348</v>
      </c>
      <c r="AK120" s="504">
        <f t="shared" si="106"/>
        <v>3401.7379999999998</v>
      </c>
      <c r="AL120" s="504">
        <f t="shared" si="107"/>
        <v>3568.4079999999999</v>
      </c>
      <c r="AM120" s="504">
        <f t="shared" si="108"/>
        <v>946.94</v>
      </c>
      <c r="AP120" s="371"/>
      <c r="AQ120" s="372"/>
      <c r="AR120" s="372"/>
      <c r="AT120" s="371" t="s">
        <v>392</v>
      </c>
      <c r="AU120" s="372">
        <v>1952388</v>
      </c>
      <c r="AV120" s="372">
        <v>0</v>
      </c>
      <c r="AW120" s="372">
        <v>0</v>
      </c>
      <c r="AX120" s="372">
        <v>1952388</v>
      </c>
      <c r="AY120" s="504">
        <f t="shared" si="72"/>
        <v>1952.3879999999999</v>
      </c>
      <c r="AZ120" s="504">
        <f t="shared" si="73"/>
        <v>0</v>
      </c>
      <c r="BA120" s="504">
        <f t="shared" si="74"/>
        <v>0</v>
      </c>
      <c r="BB120" s="504">
        <f t="shared" si="75"/>
        <v>1952.3879999999999</v>
      </c>
      <c r="BH120" s="782" t="s">
        <v>569</v>
      </c>
      <c r="BI120" s="644">
        <v>6082178</v>
      </c>
      <c r="BJ120" s="644">
        <v>4807355</v>
      </c>
      <c r="BK120" s="644">
        <v>5485792</v>
      </c>
      <c r="BL120" s="644">
        <v>596386</v>
      </c>
      <c r="BM120" s="548">
        <f t="shared" si="77"/>
        <v>6082.1779999999999</v>
      </c>
      <c r="BN120" s="548">
        <f t="shared" si="78"/>
        <v>4807.3549999999996</v>
      </c>
      <c r="BO120" s="548">
        <f t="shared" si="79"/>
        <v>5485.7920000000004</v>
      </c>
      <c r="BP120" s="650">
        <f t="shared" si="80"/>
        <v>596.38599999999997</v>
      </c>
      <c r="BW120" s="597" t="s">
        <v>391</v>
      </c>
      <c r="BX120" s="597">
        <v>907131960</v>
      </c>
      <c r="BY120" s="597">
        <v>661152795</v>
      </c>
      <c r="BZ120" s="597">
        <v>245979165</v>
      </c>
      <c r="CA120" s="597">
        <v>346001926</v>
      </c>
      <c r="CB120" s="597">
        <f t="shared" si="82"/>
        <v>907131.96</v>
      </c>
      <c r="CC120" s="597">
        <f t="shared" si="83"/>
        <v>661152.79500000004</v>
      </c>
      <c r="CD120" s="597">
        <f t="shared" si="84"/>
        <v>245979.16500000001</v>
      </c>
      <c r="CE120" s="597">
        <f t="shared" si="85"/>
        <v>346001.92599999998</v>
      </c>
      <c r="CK120" s="371" t="s">
        <v>389</v>
      </c>
      <c r="CL120" s="372">
        <v>1105098389</v>
      </c>
      <c r="CM120" s="372">
        <v>324521910</v>
      </c>
      <c r="CN120" s="372">
        <v>699519910</v>
      </c>
      <c r="CO120" s="372">
        <v>405578479</v>
      </c>
      <c r="CP120" s="597">
        <f t="shared" si="87"/>
        <v>1105098.389</v>
      </c>
      <c r="CQ120" s="597">
        <f t="shared" si="88"/>
        <v>324521.90999999997</v>
      </c>
      <c r="CR120" s="597">
        <f t="shared" si="89"/>
        <v>699519.91</v>
      </c>
      <c r="CS120" s="597">
        <f t="shared" si="90"/>
        <v>405578.47899999999</v>
      </c>
      <c r="CU120" s="548"/>
      <c r="CZ120" s="1059" t="s">
        <v>568</v>
      </c>
      <c r="DA120" s="1060">
        <v>2190322870</v>
      </c>
      <c r="DB120" s="1060">
        <v>900083720</v>
      </c>
      <c r="DC120" s="1060">
        <v>1411445895</v>
      </c>
      <c r="DD120" s="1060">
        <v>778876975</v>
      </c>
      <c r="DE120" s="1060">
        <f t="shared" si="92"/>
        <v>2190322.87</v>
      </c>
      <c r="DF120" s="1060">
        <f t="shared" si="93"/>
        <v>900083.72</v>
      </c>
      <c r="DG120" s="1060">
        <f t="shared" si="94"/>
        <v>1411445.895</v>
      </c>
      <c r="DH120" s="1060">
        <f t="shared" si="95"/>
        <v>778876.97499999998</v>
      </c>
    </row>
    <row r="121" spans="1:112" x14ac:dyDescent="0.25">
      <c r="A121" s="504" t="s">
        <v>1002</v>
      </c>
      <c r="B121" s="504">
        <v>1000</v>
      </c>
      <c r="C121" s="504">
        <v>0</v>
      </c>
      <c r="D121" s="504">
        <v>0</v>
      </c>
      <c r="E121" s="504">
        <v>1000</v>
      </c>
      <c r="F121" s="504">
        <f t="shared" si="96"/>
        <v>1</v>
      </c>
      <c r="G121" s="504">
        <f t="shared" si="97"/>
        <v>0</v>
      </c>
      <c r="H121" s="504">
        <f t="shared" si="98"/>
        <v>0</v>
      </c>
      <c r="I121" s="504">
        <f t="shared" si="99"/>
        <v>1</v>
      </c>
      <c r="P121" s="371" t="s">
        <v>394</v>
      </c>
      <c r="Q121" s="372">
        <v>1399999</v>
      </c>
      <c r="R121" s="372">
        <v>1399999</v>
      </c>
      <c r="S121" s="372">
        <v>1399999</v>
      </c>
      <c r="T121" s="372">
        <v>0</v>
      </c>
      <c r="U121" s="372">
        <f t="shared" si="100"/>
        <v>1399.999</v>
      </c>
      <c r="V121" s="505">
        <f t="shared" si="101"/>
        <v>1399.999</v>
      </c>
      <c r="W121" s="505">
        <f t="shared" si="102"/>
        <v>1399.999</v>
      </c>
      <c r="X121" s="505">
        <f t="shared" si="103"/>
        <v>0</v>
      </c>
      <c r="AE121" s="373" t="s">
        <v>393</v>
      </c>
      <c r="AF121" s="504">
        <v>3115349</v>
      </c>
      <c r="AG121" s="504">
        <v>2001739</v>
      </c>
      <c r="AH121" s="504">
        <v>2168409</v>
      </c>
      <c r="AI121" s="504">
        <v>946940</v>
      </c>
      <c r="AJ121" s="504">
        <f t="shared" si="105"/>
        <v>3115.3490000000002</v>
      </c>
      <c r="AK121" s="504">
        <f t="shared" si="106"/>
        <v>2001.739</v>
      </c>
      <c r="AL121" s="504">
        <f t="shared" si="107"/>
        <v>2168.4090000000001</v>
      </c>
      <c r="AM121" s="504">
        <f t="shared" si="108"/>
        <v>946.94</v>
      </c>
      <c r="AP121" s="371"/>
      <c r="AQ121" s="372"/>
      <c r="AR121" s="372"/>
      <c r="AT121" s="371" t="s">
        <v>569</v>
      </c>
      <c r="AU121" s="372">
        <v>5192038</v>
      </c>
      <c r="AV121" s="372">
        <v>4435758</v>
      </c>
      <c r="AW121" s="372">
        <v>4435758</v>
      </c>
      <c r="AX121" s="372">
        <v>756280</v>
      </c>
      <c r="AY121" s="504">
        <f t="shared" si="72"/>
        <v>5192.0379999999996</v>
      </c>
      <c r="AZ121" s="504">
        <f t="shared" si="73"/>
        <v>4435.7579999999998</v>
      </c>
      <c r="BA121" s="504">
        <f t="shared" si="74"/>
        <v>4435.7579999999998</v>
      </c>
      <c r="BB121" s="504">
        <f t="shared" si="75"/>
        <v>756.28</v>
      </c>
      <c r="BH121" s="782" t="s">
        <v>393</v>
      </c>
      <c r="BI121" s="644">
        <v>4682179</v>
      </c>
      <c r="BJ121" s="644">
        <v>3407356</v>
      </c>
      <c r="BK121" s="644">
        <v>4085793</v>
      </c>
      <c r="BL121" s="644">
        <v>596386</v>
      </c>
      <c r="BM121" s="548">
        <f t="shared" si="77"/>
        <v>4682.1790000000001</v>
      </c>
      <c r="BN121" s="548">
        <f t="shared" si="78"/>
        <v>3407.3560000000002</v>
      </c>
      <c r="BO121" s="548">
        <f t="shared" si="79"/>
        <v>4085.7930000000001</v>
      </c>
      <c r="BP121" s="650">
        <f t="shared" si="80"/>
        <v>596.38599999999997</v>
      </c>
      <c r="BW121" s="597" t="s">
        <v>392</v>
      </c>
      <c r="BX121" s="597">
        <v>730437</v>
      </c>
      <c r="BY121" s="597">
        <v>0</v>
      </c>
      <c r="BZ121" s="597">
        <v>730437</v>
      </c>
      <c r="CA121" s="597">
        <v>0</v>
      </c>
      <c r="CB121" s="597">
        <f t="shared" si="82"/>
        <v>730.43700000000001</v>
      </c>
      <c r="CC121" s="597">
        <f t="shared" si="83"/>
        <v>0</v>
      </c>
      <c r="CD121" s="597">
        <f t="shared" si="84"/>
        <v>730.43700000000001</v>
      </c>
      <c r="CE121" s="597">
        <f t="shared" si="85"/>
        <v>0</v>
      </c>
      <c r="CK121" s="371" t="s">
        <v>390</v>
      </c>
      <c r="CL121" s="372">
        <v>28560000</v>
      </c>
      <c r="CM121" s="372">
        <v>3950000</v>
      </c>
      <c r="CN121" s="372">
        <v>19815000</v>
      </c>
      <c r="CO121" s="372">
        <v>8745000</v>
      </c>
      <c r="CP121" s="597">
        <f t="shared" si="87"/>
        <v>28560</v>
      </c>
      <c r="CQ121" s="597">
        <f t="shared" si="88"/>
        <v>3950</v>
      </c>
      <c r="CR121" s="597">
        <f t="shared" si="89"/>
        <v>19815</v>
      </c>
      <c r="CS121" s="597">
        <f t="shared" si="90"/>
        <v>8745</v>
      </c>
      <c r="CU121" s="548"/>
      <c r="CZ121" s="1059" t="s">
        <v>389</v>
      </c>
      <c r="DA121" s="1060">
        <v>1115088515</v>
      </c>
      <c r="DB121" s="1060">
        <v>397693409</v>
      </c>
      <c r="DC121" s="1060">
        <v>699519910</v>
      </c>
      <c r="DD121" s="1060">
        <v>415568605</v>
      </c>
      <c r="DE121" s="1060">
        <f t="shared" si="92"/>
        <v>1115088.5149999999</v>
      </c>
      <c r="DF121" s="1060">
        <f t="shared" si="93"/>
        <v>397693.40899999999</v>
      </c>
      <c r="DG121" s="1060">
        <f t="shared" si="94"/>
        <v>699519.91</v>
      </c>
      <c r="DH121" s="1060">
        <f t="shared" si="95"/>
        <v>415568.60499999998</v>
      </c>
    </row>
    <row r="122" spans="1:112" x14ac:dyDescent="0.25">
      <c r="A122" s="504" t="s">
        <v>573</v>
      </c>
      <c r="B122" s="504">
        <v>8000</v>
      </c>
      <c r="C122" s="504">
        <v>0</v>
      </c>
      <c r="D122" s="504">
        <v>0</v>
      </c>
      <c r="E122" s="504">
        <v>8000</v>
      </c>
      <c r="F122" s="504">
        <f t="shared" si="96"/>
        <v>8</v>
      </c>
      <c r="G122" s="504">
        <f t="shared" si="97"/>
        <v>0</v>
      </c>
      <c r="H122" s="504">
        <f t="shared" si="98"/>
        <v>0</v>
      </c>
      <c r="I122" s="504">
        <f t="shared" si="99"/>
        <v>8</v>
      </c>
      <c r="P122" s="371" t="s">
        <v>571</v>
      </c>
      <c r="Q122" s="372">
        <v>10000</v>
      </c>
      <c r="R122" s="372">
        <v>0</v>
      </c>
      <c r="S122" s="372">
        <v>0</v>
      </c>
      <c r="T122" s="372">
        <v>10000</v>
      </c>
      <c r="U122" s="372">
        <f t="shared" si="100"/>
        <v>10</v>
      </c>
      <c r="V122" s="505">
        <f t="shared" si="101"/>
        <v>0</v>
      </c>
      <c r="W122" s="505">
        <f t="shared" si="102"/>
        <v>0</v>
      </c>
      <c r="X122" s="505">
        <f t="shared" si="103"/>
        <v>10</v>
      </c>
      <c r="AE122" s="373" t="s">
        <v>394</v>
      </c>
      <c r="AF122" s="504">
        <v>1399999</v>
      </c>
      <c r="AG122" s="504">
        <v>1399999</v>
      </c>
      <c r="AH122" s="504">
        <v>1399999</v>
      </c>
      <c r="AI122" s="504">
        <v>0</v>
      </c>
      <c r="AJ122" s="504">
        <f t="shared" si="105"/>
        <v>1399.999</v>
      </c>
      <c r="AK122" s="504">
        <f t="shared" si="106"/>
        <v>1399.999</v>
      </c>
      <c r="AL122" s="504">
        <f t="shared" si="107"/>
        <v>1399.999</v>
      </c>
      <c r="AM122" s="504">
        <f t="shared" si="108"/>
        <v>0</v>
      </c>
      <c r="AP122" s="371"/>
      <c r="AQ122" s="372"/>
      <c r="AR122" s="372"/>
      <c r="AT122" s="371" t="s">
        <v>393</v>
      </c>
      <c r="AU122" s="372">
        <v>3792039</v>
      </c>
      <c r="AV122" s="372">
        <v>3035759</v>
      </c>
      <c r="AW122" s="372">
        <v>3035759</v>
      </c>
      <c r="AX122" s="372">
        <v>756280</v>
      </c>
      <c r="AY122" s="504">
        <f t="shared" si="72"/>
        <v>3792.0390000000002</v>
      </c>
      <c r="AZ122" s="504">
        <f t="shared" si="73"/>
        <v>3035.759</v>
      </c>
      <c r="BA122" s="504">
        <f t="shared" si="74"/>
        <v>3035.759</v>
      </c>
      <c r="BB122" s="504">
        <f t="shared" si="75"/>
        <v>756.28</v>
      </c>
      <c r="BH122" s="782" t="s">
        <v>394</v>
      </c>
      <c r="BI122" s="644">
        <v>1399999</v>
      </c>
      <c r="BJ122" s="644">
        <v>1399999</v>
      </c>
      <c r="BK122" s="644">
        <v>1399999</v>
      </c>
      <c r="BL122" s="644">
        <v>0</v>
      </c>
      <c r="BM122" s="548">
        <f t="shared" si="77"/>
        <v>1399.999</v>
      </c>
      <c r="BN122" s="548">
        <f t="shared" si="78"/>
        <v>1399.999</v>
      </c>
      <c r="BO122" s="548">
        <f t="shared" si="79"/>
        <v>1399.999</v>
      </c>
      <c r="BP122" s="650">
        <f t="shared" si="80"/>
        <v>0</v>
      </c>
      <c r="BW122" s="597" t="s">
        <v>569</v>
      </c>
      <c r="BX122" s="597">
        <v>6102788</v>
      </c>
      <c r="BY122" s="597">
        <v>6102788</v>
      </c>
      <c r="BZ122" s="597">
        <v>0</v>
      </c>
      <c r="CA122" s="597">
        <v>5880668</v>
      </c>
      <c r="CB122" s="597">
        <f t="shared" si="82"/>
        <v>6102.7879999999996</v>
      </c>
      <c r="CC122" s="597">
        <f t="shared" si="83"/>
        <v>6102.7879999999996</v>
      </c>
      <c r="CD122" s="597">
        <f t="shared" si="84"/>
        <v>0</v>
      </c>
      <c r="CE122" s="597">
        <f t="shared" si="85"/>
        <v>5880.6679999999997</v>
      </c>
      <c r="CK122" s="371" t="s">
        <v>391</v>
      </c>
      <c r="CL122" s="372">
        <v>1102715521</v>
      </c>
      <c r="CM122" s="372">
        <v>367680058</v>
      </c>
      <c r="CN122" s="372">
        <v>667686059</v>
      </c>
      <c r="CO122" s="372">
        <v>435029462</v>
      </c>
      <c r="CP122" s="597">
        <f t="shared" si="87"/>
        <v>1102715.5209999999</v>
      </c>
      <c r="CQ122" s="597">
        <f t="shared" si="88"/>
        <v>367680.05800000002</v>
      </c>
      <c r="CR122" s="597">
        <f t="shared" si="89"/>
        <v>667686.05900000001</v>
      </c>
      <c r="CS122" s="597">
        <f t="shared" si="90"/>
        <v>435029.462</v>
      </c>
      <c r="CU122" s="548"/>
      <c r="CZ122" s="1059" t="s">
        <v>390</v>
      </c>
      <c r="DA122" s="1060">
        <v>48560000</v>
      </c>
      <c r="DB122" s="1060">
        <v>3950000</v>
      </c>
      <c r="DC122" s="1060">
        <v>33540000</v>
      </c>
      <c r="DD122" s="1060">
        <v>15020000</v>
      </c>
      <c r="DE122" s="1060">
        <f t="shared" si="92"/>
        <v>48560</v>
      </c>
      <c r="DF122" s="1060">
        <f t="shared" si="93"/>
        <v>3950</v>
      </c>
      <c r="DG122" s="1060">
        <f t="shared" si="94"/>
        <v>33540</v>
      </c>
      <c r="DH122" s="1060">
        <f t="shared" si="95"/>
        <v>15020</v>
      </c>
    </row>
    <row r="123" spans="1:112" x14ac:dyDescent="0.25">
      <c r="A123" s="504" t="s">
        <v>943</v>
      </c>
      <c r="B123" s="504">
        <v>1000</v>
      </c>
      <c r="C123" s="504">
        <v>0</v>
      </c>
      <c r="D123" s="504">
        <v>0</v>
      </c>
      <c r="E123" s="504">
        <v>1000</v>
      </c>
      <c r="F123" s="504">
        <f t="shared" si="96"/>
        <v>1</v>
      </c>
      <c r="G123" s="504">
        <f t="shared" si="97"/>
        <v>0</v>
      </c>
      <c r="H123" s="504">
        <f t="shared" si="98"/>
        <v>0</v>
      </c>
      <c r="I123" s="504">
        <f t="shared" si="99"/>
        <v>1</v>
      </c>
      <c r="P123" s="371" t="s">
        <v>572</v>
      </c>
      <c r="Q123" s="372">
        <v>10000</v>
      </c>
      <c r="R123" s="372">
        <v>0</v>
      </c>
      <c r="S123" s="372">
        <v>0</v>
      </c>
      <c r="T123" s="372">
        <v>10000</v>
      </c>
      <c r="U123" s="372">
        <f t="shared" si="100"/>
        <v>10</v>
      </c>
      <c r="V123" s="505">
        <f t="shared" si="101"/>
        <v>0</v>
      </c>
      <c r="W123" s="505">
        <f t="shared" si="102"/>
        <v>0</v>
      </c>
      <c r="X123" s="505">
        <f t="shared" si="103"/>
        <v>10</v>
      </c>
      <c r="AE123" s="373" t="s">
        <v>571</v>
      </c>
      <c r="AF123" s="504">
        <v>10000</v>
      </c>
      <c r="AG123" s="504">
        <v>0</v>
      </c>
      <c r="AH123" s="504">
        <v>0</v>
      </c>
      <c r="AI123" s="504">
        <v>10000</v>
      </c>
      <c r="AJ123" s="504">
        <f t="shared" si="105"/>
        <v>10</v>
      </c>
      <c r="AK123" s="504">
        <f t="shared" si="106"/>
        <v>0</v>
      </c>
      <c r="AL123" s="504">
        <f t="shared" si="107"/>
        <v>0</v>
      </c>
      <c r="AM123" s="504">
        <f t="shared" si="108"/>
        <v>10</v>
      </c>
      <c r="AP123" s="371"/>
      <c r="AQ123" s="372"/>
      <c r="AR123" s="372"/>
      <c r="AT123" s="371" t="s">
        <v>394</v>
      </c>
      <c r="AU123" s="372">
        <v>1399999</v>
      </c>
      <c r="AV123" s="372">
        <v>1399999</v>
      </c>
      <c r="AW123" s="372">
        <v>1399999</v>
      </c>
      <c r="AX123" s="372">
        <v>0</v>
      </c>
      <c r="AY123" s="504">
        <f t="shared" si="72"/>
        <v>1399.999</v>
      </c>
      <c r="AZ123" s="504">
        <f t="shared" si="73"/>
        <v>1399.999</v>
      </c>
      <c r="BA123" s="504">
        <f t="shared" si="74"/>
        <v>1399.999</v>
      </c>
      <c r="BB123" s="504">
        <f t="shared" si="75"/>
        <v>0</v>
      </c>
      <c r="BH123" s="782" t="s">
        <v>571</v>
      </c>
      <c r="BI123" s="644">
        <v>10000</v>
      </c>
      <c r="BJ123" s="644">
        <v>0</v>
      </c>
      <c r="BK123" s="644">
        <v>0</v>
      </c>
      <c r="BL123" s="644">
        <v>10000</v>
      </c>
      <c r="BM123" s="548">
        <f t="shared" si="77"/>
        <v>10</v>
      </c>
      <c r="BN123" s="548">
        <f t="shared" si="78"/>
        <v>0</v>
      </c>
      <c r="BO123" s="548">
        <f t="shared" si="79"/>
        <v>0</v>
      </c>
      <c r="BP123" s="650">
        <f t="shared" si="80"/>
        <v>10</v>
      </c>
      <c r="BW123" s="597" t="s">
        <v>393</v>
      </c>
      <c r="BX123" s="597">
        <v>4651738</v>
      </c>
      <c r="BY123" s="597">
        <v>4651738</v>
      </c>
      <c r="BZ123" s="597">
        <v>0</v>
      </c>
      <c r="CA123" s="597">
        <v>4429618</v>
      </c>
      <c r="CB123" s="597">
        <f t="shared" si="82"/>
        <v>4651.7380000000003</v>
      </c>
      <c r="CC123" s="597">
        <f t="shared" si="83"/>
        <v>4651.7380000000003</v>
      </c>
      <c r="CD123" s="597">
        <f t="shared" si="84"/>
        <v>0</v>
      </c>
      <c r="CE123" s="597">
        <f t="shared" si="85"/>
        <v>4429.6180000000004</v>
      </c>
      <c r="CK123" s="371" t="s">
        <v>392</v>
      </c>
      <c r="CL123" s="372">
        <v>19583</v>
      </c>
      <c r="CM123" s="372">
        <v>0</v>
      </c>
      <c r="CN123" s="372">
        <v>0</v>
      </c>
      <c r="CO123" s="372">
        <v>19583</v>
      </c>
      <c r="CP123" s="597">
        <f t="shared" si="87"/>
        <v>19.582999999999998</v>
      </c>
      <c r="CQ123" s="597">
        <f t="shared" si="88"/>
        <v>0</v>
      </c>
      <c r="CR123" s="597">
        <f t="shared" si="89"/>
        <v>0</v>
      </c>
      <c r="CS123" s="597">
        <f t="shared" si="90"/>
        <v>19.582999999999998</v>
      </c>
      <c r="CU123" s="548"/>
      <c r="CZ123" s="1059" t="s">
        <v>391</v>
      </c>
      <c r="DA123" s="1060">
        <v>1026654772</v>
      </c>
      <c r="DB123" s="1060">
        <v>498440311</v>
      </c>
      <c r="DC123" s="1060">
        <v>678385985</v>
      </c>
      <c r="DD123" s="1060">
        <v>348268787</v>
      </c>
      <c r="DE123" s="1060">
        <f t="shared" si="92"/>
        <v>1026654.772</v>
      </c>
      <c r="DF123" s="1060">
        <f t="shared" si="93"/>
        <v>498440.31099999999</v>
      </c>
      <c r="DG123" s="1060">
        <f t="shared" si="94"/>
        <v>678385.98499999999</v>
      </c>
      <c r="DH123" s="1060">
        <f t="shared" si="95"/>
        <v>348268.78700000001</v>
      </c>
    </row>
    <row r="124" spans="1:112" x14ac:dyDescent="0.25">
      <c r="A124" s="504" t="s">
        <v>395</v>
      </c>
      <c r="B124" s="504">
        <v>82773000</v>
      </c>
      <c r="C124" s="504">
        <v>7213296</v>
      </c>
      <c r="D124" s="504">
        <v>81409552</v>
      </c>
      <c r="E124" s="504">
        <v>1363448</v>
      </c>
      <c r="F124" s="504">
        <f t="shared" si="96"/>
        <v>82773</v>
      </c>
      <c r="G124" s="504">
        <f t="shared" si="97"/>
        <v>7213.2960000000003</v>
      </c>
      <c r="H124" s="504">
        <f t="shared" si="98"/>
        <v>81409.551999999996</v>
      </c>
      <c r="I124" s="504">
        <f t="shared" si="99"/>
        <v>1363.4480000000001</v>
      </c>
      <c r="P124" s="371" t="s">
        <v>1002</v>
      </c>
      <c r="Q124" s="372">
        <v>1000</v>
      </c>
      <c r="R124" s="372">
        <v>0</v>
      </c>
      <c r="S124" s="372">
        <v>0</v>
      </c>
      <c r="T124" s="372">
        <v>1000</v>
      </c>
      <c r="U124" s="372">
        <f t="shared" si="100"/>
        <v>1</v>
      </c>
      <c r="V124" s="505">
        <f t="shared" si="101"/>
        <v>0</v>
      </c>
      <c r="W124" s="505">
        <f t="shared" si="102"/>
        <v>0</v>
      </c>
      <c r="X124" s="505">
        <f t="shared" si="103"/>
        <v>1</v>
      </c>
      <c r="AE124" s="373" t="s">
        <v>572</v>
      </c>
      <c r="AF124" s="504">
        <v>10000</v>
      </c>
      <c r="AG124" s="504">
        <v>0</v>
      </c>
      <c r="AH124" s="504">
        <v>0</v>
      </c>
      <c r="AI124" s="504">
        <v>10000</v>
      </c>
      <c r="AJ124" s="504">
        <f t="shared" si="105"/>
        <v>10</v>
      </c>
      <c r="AK124" s="504">
        <f t="shared" si="106"/>
        <v>0</v>
      </c>
      <c r="AL124" s="504">
        <f t="shared" si="107"/>
        <v>0</v>
      </c>
      <c r="AM124" s="504">
        <f t="shared" si="108"/>
        <v>10</v>
      </c>
      <c r="AT124" s="371" t="s">
        <v>571</v>
      </c>
      <c r="AU124" s="372">
        <v>10000</v>
      </c>
      <c r="AV124" s="372">
        <v>0</v>
      </c>
      <c r="AW124" s="372">
        <v>0</v>
      </c>
      <c r="AX124" s="372">
        <v>10000</v>
      </c>
      <c r="AY124" s="504">
        <f t="shared" si="72"/>
        <v>10</v>
      </c>
      <c r="AZ124" s="504">
        <f t="shared" si="73"/>
        <v>0</v>
      </c>
      <c r="BA124" s="504">
        <f t="shared" si="74"/>
        <v>0</v>
      </c>
      <c r="BB124" s="504">
        <f t="shared" si="75"/>
        <v>10</v>
      </c>
      <c r="BH124" s="782" t="s">
        <v>572</v>
      </c>
      <c r="BI124" s="644">
        <v>10000</v>
      </c>
      <c r="BJ124" s="644">
        <v>0</v>
      </c>
      <c r="BK124" s="644">
        <v>0</v>
      </c>
      <c r="BL124" s="644">
        <v>10000</v>
      </c>
      <c r="BM124" s="548">
        <f t="shared" si="77"/>
        <v>10</v>
      </c>
      <c r="BN124" s="548">
        <f t="shared" si="78"/>
        <v>0</v>
      </c>
      <c r="BO124" s="548">
        <f t="shared" si="79"/>
        <v>0</v>
      </c>
      <c r="BP124" s="650">
        <f t="shared" si="80"/>
        <v>10</v>
      </c>
      <c r="BW124" s="597" t="s">
        <v>394</v>
      </c>
      <c r="BX124" s="597">
        <v>1451050</v>
      </c>
      <c r="BY124" s="597">
        <v>1451050</v>
      </c>
      <c r="BZ124" s="597">
        <v>0</v>
      </c>
      <c r="CA124" s="597">
        <v>1451050</v>
      </c>
      <c r="CB124" s="597">
        <f t="shared" si="82"/>
        <v>1451.05</v>
      </c>
      <c r="CC124" s="597">
        <f t="shared" si="83"/>
        <v>1451.05</v>
      </c>
      <c r="CD124" s="597">
        <f t="shared" si="84"/>
        <v>0</v>
      </c>
      <c r="CE124" s="597">
        <f t="shared" si="85"/>
        <v>1451.05</v>
      </c>
      <c r="CK124" s="371" t="s">
        <v>569</v>
      </c>
      <c r="CL124" s="372">
        <v>7663928</v>
      </c>
      <c r="CM124" s="372">
        <v>7576828</v>
      </c>
      <c r="CN124" s="372">
        <v>7663928</v>
      </c>
      <c r="CO124" s="372">
        <v>0</v>
      </c>
      <c r="CP124" s="597">
        <f t="shared" si="87"/>
        <v>7663.9279999999999</v>
      </c>
      <c r="CQ124" s="597">
        <f t="shared" si="88"/>
        <v>7576.8280000000004</v>
      </c>
      <c r="CR124" s="597">
        <f t="shared" si="89"/>
        <v>7663.9279999999999</v>
      </c>
      <c r="CS124" s="597">
        <f t="shared" si="90"/>
        <v>0</v>
      </c>
      <c r="CU124" s="548"/>
      <c r="CZ124" s="1059" t="s">
        <v>392</v>
      </c>
      <c r="DA124" s="1060">
        <v>19583</v>
      </c>
      <c r="DB124" s="1060">
        <v>0</v>
      </c>
      <c r="DC124" s="1060">
        <v>0</v>
      </c>
      <c r="DD124" s="1060">
        <v>19583</v>
      </c>
      <c r="DE124" s="1060">
        <f t="shared" si="92"/>
        <v>19.582999999999998</v>
      </c>
      <c r="DF124" s="1060">
        <f t="shared" si="93"/>
        <v>0</v>
      </c>
      <c r="DG124" s="1060">
        <f t="shared" si="94"/>
        <v>0</v>
      </c>
      <c r="DH124" s="1060">
        <f t="shared" si="95"/>
        <v>19.582999999999998</v>
      </c>
    </row>
    <row r="125" spans="1:112" x14ac:dyDescent="0.25">
      <c r="A125" s="504" t="s">
        <v>396</v>
      </c>
      <c r="B125" s="504">
        <v>10000</v>
      </c>
      <c r="C125" s="504">
        <v>0</v>
      </c>
      <c r="D125" s="504">
        <v>0</v>
      </c>
      <c r="E125" s="504">
        <v>10000</v>
      </c>
      <c r="F125" s="504">
        <f t="shared" si="96"/>
        <v>10</v>
      </c>
      <c r="G125" s="504">
        <f t="shared" si="97"/>
        <v>0</v>
      </c>
      <c r="H125" s="504">
        <f t="shared" si="98"/>
        <v>0</v>
      </c>
      <c r="I125" s="504">
        <f t="shared" si="99"/>
        <v>10</v>
      </c>
      <c r="P125" s="371" t="s">
        <v>573</v>
      </c>
      <c r="Q125" s="372">
        <v>8000</v>
      </c>
      <c r="R125" s="372">
        <v>0</v>
      </c>
      <c r="S125" s="372">
        <v>0</v>
      </c>
      <c r="T125" s="372">
        <v>8000</v>
      </c>
      <c r="U125" s="372">
        <f t="shared" si="100"/>
        <v>8</v>
      </c>
      <c r="V125" s="505">
        <f t="shared" si="101"/>
        <v>0</v>
      </c>
      <c r="W125" s="505">
        <f t="shared" si="102"/>
        <v>0</v>
      </c>
      <c r="X125" s="505">
        <f t="shared" si="103"/>
        <v>8</v>
      </c>
      <c r="AE125" s="373" t="s">
        <v>1002</v>
      </c>
      <c r="AF125" s="504">
        <v>1000</v>
      </c>
      <c r="AG125" s="504">
        <v>0</v>
      </c>
      <c r="AH125" s="504">
        <v>0</v>
      </c>
      <c r="AI125" s="504">
        <v>1000</v>
      </c>
      <c r="AJ125" s="504">
        <f t="shared" si="105"/>
        <v>1</v>
      </c>
      <c r="AK125" s="504">
        <f t="shared" si="106"/>
        <v>0</v>
      </c>
      <c r="AL125" s="504">
        <f t="shared" si="107"/>
        <v>0</v>
      </c>
      <c r="AM125" s="504">
        <f t="shared" si="108"/>
        <v>1</v>
      </c>
      <c r="AT125" s="371" t="s">
        <v>572</v>
      </c>
      <c r="AU125" s="372">
        <v>10000</v>
      </c>
      <c r="AV125" s="372">
        <v>0</v>
      </c>
      <c r="AW125" s="372">
        <v>0</v>
      </c>
      <c r="AX125" s="372">
        <v>10000</v>
      </c>
      <c r="AY125" s="504">
        <f t="shared" si="72"/>
        <v>10</v>
      </c>
      <c r="AZ125" s="504">
        <f t="shared" si="73"/>
        <v>0</v>
      </c>
      <c r="BA125" s="504">
        <f t="shared" si="74"/>
        <v>0</v>
      </c>
      <c r="BB125" s="504">
        <f t="shared" si="75"/>
        <v>10</v>
      </c>
      <c r="BH125" s="782" t="s">
        <v>1002</v>
      </c>
      <c r="BI125" s="644">
        <v>1000</v>
      </c>
      <c r="BJ125" s="644">
        <v>0</v>
      </c>
      <c r="BK125" s="644">
        <v>0</v>
      </c>
      <c r="BL125" s="644">
        <v>1000</v>
      </c>
      <c r="BM125" s="548">
        <f t="shared" si="77"/>
        <v>1</v>
      </c>
      <c r="BN125" s="548">
        <f t="shared" si="78"/>
        <v>0</v>
      </c>
      <c r="BO125" s="548">
        <f t="shared" si="79"/>
        <v>0</v>
      </c>
      <c r="BP125" s="650">
        <f t="shared" si="80"/>
        <v>1</v>
      </c>
      <c r="BW125" s="597" t="s">
        <v>571</v>
      </c>
      <c r="BX125" s="597">
        <v>122476000</v>
      </c>
      <c r="BY125" s="597">
        <v>0</v>
      </c>
      <c r="BZ125" s="597">
        <v>122476000</v>
      </c>
      <c r="CA125" s="597">
        <v>0</v>
      </c>
      <c r="CB125" s="597">
        <f t="shared" si="82"/>
        <v>122476</v>
      </c>
      <c r="CC125" s="597">
        <f t="shared" si="83"/>
        <v>0</v>
      </c>
      <c r="CD125" s="597">
        <f t="shared" si="84"/>
        <v>122476</v>
      </c>
      <c r="CE125" s="597">
        <f t="shared" si="85"/>
        <v>0</v>
      </c>
      <c r="CK125" s="371" t="s">
        <v>393</v>
      </c>
      <c r="CL125" s="372">
        <v>6212878</v>
      </c>
      <c r="CM125" s="372">
        <v>6125778</v>
      </c>
      <c r="CN125" s="372">
        <v>6212878</v>
      </c>
      <c r="CO125" s="372">
        <v>0</v>
      </c>
      <c r="CP125" s="597">
        <f t="shared" si="87"/>
        <v>6212.8779999999997</v>
      </c>
      <c r="CQ125" s="597">
        <f t="shared" si="88"/>
        <v>6125.7780000000002</v>
      </c>
      <c r="CR125" s="597">
        <f t="shared" si="89"/>
        <v>6212.8779999999997</v>
      </c>
      <c r="CS125" s="597">
        <f t="shared" si="90"/>
        <v>0</v>
      </c>
      <c r="CU125" s="548"/>
      <c r="CZ125" s="1059" t="s">
        <v>569</v>
      </c>
      <c r="DA125" s="1060">
        <v>8303868</v>
      </c>
      <c r="DB125" s="1060">
        <v>7841328</v>
      </c>
      <c r="DC125" s="1060">
        <v>8303868</v>
      </c>
      <c r="DD125" s="1060">
        <v>0</v>
      </c>
      <c r="DE125" s="1060">
        <f t="shared" si="92"/>
        <v>8303.8680000000004</v>
      </c>
      <c r="DF125" s="1060">
        <f t="shared" si="93"/>
        <v>7841.3280000000004</v>
      </c>
      <c r="DG125" s="1060">
        <f t="shared" si="94"/>
        <v>8303.8680000000004</v>
      </c>
      <c r="DH125" s="1060">
        <f t="shared" si="95"/>
        <v>0</v>
      </c>
    </row>
    <row r="126" spans="1:112" x14ac:dyDescent="0.25">
      <c r="A126" s="504" t="s">
        <v>574</v>
      </c>
      <c r="B126" s="504">
        <v>10000</v>
      </c>
      <c r="C126" s="504">
        <v>0</v>
      </c>
      <c r="D126" s="504">
        <v>0</v>
      </c>
      <c r="E126" s="504">
        <v>10000</v>
      </c>
      <c r="F126" s="504">
        <f t="shared" si="96"/>
        <v>10</v>
      </c>
      <c r="G126" s="504">
        <f t="shared" si="97"/>
        <v>0</v>
      </c>
      <c r="H126" s="504">
        <f t="shared" si="98"/>
        <v>0</v>
      </c>
      <c r="I126" s="504">
        <f t="shared" si="99"/>
        <v>10</v>
      </c>
      <c r="P126" s="371" t="s">
        <v>943</v>
      </c>
      <c r="Q126" s="372">
        <v>1000</v>
      </c>
      <c r="R126" s="372">
        <v>0</v>
      </c>
      <c r="S126" s="372">
        <v>0</v>
      </c>
      <c r="T126" s="372">
        <v>1000</v>
      </c>
      <c r="U126" s="372">
        <f t="shared" si="100"/>
        <v>1</v>
      </c>
      <c r="V126" s="505">
        <f t="shared" si="101"/>
        <v>0</v>
      </c>
      <c r="W126" s="505">
        <f t="shared" si="102"/>
        <v>0</v>
      </c>
      <c r="X126" s="505">
        <f t="shared" si="103"/>
        <v>1</v>
      </c>
      <c r="AE126" s="373" t="s">
        <v>573</v>
      </c>
      <c r="AF126" s="504">
        <v>8000</v>
      </c>
      <c r="AG126" s="504">
        <v>0</v>
      </c>
      <c r="AH126" s="504">
        <v>0</v>
      </c>
      <c r="AI126" s="504">
        <v>8000</v>
      </c>
      <c r="AJ126" s="504">
        <f t="shared" si="105"/>
        <v>8</v>
      </c>
      <c r="AK126" s="504">
        <f t="shared" si="106"/>
        <v>0</v>
      </c>
      <c r="AL126" s="504">
        <f t="shared" si="107"/>
        <v>0</v>
      </c>
      <c r="AM126" s="504">
        <f t="shared" si="108"/>
        <v>8</v>
      </c>
      <c r="AT126" s="371" t="s">
        <v>1002</v>
      </c>
      <c r="AU126" s="372">
        <v>1000</v>
      </c>
      <c r="AV126" s="372">
        <v>0</v>
      </c>
      <c r="AW126" s="372">
        <v>0</v>
      </c>
      <c r="AX126" s="372">
        <v>1000</v>
      </c>
      <c r="AY126" s="504">
        <f t="shared" si="72"/>
        <v>1</v>
      </c>
      <c r="AZ126" s="504">
        <f t="shared" si="73"/>
        <v>0</v>
      </c>
      <c r="BA126" s="504">
        <f t="shared" si="74"/>
        <v>0</v>
      </c>
      <c r="BB126" s="504">
        <f t="shared" si="75"/>
        <v>1</v>
      </c>
      <c r="BH126" s="782" t="s">
        <v>573</v>
      </c>
      <c r="BI126" s="644">
        <v>8000</v>
      </c>
      <c r="BJ126" s="644">
        <v>0</v>
      </c>
      <c r="BK126" s="644">
        <v>0</v>
      </c>
      <c r="BL126" s="644">
        <v>8000</v>
      </c>
      <c r="BM126" s="548">
        <f t="shared" si="77"/>
        <v>8</v>
      </c>
      <c r="BN126" s="548">
        <f t="shared" si="78"/>
        <v>0</v>
      </c>
      <c r="BO126" s="548">
        <f t="shared" si="79"/>
        <v>0</v>
      </c>
      <c r="BP126" s="650">
        <f t="shared" si="80"/>
        <v>8</v>
      </c>
      <c r="BW126" s="597" t="s">
        <v>1111</v>
      </c>
      <c r="BX126" s="597">
        <v>615000</v>
      </c>
      <c r="BY126" s="597">
        <v>0</v>
      </c>
      <c r="BZ126" s="597">
        <v>615000</v>
      </c>
      <c r="CA126" s="597">
        <v>0</v>
      </c>
      <c r="CB126" s="597">
        <f t="shared" si="82"/>
        <v>615</v>
      </c>
      <c r="CC126" s="597">
        <f t="shared" si="83"/>
        <v>0</v>
      </c>
      <c r="CD126" s="597">
        <f t="shared" si="84"/>
        <v>615</v>
      </c>
      <c r="CE126" s="597">
        <f t="shared" si="85"/>
        <v>0</v>
      </c>
      <c r="CK126" s="371" t="s">
        <v>394</v>
      </c>
      <c r="CL126" s="372">
        <v>1451050</v>
      </c>
      <c r="CM126" s="372">
        <v>1451050</v>
      </c>
      <c r="CN126" s="372">
        <v>1451050</v>
      </c>
      <c r="CO126" s="372">
        <v>0</v>
      </c>
      <c r="CP126" s="597">
        <f t="shared" si="87"/>
        <v>1451.05</v>
      </c>
      <c r="CQ126" s="597">
        <f t="shared" si="88"/>
        <v>1451.05</v>
      </c>
      <c r="CR126" s="597">
        <f t="shared" si="89"/>
        <v>1451.05</v>
      </c>
      <c r="CS126" s="597">
        <f t="shared" si="90"/>
        <v>0</v>
      </c>
      <c r="CU126" s="548"/>
      <c r="CZ126" s="1059" t="s">
        <v>393</v>
      </c>
      <c r="DA126" s="1060">
        <v>6852818</v>
      </c>
      <c r="DB126" s="1060">
        <v>6390278</v>
      </c>
      <c r="DC126" s="1060">
        <v>6852818</v>
      </c>
      <c r="DD126" s="1060">
        <v>0</v>
      </c>
      <c r="DE126" s="1060">
        <f t="shared" si="92"/>
        <v>6852.8180000000002</v>
      </c>
      <c r="DF126" s="1060">
        <f t="shared" si="93"/>
        <v>6390.2780000000002</v>
      </c>
      <c r="DG126" s="1060">
        <f t="shared" si="94"/>
        <v>6852.8180000000002</v>
      </c>
      <c r="DH126" s="1060">
        <f t="shared" si="95"/>
        <v>0</v>
      </c>
    </row>
    <row r="127" spans="1:112" x14ac:dyDescent="0.25">
      <c r="A127" s="504" t="s">
        <v>1003</v>
      </c>
      <c r="B127" s="504">
        <v>82763000</v>
      </c>
      <c r="C127" s="504">
        <v>7213296</v>
      </c>
      <c r="D127" s="504">
        <v>81409552</v>
      </c>
      <c r="E127" s="504">
        <v>1353448</v>
      </c>
      <c r="F127" s="504">
        <f t="shared" si="96"/>
        <v>82763</v>
      </c>
      <c r="G127" s="504">
        <f t="shared" si="97"/>
        <v>7213.2960000000003</v>
      </c>
      <c r="H127" s="504">
        <f t="shared" si="98"/>
        <v>81409.551999999996</v>
      </c>
      <c r="I127" s="504">
        <f t="shared" si="99"/>
        <v>1353.4480000000001</v>
      </c>
      <c r="P127" s="371" t="s">
        <v>395</v>
      </c>
      <c r="Q127" s="372">
        <v>82773000</v>
      </c>
      <c r="R127" s="372">
        <v>14426592</v>
      </c>
      <c r="S127" s="372">
        <v>81409552</v>
      </c>
      <c r="T127" s="372">
        <v>1363448</v>
      </c>
      <c r="U127" s="372">
        <f t="shared" si="100"/>
        <v>82773</v>
      </c>
      <c r="V127" s="505">
        <f t="shared" si="101"/>
        <v>14426.592000000001</v>
      </c>
      <c r="W127" s="505">
        <f t="shared" si="102"/>
        <v>81409.551999999996</v>
      </c>
      <c r="X127" s="505">
        <f t="shared" si="103"/>
        <v>1363.4480000000001</v>
      </c>
      <c r="AE127" s="373" t="s">
        <v>943</v>
      </c>
      <c r="AF127" s="504">
        <v>1000</v>
      </c>
      <c r="AG127" s="504">
        <v>0</v>
      </c>
      <c r="AH127" s="504">
        <v>0</v>
      </c>
      <c r="AI127" s="504">
        <v>1000</v>
      </c>
      <c r="AJ127" s="504">
        <f t="shared" si="105"/>
        <v>1</v>
      </c>
      <c r="AK127" s="504">
        <f t="shared" si="106"/>
        <v>0</v>
      </c>
      <c r="AL127" s="504">
        <f t="shared" si="107"/>
        <v>0</v>
      </c>
      <c r="AM127" s="504">
        <f t="shared" si="108"/>
        <v>1</v>
      </c>
      <c r="AT127" s="371" t="s">
        <v>573</v>
      </c>
      <c r="AU127" s="372">
        <v>8000</v>
      </c>
      <c r="AV127" s="372">
        <v>0</v>
      </c>
      <c r="AW127" s="372">
        <v>0</v>
      </c>
      <c r="AX127" s="372">
        <v>8000</v>
      </c>
      <c r="AY127" s="504">
        <f t="shared" si="72"/>
        <v>8</v>
      </c>
      <c r="AZ127" s="504">
        <f t="shared" si="73"/>
        <v>0</v>
      </c>
      <c r="BA127" s="504">
        <f t="shared" si="74"/>
        <v>0</v>
      </c>
      <c r="BB127" s="504">
        <f t="shared" si="75"/>
        <v>8</v>
      </c>
      <c r="BH127" s="782" t="s">
        <v>943</v>
      </c>
      <c r="BI127" s="644">
        <v>1000</v>
      </c>
      <c r="BJ127" s="644">
        <v>0</v>
      </c>
      <c r="BK127" s="644">
        <v>0</v>
      </c>
      <c r="BL127" s="644">
        <v>1000</v>
      </c>
      <c r="BM127" s="548">
        <f t="shared" si="77"/>
        <v>1</v>
      </c>
      <c r="BN127" s="548">
        <f t="shared" si="78"/>
        <v>0</v>
      </c>
      <c r="BO127" s="548">
        <f t="shared" si="79"/>
        <v>0</v>
      </c>
      <c r="BP127" s="650">
        <f t="shared" si="80"/>
        <v>1</v>
      </c>
      <c r="BW127" s="597" t="s">
        <v>1112</v>
      </c>
      <c r="BX127" s="597">
        <v>615000</v>
      </c>
      <c r="BY127" s="597">
        <v>0</v>
      </c>
      <c r="BZ127" s="597">
        <v>615000</v>
      </c>
      <c r="CA127" s="597">
        <v>0</v>
      </c>
      <c r="CB127" s="597">
        <f t="shared" si="82"/>
        <v>615</v>
      </c>
      <c r="CC127" s="597">
        <f t="shared" si="83"/>
        <v>0</v>
      </c>
      <c r="CD127" s="597">
        <f t="shared" si="84"/>
        <v>615</v>
      </c>
      <c r="CE127" s="597">
        <f t="shared" si="85"/>
        <v>0</v>
      </c>
      <c r="CK127" s="371" t="s">
        <v>571</v>
      </c>
      <c r="CL127" s="372">
        <v>122476000</v>
      </c>
      <c r="CM127" s="372">
        <v>46967650</v>
      </c>
      <c r="CN127" s="372">
        <v>68014050</v>
      </c>
      <c r="CO127" s="372">
        <v>54461950</v>
      </c>
      <c r="CP127" s="597">
        <f t="shared" si="87"/>
        <v>122476</v>
      </c>
      <c r="CQ127" s="597">
        <f t="shared" si="88"/>
        <v>46967.65</v>
      </c>
      <c r="CR127" s="597">
        <f t="shared" si="89"/>
        <v>68014.05</v>
      </c>
      <c r="CS127" s="597">
        <f t="shared" si="90"/>
        <v>54461.95</v>
      </c>
      <c r="CU127" s="548"/>
      <c r="CZ127" s="1059" t="s">
        <v>394</v>
      </c>
      <c r="DA127" s="1060">
        <v>1451050</v>
      </c>
      <c r="DB127" s="1060">
        <v>1451050</v>
      </c>
      <c r="DC127" s="1060">
        <v>1451050</v>
      </c>
      <c r="DD127" s="1060">
        <v>0</v>
      </c>
      <c r="DE127" s="1060">
        <f t="shared" si="92"/>
        <v>1451.05</v>
      </c>
      <c r="DF127" s="1060">
        <f t="shared" si="93"/>
        <v>1451.05</v>
      </c>
      <c r="DG127" s="1060">
        <f t="shared" si="94"/>
        <v>1451.05</v>
      </c>
      <c r="DH127" s="1060">
        <f t="shared" si="95"/>
        <v>0</v>
      </c>
    </row>
    <row r="128" spans="1:112" x14ac:dyDescent="0.25">
      <c r="A128" s="504" t="s">
        <v>1004</v>
      </c>
      <c r="B128" s="504">
        <v>82763000</v>
      </c>
      <c r="C128" s="504">
        <v>7213296</v>
      </c>
      <c r="D128" s="504">
        <v>81409552</v>
      </c>
      <c r="E128" s="504">
        <v>1353448</v>
      </c>
      <c r="F128" s="504">
        <f t="shared" si="96"/>
        <v>82763</v>
      </c>
      <c r="G128" s="504">
        <f t="shared" si="97"/>
        <v>7213.2960000000003</v>
      </c>
      <c r="H128" s="504">
        <f t="shared" si="98"/>
        <v>81409.551999999996</v>
      </c>
      <c r="I128" s="504">
        <f t="shared" si="99"/>
        <v>1353.4480000000001</v>
      </c>
      <c r="P128" s="371" t="s">
        <v>396</v>
      </c>
      <c r="Q128" s="372">
        <v>10000</v>
      </c>
      <c r="R128" s="372">
        <v>0</v>
      </c>
      <c r="S128" s="372">
        <v>0</v>
      </c>
      <c r="T128" s="372">
        <v>10000</v>
      </c>
      <c r="U128" s="372">
        <f t="shared" si="100"/>
        <v>10</v>
      </c>
      <c r="V128" s="505">
        <f t="shared" si="101"/>
        <v>0</v>
      </c>
      <c r="W128" s="505">
        <f t="shared" si="102"/>
        <v>0</v>
      </c>
      <c r="X128" s="505">
        <f t="shared" si="103"/>
        <v>10</v>
      </c>
      <c r="AE128" s="373" t="s">
        <v>395</v>
      </c>
      <c r="AF128" s="504">
        <v>1184773000</v>
      </c>
      <c r="AG128" s="504">
        <v>21639888</v>
      </c>
      <c r="AH128" s="504">
        <v>81409552</v>
      </c>
      <c r="AI128" s="504">
        <v>1103363448</v>
      </c>
      <c r="AJ128" s="504">
        <f t="shared" si="105"/>
        <v>1184773</v>
      </c>
      <c r="AK128" s="504">
        <f t="shared" si="106"/>
        <v>21639.887999999999</v>
      </c>
      <c r="AL128" s="504">
        <f t="shared" si="107"/>
        <v>81409.551999999996</v>
      </c>
      <c r="AM128" s="504">
        <f t="shared" si="108"/>
        <v>1103363.4480000001</v>
      </c>
      <c r="AT128" s="371" t="s">
        <v>943</v>
      </c>
      <c r="AU128" s="372">
        <v>1000</v>
      </c>
      <c r="AV128" s="372">
        <v>0</v>
      </c>
      <c r="AW128" s="372">
        <v>0</v>
      </c>
      <c r="AX128" s="372">
        <v>1000</v>
      </c>
      <c r="AY128" s="504">
        <f t="shared" si="72"/>
        <v>1</v>
      </c>
      <c r="AZ128" s="504">
        <f t="shared" si="73"/>
        <v>0</v>
      </c>
      <c r="BA128" s="504">
        <f t="shared" si="74"/>
        <v>0</v>
      </c>
      <c r="BB128" s="504">
        <f t="shared" si="75"/>
        <v>1</v>
      </c>
      <c r="BH128" s="782" t="s">
        <v>395</v>
      </c>
      <c r="BI128" s="644">
        <v>1184773000</v>
      </c>
      <c r="BJ128" s="644">
        <v>36211928</v>
      </c>
      <c r="BK128" s="644">
        <v>351555000</v>
      </c>
      <c r="BL128" s="644">
        <v>833218000</v>
      </c>
      <c r="BM128" s="548">
        <f t="shared" si="77"/>
        <v>1184773</v>
      </c>
      <c r="BN128" s="548">
        <f t="shared" si="78"/>
        <v>36211.928</v>
      </c>
      <c r="BO128" s="548">
        <f t="shared" si="79"/>
        <v>351555</v>
      </c>
      <c r="BP128" s="650">
        <f t="shared" si="80"/>
        <v>833218</v>
      </c>
      <c r="BW128" s="597" t="s">
        <v>572</v>
      </c>
      <c r="BX128" s="597">
        <v>121861000</v>
      </c>
      <c r="BY128" s="597">
        <v>0</v>
      </c>
      <c r="BZ128" s="597">
        <v>121861000</v>
      </c>
      <c r="CA128" s="597">
        <v>0</v>
      </c>
      <c r="CB128" s="597">
        <f t="shared" si="82"/>
        <v>121861</v>
      </c>
      <c r="CC128" s="597">
        <f t="shared" si="83"/>
        <v>0</v>
      </c>
      <c r="CD128" s="597">
        <f t="shared" si="84"/>
        <v>121861</v>
      </c>
      <c r="CE128" s="597">
        <f t="shared" si="85"/>
        <v>0</v>
      </c>
      <c r="CK128" s="371" t="s">
        <v>1111</v>
      </c>
      <c r="CL128" s="372">
        <v>615000</v>
      </c>
      <c r="CM128" s="372">
        <v>0</v>
      </c>
      <c r="CN128" s="372">
        <v>0</v>
      </c>
      <c r="CO128" s="372">
        <v>615000</v>
      </c>
      <c r="CP128" s="597">
        <f t="shared" si="87"/>
        <v>615</v>
      </c>
      <c r="CQ128" s="597">
        <f t="shared" si="88"/>
        <v>0</v>
      </c>
      <c r="CR128" s="597">
        <f t="shared" si="89"/>
        <v>0</v>
      </c>
      <c r="CS128" s="597">
        <f t="shared" si="90"/>
        <v>615</v>
      </c>
      <c r="CU128" s="548"/>
      <c r="CZ128" s="1059" t="s">
        <v>571</v>
      </c>
      <c r="DA128" s="1060">
        <v>122476000</v>
      </c>
      <c r="DB128" s="1060">
        <v>101427939</v>
      </c>
      <c r="DC128" s="1060">
        <v>122474339</v>
      </c>
      <c r="DD128" s="1060">
        <v>1661</v>
      </c>
      <c r="DE128" s="1060">
        <f t="shared" si="92"/>
        <v>122476</v>
      </c>
      <c r="DF128" s="1060">
        <f t="shared" si="93"/>
        <v>101427.939</v>
      </c>
      <c r="DG128" s="1060">
        <f t="shared" si="94"/>
        <v>122474.33900000001</v>
      </c>
      <c r="DH128" s="1060">
        <f t="shared" si="95"/>
        <v>1.661</v>
      </c>
    </row>
    <row r="129" spans="1:112" x14ac:dyDescent="0.25">
      <c r="A129" s="504" t="s">
        <v>594</v>
      </c>
      <c r="B129" s="504">
        <v>178378000</v>
      </c>
      <c r="C129" s="504">
        <v>0</v>
      </c>
      <c r="D129" s="504">
        <v>1</v>
      </c>
      <c r="E129" s="504">
        <v>178377999</v>
      </c>
      <c r="F129" s="504">
        <f t="shared" si="96"/>
        <v>178378</v>
      </c>
      <c r="G129" s="504">
        <f t="shared" si="97"/>
        <v>0</v>
      </c>
      <c r="H129" s="504">
        <f t="shared" si="98"/>
        <v>1E-3</v>
      </c>
      <c r="I129" s="504">
        <f t="shared" si="99"/>
        <v>178377.99900000001</v>
      </c>
      <c r="P129" s="371" t="s">
        <v>574</v>
      </c>
      <c r="Q129" s="372">
        <v>10000</v>
      </c>
      <c r="R129" s="372">
        <v>0</v>
      </c>
      <c r="S129" s="372">
        <v>0</v>
      </c>
      <c r="T129" s="372">
        <v>10000</v>
      </c>
      <c r="U129" s="372">
        <f t="shared" si="100"/>
        <v>10</v>
      </c>
      <c r="V129" s="505">
        <f t="shared" si="101"/>
        <v>0</v>
      </c>
      <c r="W129" s="505">
        <f t="shared" si="102"/>
        <v>0</v>
      </c>
      <c r="X129" s="505">
        <f t="shared" si="103"/>
        <v>10</v>
      </c>
      <c r="AE129" s="373" t="s">
        <v>396</v>
      </c>
      <c r="AF129" s="504">
        <v>400010000</v>
      </c>
      <c r="AG129" s="504">
        <v>0</v>
      </c>
      <c r="AH129" s="504">
        <v>0</v>
      </c>
      <c r="AI129" s="504">
        <v>400010000</v>
      </c>
      <c r="AJ129" s="504">
        <f t="shared" si="105"/>
        <v>400010</v>
      </c>
      <c r="AK129" s="504">
        <f t="shared" si="106"/>
        <v>0</v>
      </c>
      <c r="AL129" s="504">
        <f t="shared" si="107"/>
        <v>0</v>
      </c>
      <c r="AM129" s="504">
        <f t="shared" si="108"/>
        <v>400010</v>
      </c>
      <c r="AT129" s="371" t="s">
        <v>395</v>
      </c>
      <c r="AU129" s="372">
        <v>1184773000</v>
      </c>
      <c r="AV129" s="372">
        <v>28890465</v>
      </c>
      <c r="AW129" s="372">
        <v>81446833</v>
      </c>
      <c r="AX129" s="372">
        <v>1103326167</v>
      </c>
      <c r="AY129" s="504">
        <f t="shared" si="72"/>
        <v>1184773</v>
      </c>
      <c r="AZ129" s="504">
        <f t="shared" si="73"/>
        <v>28890.465</v>
      </c>
      <c r="BA129" s="504">
        <f t="shared" si="74"/>
        <v>81446.832999999999</v>
      </c>
      <c r="BB129" s="504">
        <f t="shared" si="75"/>
        <v>1103326.1669999999</v>
      </c>
      <c r="BH129" s="782" t="s">
        <v>396</v>
      </c>
      <c r="BI129" s="644">
        <v>400010000</v>
      </c>
      <c r="BJ129" s="644">
        <v>0</v>
      </c>
      <c r="BK129" s="644">
        <v>0</v>
      </c>
      <c r="BL129" s="644">
        <v>400010000</v>
      </c>
      <c r="BM129" s="548">
        <f t="shared" si="77"/>
        <v>400010</v>
      </c>
      <c r="BN129" s="548">
        <f t="shared" si="78"/>
        <v>0</v>
      </c>
      <c r="BO129" s="548">
        <f t="shared" si="79"/>
        <v>0</v>
      </c>
      <c r="BP129" s="650">
        <f t="shared" si="80"/>
        <v>400010</v>
      </c>
      <c r="BW129" s="597" t="s">
        <v>1002</v>
      </c>
      <c r="BX129" s="597">
        <v>1000</v>
      </c>
      <c r="BY129" s="597">
        <v>0</v>
      </c>
      <c r="BZ129" s="597">
        <v>1000</v>
      </c>
      <c r="CA129" s="597">
        <v>0</v>
      </c>
      <c r="CB129" s="597">
        <f t="shared" si="82"/>
        <v>1</v>
      </c>
      <c r="CC129" s="597">
        <f t="shared" si="83"/>
        <v>0</v>
      </c>
      <c r="CD129" s="597">
        <f t="shared" si="84"/>
        <v>1</v>
      </c>
      <c r="CE129" s="597">
        <f t="shared" si="85"/>
        <v>0</v>
      </c>
      <c r="CK129" s="371" t="s">
        <v>1112</v>
      </c>
      <c r="CL129" s="372">
        <v>615000</v>
      </c>
      <c r="CM129" s="372">
        <v>0</v>
      </c>
      <c r="CN129" s="372">
        <v>0</v>
      </c>
      <c r="CO129" s="372">
        <v>615000</v>
      </c>
      <c r="CP129" s="597">
        <f t="shared" si="87"/>
        <v>615</v>
      </c>
      <c r="CQ129" s="597">
        <f t="shared" si="88"/>
        <v>0</v>
      </c>
      <c r="CR129" s="597">
        <f t="shared" si="89"/>
        <v>0</v>
      </c>
      <c r="CS129" s="597">
        <f t="shared" si="90"/>
        <v>615</v>
      </c>
      <c r="CU129" s="548"/>
      <c r="CZ129" s="1059" t="s">
        <v>1111</v>
      </c>
      <c r="DA129" s="1060">
        <v>615000</v>
      </c>
      <c r="DB129" s="1060">
        <v>614340</v>
      </c>
      <c r="DC129" s="1060">
        <v>614340</v>
      </c>
      <c r="DD129" s="1060">
        <v>660</v>
      </c>
      <c r="DE129" s="1060">
        <f t="shared" si="92"/>
        <v>615</v>
      </c>
      <c r="DF129" s="1060">
        <f t="shared" si="93"/>
        <v>614.34</v>
      </c>
      <c r="DG129" s="1060">
        <f t="shared" si="94"/>
        <v>614.34</v>
      </c>
      <c r="DH129" s="1060">
        <f t="shared" si="95"/>
        <v>0.66</v>
      </c>
    </row>
    <row r="130" spans="1:112" x14ac:dyDescent="0.25">
      <c r="A130" s="504" t="s">
        <v>595</v>
      </c>
      <c r="B130" s="504">
        <v>178378000</v>
      </c>
      <c r="C130" s="504">
        <v>0</v>
      </c>
      <c r="D130" s="504">
        <v>1</v>
      </c>
      <c r="E130" s="504">
        <v>178377999</v>
      </c>
      <c r="F130" s="504">
        <f t="shared" si="96"/>
        <v>178378</v>
      </c>
      <c r="G130" s="504">
        <f t="shared" si="97"/>
        <v>0</v>
      </c>
      <c r="H130" s="504">
        <f t="shared" si="98"/>
        <v>1E-3</v>
      </c>
      <c r="I130" s="504">
        <f t="shared" si="99"/>
        <v>178377.99900000001</v>
      </c>
      <c r="P130" s="371" t="s">
        <v>1003</v>
      </c>
      <c r="Q130" s="372">
        <v>82763000</v>
      </c>
      <c r="R130" s="372">
        <v>14426592</v>
      </c>
      <c r="S130" s="372">
        <v>81409552</v>
      </c>
      <c r="T130" s="372">
        <v>1353448</v>
      </c>
      <c r="U130" s="372">
        <f t="shared" si="100"/>
        <v>82763</v>
      </c>
      <c r="V130" s="505">
        <f t="shared" si="101"/>
        <v>14426.592000000001</v>
      </c>
      <c r="W130" s="505">
        <f t="shared" si="102"/>
        <v>81409.551999999996</v>
      </c>
      <c r="X130" s="505">
        <f t="shared" si="103"/>
        <v>1353.4480000000001</v>
      </c>
      <c r="AE130" s="373" t="s">
        <v>574</v>
      </c>
      <c r="AF130" s="504">
        <v>10000</v>
      </c>
      <c r="AG130" s="504">
        <v>0</v>
      </c>
      <c r="AH130" s="504">
        <v>0</v>
      </c>
      <c r="AI130" s="504">
        <v>10000</v>
      </c>
      <c r="AJ130" s="504">
        <f t="shared" si="105"/>
        <v>10</v>
      </c>
      <c r="AK130" s="504">
        <f t="shared" si="106"/>
        <v>0</v>
      </c>
      <c r="AL130" s="504">
        <f t="shared" si="107"/>
        <v>0</v>
      </c>
      <c r="AM130" s="504">
        <f t="shared" si="108"/>
        <v>10</v>
      </c>
      <c r="AT130" s="371" t="s">
        <v>396</v>
      </c>
      <c r="AU130" s="372">
        <v>400010000</v>
      </c>
      <c r="AV130" s="372">
        <v>0</v>
      </c>
      <c r="AW130" s="372">
        <v>0</v>
      </c>
      <c r="AX130" s="372">
        <v>400010000</v>
      </c>
      <c r="AY130" s="504">
        <f t="shared" si="72"/>
        <v>400010</v>
      </c>
      <c r="AZ130" s="504">
        <f t="shared" si="73"/>
        <v>0</v>
      </c>
      <c r="BA130" s="504">
        <f t="shared" si="74"/>
        <v>0</v>
      </c>
      <c r="BB130" s="504">
        <f t="shared" si="75"/>
        <v>400010</v>
      </c>
      <c r="BH130" s="782" t="s">
        <v>574</v>
      </c>
      <c r="BI130" s="644">
        <v>10000</v>
      </c>
      <c r="BJ130" s="644">
        <v>0</v>
      </c>
      <c r="BK130" s="644">
        <v>0</v>
      </c>
      <c r="BL130" s="644">
        <v>10000</v>
      </c>
      <c r="BM130" s="548">
        <f t="shared" si="77"/>
        <v>10</v>
      </c>
      <c r="BN130" s="548">
        <f t="shared" si="78"/>
        <v>0</v>
      </c>
      <c r="BO130" s="548">
        <f t="shared" si="79"/>
        <v>0</v>
      </c>
      <c r="BP130" s="650">
        <f t="shared" si="80"/>
        <v>10</v>
      </c>
      <c r="BW130" s="597" t="s">
        <v>573</v>
      </c>
      <c r="BX130" s="597">
        <v>121859000</v>
      </c>
      <c r="BY130" s="597">
        <v>0</v>
      </c>
      <c r="BZ130" s="597">
        <v>121859000</v>
      </c>
      <c r="CA130" s="597">
        <v>0</v>
      </c>
      <c r="CB130" s="597">
        <f t="shared" si="82"/>
        <v>121859</v>
      </c>
      <c r="CC130" s="597">
        <f t="shared" si="83"/>
        <v>0</v>
      </c>
      <c r="CD130" s="597">
        <f t="shared" si="84"/>
        <v>121859</v>
      </c>
      <c r="CE130" s="597">
        <f t="shared" si="85"/>
        <v>0</v>
      </c>
      <c r="CK130" s="371" t="s">
        <v>572</v>
      </c>
      <c r="CL130" s="372">
        <v>121861000</v>
      </c>
      <c r="CM130" s="372">
        <v>46967650</v>
      </c>
      <c r="CN130" s="372">
        <v>68014050</v>
      </c>
      <c r="CO130" s="372">
        <v>53846950</v>
      </c>
      <c r="CP130" s="597">
        <f t="shared" si="87"/>
        <v>121861</v>
      </c>
      <c r="CQ130" s="597">
        <f t="shared" si="88"/>
        <v>46967.65</v>
      </c>
      <c r="CR130" s="597">
        <f t="shared" si="89"/>
        <v>68014.05</v>
      </c>
      <c r="CS130" s="597">
        <f t="shared" si="90"/>
        <v>53846.95</v>
      </c>
      <c r="CU130" s="548"/>
      <c r="CZ130" s="1059" t="s">
        <v>1112</v>
      </c>
      <c r="DA130" s="1060">
        <v>615000</v>
      </c>
      <c r="DB130" s="1060">
        <v>614340</v>
      </c>
      <c r="DC130" s="1060">
        <v>614340</v>
      </c>
      <c r="DD130" s="1060">
        <v>660</v>
      </c>
      <c r="DE130" s="1060">
        <f t="shared" si="92"/>
        <v>615</v>
      </c>
      <c r="DF130" s="1060">
        <f t="shared" si="93"/>
        <v>614.34</v>
      </c>
      <c r="DG130" s="1060">
        <f t="shared" si="94"/>
        <v>614.34</v>
      </c>
      <c r="DH130" s="1060">
        <f t="shared" si="95"/>
        <v>0.66</v>
      </c>
    </row>
    <row r="131" spans="1:112" x14ac:dyDescent="0.25">
      <c r="A131" s="504" t="s">
        <v>844</v>
      </c>
      <c r="B131" s="504">
        <v>178374000</v>
      </c>
      <c r="C131" s="504">
        <v>0</v>
      </c>
      <c r="D131" s="504">
        <v>1</v>
      </c>
      <c r="E131" s="504">
        <v>178373999</v>
      </c>
      <c r="F131" s="504">
        <f t="shared" ref="F131:F144" si="109">+B131/$H$1*$I$1</f>
        <v>178374</v>
      </c>
      <c r="G131" s="504">
        <f t="shared" ref="G131:G144" si="110">+C131/$H$1*$I$1</f>
        <v>0</v>
      </c>
      <c r="H131" s="504">
        <f t="shared" ref="H131:H144" si="111">+D131/$H$1*$I$1</f>
        <v>1E-3</v>
      </c>
      <c r="I131" s="504">
        <f t="shared" ref="I131:I144" si="112">+E131/$H$1*$I$1</f>
        <v>178373.99900000001</v>
      </c>
      <c r="P131" s="371" t="s">
        <v>1004</v>
      </c>
      <c r="Q131" s="372">
        <v>82763000</v>
      </c>
      <c r="R131" s="372">
        <v>14426592</v>
      </c>
      <c r="S131" s="372">
        <v>81409552</v>
      </c>
      <c r="T131" s="372">
        <v>1353448</v>
      </c>
      <c r="U131" s="372">
        <f t="shared" ref="U131:U145" si="113">+Q131/$W$1*$X$1</f>
        <v>82763</v>
      </c>
      <c r="V131" s="505">
        <f t="shared" ref="V131:V145" si="114">+R131/$W$1*$X$1</f>
        <v>14426.592000000001</v>
      </c>
      <c r="W131" s="505">
        <f t="shared" ref="W131:W145" si="115">+S131/$W$1*$X$1</f>
        <v>81409.551999999996</v>
      </c>
      <c r="X131" s="505">
        <f t="shared" ref="X131:X145" si="116">+T131/$W$1*$X$1</f>
        <v>1353.4480000000001</v>
      </c>
      <c r="AE131" s="373" t="s">
        <v>904</v>
      </c>
      <c r="AF131" s="504">
        <v>400000000</v>
      </c>
      <c r="AG131" s="504">
        <v>0</v>
      </c>
      <c r="AH131" s="504">
        <v>0</v>
      </c>
      <c r="AI131" s="504">
        <v>400000000</v>
      </c>
      <c r="AJ131" s="504">
        <f t="shared" ref="AJ131:AJ152" si="117">+AF131/$AL$1*$AM$1</f>
        <v>400000</v>
      </c>
      <c r="AK131" s="504">
        <f t="shared" ref="AK131:AK152" si="118">+AG131/$AL$1*$AM$1</f>
        <v>0</v>
      </c>
      <c r="AL131" s="504">
        <f t="shared" ref="AL131:AL152" si="119">+AH131/$AL$1*$AM$1</f>
        <v>0</v>
      </c>
      <c r="AM131" s="504">
        <f t="shared" ref="AM131:AM152" si="120">+AI131/$AL$1*$AM$1</f>
        <v>400000</v>
      </c>
      <c r="AT131" s="371" t="s">
        <v>574</v>
      </c>
      <c r="AU131" s="372">
        <v>10000</v>
      </c>
      <c r="AV131" s="372">
        <v>0</v>
      </c>
      <c r="AW131" s="372">
        <v>0</v>
      </c>
      <c r="AX131" s="372">
        <v>10000</v>
      </c>
      <c r="AY131" s="504">
        <f t="shared" si="72"/>
        <v>10</v>
      </c>
      <c r="AZ131" s="504">
        <f t="shared" si="73"/>
        <v>0</v>
      </c>
      <c r="BA131" s="504">
        <f t="shared" si="74"/>
        <v>0</v>
      </c>
      <c r="BB131" s="504">
        <f t="shared" si="75"/>
        <v>10</v>
      </c>
      <c r="BH131" s="782" t="s">
        <v>904</v>
      </c>
      <c r="BI131" s="644">
        <v>400000000</v>
      </c>
      <c r="BJ131" s="644">
        <v>0</v>
      </c>
      <c r="BK131" s="644">
        <v>0</v>
      </c>
      <c r="BL131" s="644">
        <v>400000000</v>
      </c>
      <c r="BM131" s="548">
        <f t="shared" si="77"/>
        <v>400000</v>
      </c>
      <c r="BN131" s="548">
        <f t="shared" si="78"/>
        <v>0</v>
      </c>
      <c r="BO131" s="548">
        <f t="shared" si="79"/>
        <v>0</v>
      </c>
      <c r="BP131" s="650">
        <f t="shared" si="80"/>
        <v>400000</v>
      </c>
      <c r="BW131" s="597" t="s">
        <v>943</v>
      </c>
      <c r="BX131" s="597">
        <v>1000</v>
      </c>
      <c r="BY131" s="597">
        <v>0</v>
      </c>
      <c r="BZ131" s="597">
        <v>1000</v>
      </c>
      <c r="CA131" s="597">
        <v>0</v>
      </c>
      <c r="CB131" s="597">
        <f t="shared" si="82"/>
        <v>1</v>
      </c>
      <c r="CC131" s="597">
        <f t="shared" si="83"/>
        <v>0</v>
      </c>
      <c r="CD131" s="597">
        <f t="shared" si="84"/>
        <v>1</v>
      </c>
      <c r="CE131" s="597">
        <f t="shared" si="85"/>
        <v>0</v>
      </c>
      <c r="CK131" s="371" t="s">
        <v>1002</v>
      </c>
      <c r="CL131" s="372">
        <v>21047400</v>
      </c>
      <c r="CM131" s="372">
        <v>0</v>
      </c>
      <c r="CN131" s="372">
        <v>21046400</v>
      </c>
      <c r="CO131" s="372">
        <v>1000</v>
      </c>
      <c r="CP131" s="597">
        <f t="shared" si="87"/>
        <v>21047.4</v>
      </c>
      <c r="CQ131" s="597">
        <f t="shared" si="88"/>
        <v>0</v>
      </c>
      <c r="CR131" s="597">
        <f t="shared" si="89"/>
        <v>21046.400000000001</v>
      </c>
      <c r="CS131" s="597">
        <f t="shared" si="90"/>
        <v>1</v>
      </c>
      <c r="CU131" s="548"/>
      <c r="CZ131" s="1059" t="s">
        <v>572</v>
      </c>
      <c r="DA131" s="1060">
        <v>121861000</v>
      </c>
      <c r="DB131" s="1060">
        <v>100813599</v>
      </c>
      <c r="DC131" s="1060">
        <v>121859999</v>
      </c>
      <c r="DD131" s="1060">
        <v>1001</v>
      </c>
      <c r="DE131" s="1060">
        <f t="shared" si="92"/>
        <v>121861</v>
      </c>
      <c r="DF131" s="1060">
        <f t="shared" si="93"/>
        <v>100813.599</v>
      </c>
      <c r="DG131" s="1060">
        <f t="shared" si="94"/>
        <v>121859.999</v>
      </c>
      <c r="DH131" s="1060">
        <f t="shared" si="95"/>
        <v>1.0009999999999999</v>
      </c>
    </row>
    <row r="132" spans="1:112" x14ac:dyDescent="0.25">
      <c r="A132" s="504" t="s">
        <v>974</v>
      </c>
      <c r="B132" s="504">
        <v>1000</v>
      </c>
      <c r="C132" s="504">
        <v>0</v>
      </c>
      <c r="D132" s="504">
        <v>0</v>
      </c>
      <c r="E132" s="504">
        <v>1000</v>
      </c>
      <c r="F132" s="504">
        <f t="shared" si="109"/>
        <v>1</v>
      </c>
      <c r="G132" s="504">
        <f t="shared" si="110"/>
        <v>0</v>
      </c>
      <c r="H132" s="504">
        <f t="shared" si="111"/>
        <v>0</v>
      </c>
      <c r="I132" s="504">
        <f t="shared" si="112"/>
        <v>1</v>
      </c>
      <c r="P132" s="371" t="s">
        <v>594</v>
      </c>
      <c r="Q132" s="372">
        <v>178378000</v>
      </c>
      <c r="R132" s="372">
        <v>56827653</v>
      </c>
      <c r="S132" s="372">
        <v>56827654</v>
      </c>
      <c r="T132" s="372">
        <v>121550346</v>
      </c>
      <c r="U132" s="372">
        <f t="shared" si="113"/>
        <v>178378</v>
      </c>
      <c r="V132" s="505">
        <f t="shared" si="114"/>
        <v>56827.652999999998</v>
      </c>
      <c r="W132" s="505">
        <f t="shared" si="115"/>
        <v>56827.654000000002</v>
      </c>
      <c r="X132" s="505">
        <f t="shared" si="116"/>
        <v>121550.34600000001</v>
      </c>
      <c r="AE132" s="373" t="s">
        <v>470</v>
      </c>
      <c r="AF132" s="504">
        <v>702000000</v>
      </c>
      <c r="AG132" s="504">
        <v>0</v>
      </c>
      <c r="AH132" s="504">
        <v>0</v>
      </c>
      <c r="AI132" s="504">
        <v>702000000</v>
      </c>
      <c r="AJ132" s="504">
        <f t="shared" si="117"/>
        <v>702000</v>
      </c>
      <c r="AK132" s="504">
        <f t="shared" si="118"/>
        <v>0</v>
      </c>
      <c r="AL132" s="504">
        <f t="shared" si="119"/>
        <v>0</v>
      </c>
      <c r="AM132" s="504">
        <f t="shared" si="120"/>
        <v>702000</v>
      </c>
      <c r="AT132" s="371" t="s">
        <v>904</v>
      </c>
      <c r="AU132" s="372">
        <v>400000000</v>
      </c>
      <c r="AV132" s="372">
        <v>0</v>
      </c>
      <c r="AW132" s="372">
        <v>0</v>
      </c>
      <c r="AX132" s="372">
        <v>400000000</v>
      </c>
      <c r="AY132" s="504">
        <f t="shared" ref="AY132:AY144" si="121">+AU132/$AZ$1*$BA$1</f>
        <v>400000</v>
      </c>
      <c r="AZ132" s="504">
        <f t="shared" ref="AZ132:AZ144" si="122">+AV132/$AZ$1*$BA$1</f>
        <v>0</v>
      </c>
      <c r="BA132" s="504">
        <f t="shared" ref="BA132:BA144" si="123">+AW132/$AZ$1*$BA$1</f>
        <v>0</v>
      </c>
      <c r="BB132" s="504">
        <f t="shared" ref="BB132:BB144" si="124">+AX132/$AZ$1*$BA$1</f>
        <v>400000</v>
      </c>
      <c r="BH132" s="782" t="s">
        <v>470</v>
      </c>
      <c r="BI132" s="644">
        <v>702000000</v>
      </c>
      <c r="BJ132" s="644">
        <v>0</v>
      </c>
      <c r="BK132" s="644">
        <v>270000000</v>
      </c>
      <c r="BL132" s="644">
        <v>432000000</v>
      </c>
      <c r="BM132" s="548">
        <f t="shared" ref="BM132:BM156" si="125">BI132/$BN$1*$BO$1</f>
        <v>702000</v>
      </c>
      <c r="BN132" s="548">
        <f t="shared" ref="BN132:BN156" si="126">BJ132/$BN$1*$BO$1</f>
        <v>0</v>
      </c>
      <c r="BO132" s="548">
        <f t="shared" ref="BO132:BO156" si="127">BK132/$BN$1*$BO$1</f>
        <v>270000</v>
      </c>
      <c r="BP132" s="650">
        <f t="shared" ref="BP132:BP156" si="128">BL132/$BN$1*$BO$1</f>
        <v>432000</v>
      </c>
      <c r="BW132" s="597" t="s">
        <v>395</v>
      </c>
      <c r="BX132" s="597">
        <v>1379773000</v>
      </c>
      <c r="BY132" s="597">
        <v>351555000</v>
      </c>
      <c r="BZ132" s="597">
        <v>1028218000</v>
      </c>
      <c r="CA132" s="597">
        <v>43425224</v>
      </c>
      <c r="CB132" s="597">
        <f t="shared" ref="CB132:CB145" si="129">+BX132/$CD$1*$CE$1</f>
        <v>1379773</v>
      </c>
      <c r="CC132" s="597">
        <f t="shared" ref="CC132:CC145" si="130">+BY132/$CD$1*$CE$1</f>
        <v>351555</v>
      </c>
      <c r="CD132" s="597">
        <f t="shared" ref="CD132:CD145" si="131">+BZ132/$CD$1*$CE$1</f>
        <v>1028218</v>
      </c>
      <c r="CE132" s="597">
        <f t="shared" ref="CE132:CE145" si="132">+CA132/$CD$1*$CE$1</f>
        <v>43425.224000000002</v>
      </c>
      <c r="CK132" s="371" t="s">
        <v>573</v>
      </c>
      <c r="CL132" s="372">
        <v>100812600</v>
      </c>
      <c r="CM132" s="372">
        <v>46967650</v>
      </c>
      <c r="CN132" s="372">
        <v>46967650</v>
      </c>
      <c r="CO132" s="372">
        <v>53844950</v>
      </c>
      <c r="CP132" s="597">
        <f t="shared" ref="CP132:CP159" si="133">+CL132/$CR$1*$CS$1</f>
        <v>100812.6</v>
      </c>
      <c r="CQ132" s="597">
        <f t="shared" ref="CQ132:CQ159" si="134">+CM132/$CR$1*$CS$1</f>
        <v>46967.65</v>
      </c>
      <c r="CR132" s="597">
        <f t="shared" ref="CR132:CR159" si="135">+CN132/$CR$1*$CS$1</f>
        <v>46967.65</v>
      </c>
      <c r="CS132" s="597">
        <f t="shared" ref="CS132:CS159" si="136">+CO132/$CR$1*$CS$1</f>
        <v>53844.95</v>
      </c>
      <c r="CU132" s="548"/>
      <c r="CZ132" s="1059" t="s">
        <v>1002</v>
      </c>
      <c r="DA132" s="1060">
        <v>21047400</v>
      </c>
      <c r="DB132" s="1060">
        <v>0</v>
      </c>
      <c r="DC132" s="1060">
        <v>21046400</v>
      </c>
      <c r="DD132" s="1060">
        <v>1000</v>
      </c>
      <c r="DE132" s="1060">
        <f t="shared" ref="DE132:DE151" si="137">+DA132/$DG$1*$DH$1</f>
        <v>21047.4</v>
      </c>
      <c r="DF132" s="1060">
        <f t="shared" ref="DF132:DF151" si="138">+DB132/$DG$1*$DH$1</f>
        <v>0</v>
      </c>
      <c r="DG132" s="1060">
        <f t="shared" ref="DG132:DG151" si="139">+DC132/$DG$1*$DH$1</f>
        <v>21046.400000000001</v>
      </c>
      <c r="DH132" s="1060">
        <f t="shared" ref="DH132:DH151" si="140">+DD132/$DG$1*$DH$1</f>
        <v>1</v>
      </c>
    </row>
    <row r="133" spans="1:112" x14ac:dyDescent="0.25">
      <c r="A133" s="504" t="s">
        <v>849</v>
      </c>
      <c r="B133" s="504">
        <v>1000</v>
      </c>
      <c r="C133" s="504">
        <v>0</v>
      </c>
      <c r="D133" s="504">
        <v>0</v>
      </c>
      <c r="E133" s="504">
        <v>1000</v>
      </c>
      <c r="F133" s="504">
        <f t="shared" si="109"/>
        <v>1</v>
      </c>
      <c r="G133" s="504">
        <f t="shared" si="110"/>
        <v>0</v>
      </c>
      <c r="H133" s="504">
        <f t="shared" si="111"/>
        <v>0</v>
      </c>
      <c r="I133" s="504">
        <f t="shared" si="112"/>
        <v>1</v>
      </c>
      <c r="P133" s="371" t="s">
        <v>595</v>
      </c>
      <c r="Q133" s="372">
        <v>178378000</v>
      </c>
      <c r="R133" s="372">
        <v>56827653</v>
      </c>
      <c r="S133" s="372">
        <v>56827654</v>
      </c>
      <c r="T133" s="372">
        <v>121550346</v>
      </c>
      <c r="U133" s="372">
        <f t="shared" si="113"/>
        <v>178378</v>
      </c>
      <c r="V133" s="505">
        <f t="shared" si="114"/>
        <v>56827.652999999998</v>
      </c>
      <c r="W133" s="505">
        <f t="shared" si="115"/>
        <v>56827.654000000002</v>
      </c>
      <c r="X133" s="505">
        <f t="shared" si="116"/>
        <v>121550.34600000001</v>
      </c>
      <c r="AE133" s="554" t="s">
        <v>905</v>
      </c>
      <c r="AF133" s="504">
        <v>432000000</v>
      </c>
      <c r="AG133" s="504">
        <v>0</v>
      </c>
      <c r="AH133" s="504">
        <v>0</v>
      </c>
      <c r="AI133" s="504">
        <v>432000000</v>
      </c>
      <c r="AJ133" s="504">
        <f t="shared" si="117"/>
        <v>432000</v>
      </c>
      <c r="AK133" s="504">
        <f t="shared" si="118"/>
        <v>0</v>
      </c>
      <c r="AL133" s="504">
        <f t="shared" si="119"/>
        <v>0</v>
      </c>
      <c r="AM133" s="504">
        <f t="shared" si="120"/>
        <v>432000</v>
      </c>
      <c r="AT133" s="371" t="s">
        <v>470</v>
      </c>
      <c r="AU133" s="372">
        <v>702000000</v>
      </c>
      <c r="AV133" s="372">
        <v>0</v>
      </c>
      <c r="AW133" s="372">
        <v>0</v>
      </c>
      <c r="AX133" s="372">
        <v>702000000</v>
      </c>
      <c r="AY133" s="504">
        <f t="shared" si="121"/>
        <v>702000</v>
      </c>
      <c r="AZ133" s="504">
        <f t="shared" si="122"/>
        <v>0</v>
      </c>
      <c r="BA133" s="504">
        <f t="shared" si="123"/>
        <v>0</v>
      </c>
      <c r="BB133" s="504">
        <f t="shared" si="124"/>
        <v>702000</v>
      </c>
      <c r="BH133" s="782" t="s">
        <v>905</v>
      </c>
      <c r="BI133" s="644">
        <v>432000000</v>
      </c>
      <c r="BJ133" s="644">
        <v>0</v>
      </c>
      <c r="BK133" s="644">
        <v>0</v>
      </c>
      <c r="BL133" s="644">
        <v>432000000</v>
      </c>
      <c r="BM133" s="548">
        <f t="shared" si="125"/>
        <v>432000</v>
      </c>
      <c r="BN133" s="548">
        <f t="shared" si="126"/>
        <v>0</v>
      </c>
      <c r="BO133" s="548">
        <f t="shared" si="127"/>
        <v>0</v>
      </c>
      <c r="BP133" s="650">
        <f t="shared" si="128"/>
        <v>432000</v>
      </c>
      <c r="BW133" s="597" t="s">
        <v>396</v>
      </c>
      <c r="BX133" s="597">
        <v>595010000</v>
      </c>
      <c r="BY133" s="597">
        <v>0</v>
      </c>
      <c r="BZ133" s="597">
        <v>595010000</v>
      </c>
      <c r="CA133" s="597">
        <v>0</v>
      </c>
      <c r="CB133" s="597">
        <f t="shared" si="129"/>
        <v>595010</v>
      </c>
      <c r="CC133" s="597">
        <f t="shared" si="130"/>
        <v>0</v>
      </c>
      <c r="CD133" s="597">
        <f t="shared" si="131"/>
        <v>595010</v>
      </c>
      <c r="CE133" s="597">
        <f t="shared" si="132"/>
        <v>0</v>
      </c>
      <c r="CK133" s="371" t="s">
        <v>943</v>
      </c>
      <c r="CL133" s="372">
        <v>1000</v>
      </c>
      <c r="CM133" s="372">
        <v>0</v>
      </c>
      <c r="CN133" s="372">
        <v>0</v>
      </c>
      <c r="CO133" s="372">
        <v>1000</v>
      </c>
      <c r="CP133" s="597">
        <f t="shared" si="133"/>
        <v>1</v>
      </c>
      <c r="CQ133" s="597">
        <f t="shared" si="134"/>
        <v>0</v>
      </c>
      <c r="CR133" s="597">
        <f t="shared" si="135"/>
        <v>0</v>
      </c>
      <c r="CS133" s="597">
        <f t="shared" si="136"/>
        <v>1</v>
      </c>
      <c r="CU133" s="548"/>
      <c r="CZ133" s="1059" t="s">
        <v>573</v>
      </c>
      <c r="DA133" s="1060">
        <v>58028330</v>
      </c>
      <c r="DB133" s="1060">
        <v>58028329</v>
      </c>
      <c r="DC133" s="1060">
        <v>58028329</v>
      </c>
      <c r="DD133" s="1060">
        <v>1</v>
      </c>
      <c r="DE133" s="1060">
        <f t="shared" si="137"/>
        <v>58028.33</v>
      </c>
      <c r="DF133" s="1060">
        <f t="shared" si="138"/>
        <v>58028.328999999998</v>
      </c>
      <c r="DG133" s="1060">
        <f t="shared" si="139"/>
        <v>58028.328999999998</v>
      </c>
      <c r="DH133" s="1060">
        <f t="shared" si="140"/>
        <v>1E-3</v>
      </c>
    </row>
    <row r="134" spans="1:112" x14ac:dyDescent="0.25">
      <c r="A134" s="504" t="s">
        <v>850</v>
      </c>
      <c r="B134" s="504">
        <v>1000</v>
      </c>
      <c r="C134" s="504">
        <v>0</v>
      </c>
      <c r="D134" s="504">
        <v>0</v>
      </c>
      <c r="E134" s="504">
        <v>1000</v>
      </c>
      <c r="F134" s="504">
        <f t="shared" si="109"/>
        <v>1</v>
      </c>
      <c r="G134" s="504">
        <f t="shared" si="110"/>
        <v>0</v>
      </c>
      <c r="H134" s="504">
        <f t="shared" si="111"/>
        <v>0</v>
      </c>
      <c r="I134" s="504">
        <f t="shared" si="112"/>
        <v>1</v>
      </c>
      <c r="P134" s="371" t="s">
        <v>844</v>
      </c>
      <c r="Q134" s="372">
        <v>178374000</v>
      </c>
      <c r="R134" s="372">
        <v>56827653</v>
      </c>
      <c r="S134" s="372">
        <v>56827654</v>
      </c>
      <c r="T134" s="372">
        <v>121546346</v>
      </c>
      <c r="U134" s="372">
        <f t="shared" si="113"/>
        <v>178374</v>
      </c>
      <c r="V134" s="505">
        <f t="shared" si="114"/>
        <v>56827.652999999998</v>
      </c>
      <c r="W134" s="505">
        <f t="shared" si="115"/>
        <v>56827.654000000002</v>
      </c>
      <c r="X134" s="505">
        <f t="shared" si="116"/>
        <v>121546.34600000001</v>
      </c>
      <c r="AE134" s="554" t="s">
        <v>1054</v>
      </c>
      <c r="AF134" s="504">
        <v>270000000</v>
      </c>
      <c r="AG134" s="504">
        <v>0</v>
      </c>
      <c r="AH134" s="504">
        <v>0</v>
      </c>
      <c r="AI134" s="504">
        <v>270000000</v>
      </c>
      <c r="AJ134" s="504">
        <f t="shared" si="117"/>
        <v>270000</v>
      </c>
      <c r="AK134" s="504">
        <f t="shared" si="118"/>
        <v>0</v>
      </c>
      <c r="AL134" s="504">
        <f t="shared" si="119"/>
        <v>0</v>
      </c>
      <c r="AM134" s="504">
        <f t="shared" si="120"/>
        <v>270000</v>
      </c>
      <c r="AT134" s="371" t="s">
        <v>905</v>
      </c>
      <c r="AU134" s="372">
        <v>432000000</v>
      </c>
      <c r="AV134" s="372">
        <v>0</v>
      </c>
      <c r="AW134" s="372">
        <v>0</v>
      </c>
      <c r="AX134" s="372">
        <v>432000000</v>
      </c>
      <c r="AY134" s="504">
        <f t="shared" si="121"/>
        <v>432000</v>
      </c>
      <c r="AZ134" s="504">
        <f t="shared" si="122"/>
        <v>0</v>
      </c>
      <c r="BA134" s="504">
        <f t="shared" si="123"/>
        <v>0</v>
      </c>
      <c r="BB134" s="504">
        <f t="shared" si="124"/>
        <v>432000</v>
      </c>
      <c r="BH134" s="782" t="s">
        <v>1070</v>
      </c>
      <c r="BI134" s="644">
        <v>270000000</v>
      </c>
      <c r="BJ134" s="644">
        <v>0</v>
      </c>
      <c r="BK134" s="644">
        <v>270000000</v>
      </c>
      <c r="BL134" s="644">
        <v>0</v>
      </c>
      <c r="BM134" s="548">
        <f t="shared" si="125"/>
        <v>270000</v>
      </c>
      <c r="BN134" s="548">
        <f t="shared" si="126"/>
        <v>0</v>
      </c>
      <c r="BO134" s="548">
        <f t="shared" si="127"/>
        <v>270000</v>
      </c>
      <c r="BP134" s="650">
        <f t="shared" si="128"/>
        <v>0</v>
      </c>
      <c r="BW134" s="597" t="s">
        <v>574</v>
      </c>
      <c r="BX134" s="597">
        <v>10000</v>
      </c>
      <c r="BY134" s="597">
        <v>0</v>
      </c>
      <c r="BZ134" s="597">
        <v>10000</v>
      </c>
      <c r="CA134" s="597">
        <v>0</v>
      </c>
      <c r="CB134" s="597">
        <f t="shared" si="129"/>
        <v>10</v>
      </c>
      <c r="CC134" s="597">
        <f t="shared" si="130"/>
        <v>0</v>
      </c>
      <c r="CD134" s="597">
        <f t="shared" si="131"/>
        <v>10</v>
      </c>
      <c r="CE134" s="597">
        <f t="shared" si="132"/>
        <v>0</v>
      </c>
      <c r="CK134" s="371" t="s">
        <v>395</v>
      </c>
      <c r="CL134" s="372">
        <v>1379773000</v>
      </c>
      <c r="CM134" s="372">
        <v>50638520</v>
      </c>
      <c r="CN134" s="372">
        <v>546555000</v>
      </c>
      <c r="CO134" s="372">
        <v>833218000</v>
      </c>
      <c r="CP134" s="597">
        <f t="shared" si="133"/>
        <v>1379773</v>
      </c>
      <c r="CQ134" s="597">
        <f t="shared" si="134"/>
        <v>50638.52</v>
      </c>
      <c r="CR134" s="597">
        <f t="shared" si="135"/>
        <v>546555</v>
      </c>
      <c r="CS134" s="597">
        <f t="shared" si="136"/>
        <v>833218</v>
      </c>
      <c r="CU134" s="548"/>
      <c r="CZ134" s="1059" t="s">
        <v>943</v>
      </c>
      <c r="DA134" s="1060">
        <v>42785270</v>
      </c>
      <c r="DB134" s="1060">
        <v>42785270</v>
      </c>
      <c r="DC134" s="1060">
        <v>42785270</v>
      </c>
      <c r="DD134" s="1060">
        <v>0</v>
      </c>
      <c r="DE134" s="1060">
        <f t="shared" si="137"/>
        <v>42785.27</v>
      </c>
      <c r="DF134" s="1060">
        <f t="shared" si="138"/>
        <v>42785.27</v>
      </c>
      <c r="DG134" s="1060">
        <f t="shared" si="139"/>
        <v>42785.27</v>
      </c>
      <c r="DH134" s="1060">
        <f t="shared" si="140"/>
        <v>0</v>
      </c>
    </row>
    <row r="135" spans="1:112" x14ac:dyDescent="0.25">
      <c r="A135" s="504" t="s">
        <v>851</v>
      </c>
      <c r="B135" s="504">
        <v>1000</v>
      </c>
      <c r="C135" s="504">
        <v>0</v>
      </c>
      <c r="D135" s="504">
        <v>0</v>
      </c>
      <c r="E135" s="504">
        <v>1000</v>
      </c>
      <c r="F135" s="504">
        <f t="shared" si="109"/>
        <v>1</v>
      </c>
      <c r="G135" s="504">
        <f t="shared" si="110"/>
        <v>0</v>
      </c>
      <c r="H135" s="504">
        <f t="shared" si="111"/>
        <v>0</v>
      </c>
      <c r="I135" s="504">
        <f t="shared" si="112"/>
        <v>1</v>
      </c>
      <c r="P135" s="371" t="s">
        <v>974</v>
      </c>
      <c r="Q135" s="372">
        <v>1000</v>
      </c>
      <c r="R135" s="372">
        <v>0</v>
      </c>
      <c r="S135" s="372">
        <v>0</v>
      </c>
      <c r="T135" s="372">
        <v>1000</v>
      </c>
      <c r="U135" s="372">
        <f t="shared" si="113"/>
        <v>1</v>
      </c>
      <c r="V135" s="505">
        <f t="shared" si="114"/>
        <v>0</v>
      </c>
      <c r="W135" s="505">
        <f t="shared" si="115"/>
        <v>0</v>
      </c>
      <c r="X135" s="505">
        <f t="shared" si="116"/>
        <v>1</v>
      </c>
      <c r="AE135" s="373" t="s">
        <v>1003</v>
      </c>
      <c r="AF135" s="504">
        <v>82763000</v>
      </c>
      <c r="AG135" s="504">
        <v>21639888</v>
      </c>
      <c r="AH135" s="504">
        <v>81409552</v>
      </c>
      <c r="AI135" s="504">
        <v>1353448</v>
      </c>
      <c r="AJ135" s="504">
        <f t="shared" si="117"/>
        <v>82763</v>
      </c>
      <c r="AK135" s="504">
        <f t="shared" si="118"/>
        <v>21639.887999999999</v>
      </c>
      <c r="AL135" s="504">
        <f t="shared" si="119"/>
        <v>81409.551999999996</v>
      </c>
      <c r="AM135" s="504">
        <f t="shared" si="120"/>
        <v>1353.4480000000001</v>
      </c>
      <c r="AT135" s="371" t="s">
        <v>1070</v>
      </c>
      <c r="AU135" s="372">
        <v>270000000</v>
      </c>
      <c r="AV135" s="372">
        <v>0</v>
      </c>
      <c r="AW135" s="372">
        <v>0</v>
      </c>
      <c r="AX135" s="372">
        <v>270000000</v>
      </c>
      <c r="AY135" s="504">
        <f t="shared" si="121"/>
        <v>270000</v>
      </c>
      <c r="AZ135" s="504">
        <f t="shared" si="122"/>
        <v>0</v>
      </c>
      <c r="BA135" s="504">
        <f t="shared" si="123"/>
        <v>0</v>
      </c>
      <c r="BB135" s="504">
        <f t="shared" si="124"/>
        <v>270000</v>
      </c>
      <c r="BH135" s="782" t="s">
        <v>1003</v>
      </c>
      <c r="BI135" s="644">
        <v>82763000</v>
      </c>
      <c r="BJ135" s="644">
        <v>36211928</v>
      </c>
      <c r="BK135" s="644">
        <v>81555000</v>
      </c>
      <c r="BL135" s="644">
        <v>1208000</v>
      </c>
      <c r="BM135" s="548">
        <f t="shared" si="125"/>
        <v>82763</v>
      </c>
      <c r="BN135" s="548">
        <f t="shared" si="126"/>
        <v>36211.928</v>
      </c>
      <c r="BO135" s="548">
        <f t="shared" si="127"/>
        <v>81555</v>
      </c>
      <c r="BP135" s="650">
        <f t="shared" si="128"/>
        <v>1208</v>
      </c>
      <c r="BW135" s="597" t="s">
        <v>904</v>
      </c>
      <c r="BX135" s="597">
        <v>400000000</v>
      </c>
      <c r="BY135" s="597">
        <v>0</v>
      </c>
      <c r="BZ135" s="597">
        <v>400000000</v>
      </c>
      <c r="CA135" s="597">
        <v>0</v>
      </c>
      <c r="CB135" s="597">
        <f t="shared" si="129"/>
        <v>400000</v>
      </c>
      <c r="CC135" s="597">
        <f t="shared" si="130"/>
        <v>0</v>
      </c>
      <c r="CD135" s="597">
        <f t="shared" si="131"/>
        <v>400000</v>
      </c>
      <c r="CE135" s="597">
        <f t="shared" si="132"/>
        <v>0</v>
      </c>
      <c r="CK135" s="371" t="s">
        <v>396</v>
      </c>
      <c r="CL135" s="372">
        <v>595010000</v>
      </c>
      <c r="CM135" s="372">
        <v>0</v>
      </c>
      <c r="CN135" s="372">
        <v>195000000</v>
      </c>
      <c r="CO135" s="372">
        <v>400010000</v>
      </c>
      <c r="CP135" s="597">
        <f t="shared" si="133"/>
        <v>595010</v>
      </c>
      <c r="CQ135" s="597">
        <f t="shared" si="134"/>
        <v>0</v>
      </c>
      <c r="CR135" s="597">
        <f t="shared" si="135"/>
        <v>195000</v>
      </c>
      <c r="CS135" s="597">
        <f t="shared" si="136"/>
        <v>400010</v>
      </c>
      <c r="CU135" s="548"/>
      <c r="CZ135" s="1059" t="s">
        <v>395</v>
      </c>
      <c r="DA135" s="1060">
        <v>1379773000</v>
      </c>
      <c r="DB135" s="1060">
        <v>281981926</v>
      </c>
      <c r="DC135" s="1060">
        <v>978997778</v>
      </c>
      <c r="DD135" s="1060">
        <v>400775222</v>
      </c>
      <c r="DE135" s="1060">
        <f t="shared" si="137"/>
        <v>1379773</v>
      </c>
      <c r="DF135" s="1060">
        <f t="shared" si="138"/>
        <v>281981.92599999998</v>
      </c>
      <c r="DG135" s="1060">
        <f t="shared" si="139"/>
        <v>978997.77800000005</v>
      </c>
      <c r="DH135" s="1060">
        <f t="shared" si="140"/>
        <v>400775.22200000001</v>
      </c>
    </row>
    <row r="136" spans="1:112" x14ac:dyDescent="0.25">
      <c r="A136" s="504" t="s">
        <v>577</v>
      </c>
      <c r="B136" s="504">
        <v>227178000</v>
      </c>
      <c r="C136" s="504">
        <v>0</v>
      </c>
      <c r="D136" s="504">
        <v>25191001</v>
      </c>
      <c r="E136" s="504">
        <v>201986999</v>
      </c>
      <c r="F136" s="504">
        <f t="shared" si="109"/>
        <v>227178</v>
      </c>
      <c r="G136" s="504">
        <f t="shared" si="110"/>
        <v>0</v>
      </c>
      <c r="H136" s="504">
        <f t="shared" si="111"/>
        <v>25191.001</v>
      </c>
      <c r="I136" s="504">
        <f t="shared" si="112"/>
        <v>201986.99900000001</v>
      </c>
      <c r="P136" s="371" t="s">
        <v>849</v>
      </c>
      <c r="Q136" s="372">
        <v>1000</v>
      </c>
      <c r="R136" s="372">
        <v>0</v>
      </c>
      <c r="S136" s="372">
        <v>0</v>
      </c>
      <c r="T136" s="372">
        <v>1000</v>
      </c>
      <c r="U136" s="372">
        <f t="shared" si="113"/>
        <v>1</v>
      </c>
      <c r="V136" s="505">
        <f t="shared" si="114"/>
        <v>0</v>
      </c>
      <c r="W136" s="505">
        <f t="shared" si="115"/>
        <v>0</v>
      </c>
      <c r="X136" s="505">
        <f t="shared" si="116"/>
        <v>1</v>
      </c>
      <c r="AE136" s="373" t="s">
        <v>1004</v>
      </c>
      <c r="AF136" s="504">
        <v>82763000</v>
      </c>
      <c r="AG136" s="504">
        <v>21639888</v>
      </c>
      <c r="AH136" s="504">
        <v>81409552</v>
      </c>
      <c r="AI136" s="504">
        <v>1353448</v>
      </c>
      <c r="AJ136" s="504">
        <f t="shared" si="117"/>
        <v>82763</v>
      </c>
      <c r="AK136" s="504">
        <f t="shared" si="118"/>
        <v>21639.887999999999</v>
      </c>
      <c r="AL136" s="504">
        <f t="shared" si="119"/>
        <v>81409.551999999996</v>
      </c>
      <c r="AM136" s="504">
        <f t="shared" si="120"/>
        <v>1353.4480000000001</v>
      </c>
      <c r="AT136" s="371" t="s">
        <v>1003</v>
      </c>
      <c r="AU136" s="372">
        <v>82763000</v>
      </c>
      <c r="AV136" s="372">
        <v>28890465</v>
      </c>
      <c r="AW136" s="372">
        <v>81446833</v>
      </c>
      <c r="AX136" s="372">
        <v>1316167</v>
      </c>
      <c r="AY136" s="504">
        <f t="shared" si="121"/>
        <v>82763</v>
      </c>
      <c r="AZ136" s="504">
        <f t="shared" si="122"/>
        <v>28890.465</v>
      </c>
      <c r="BA136" s="504">
        <f t="shared" si="123"/>
        <v>81446.832999999999</v>
      </c>
      <c r="BB136" s="504">
        <f t="shared" si="124"/>
        <v>1316.1669999999999</v>
      </c>
      <c r="BH136" s="782" t="s">
        <v>1004</v>
      </c>
      <c r="BI136" s="644">
        <v>82763000</v>
      </c>
      <c r="BJ136" s="644">
        <v>36211928</v>
      </c>
      <c r="BK136" s="644">
        <v>81555000</v>
      </c>
      <c r="BL136" s="644">
        <v>1208000</v>
      </c>
      <c r="BM136" s="548">
        <f t="shared" si="125"/>
        <v>82763</v>
      </c>
      <c r="BN136" s="548">
        <f t="shared" si="126"/>
        <v>36211.928</v>
      </c>
      <c r="BO136" s="548">
        <f t="shared" si="127"/>
        <v>81555</v>
      </c>
      <c r="BP136" s="650">
        <f t="shared" si="128"/>
        <v>1208</v>
      </c>
      <c r="BW136" s="597" t="s">
        <v>1113</v>
      </c>
      <c r="BX136" s="597">
        <v>195000000</v>
      </c>
      <c r="BY136" s="597">
        <v>0</v>
      </c>
      <c r="BZ136" s="597">
        <v>195000000</v>
      </c>
      <c r="CA136" s="597">
        <v>0</v>
      </c>
      <c r="CB136" s="597">
        <f t="shared" si="129"/>
        <v>195000</v>
      </c>
      <c r="CC136" s="597">
        <f t="shared" si="130"/>
        <v>0</v>
      </c>
      <c r="CD136" s="597">
        <f t="shared" si="131"/>
        <v>195000</v>
      </c>
      <c r="CE136" s="597">
        <f t="shared" si="132"/>
        <v>0</v>
      </c>
      <c r="CK136" s="371" t="s">
        <v>574</v>
      </c>
      <c r="CL136" s="372">
        <v>10000</v>
      </c>
      <c r="CM136" s="372">
        <v>0</v>
      </c>
      <c r="CN136" s="372">
        <v>0</v>
      </c>
      <c r="CO136" s="372">
        <v>10000</v>
      </c>
      <c r="CP136" s="597">
        <f t="shared" si="133"/>
        <v>10</v>
      </c>
      <c r="CQ136" s="597">
        <f t="shared" si="134"/>
        <v>0</v>
      </c>
      <c r="CR136" s="597">
        <f t="shared" si="135"/>
        <v>0</v>
      </c>
      <c r="CS136" s="597">
        <f t="shared" si="136"/>
        <v>10</v>
      </c>
      <c r="CU136" s="548"/>
      <c r="CZ136" s="1059" t="s">
        <v>396</v>
      </c>
      <c r="DA136" s="1060">
        <v>595010000</v>
      </c>
      <c r="DB136" s="1060">
        <v>195000000</v>
      </c>
      <c r="DC136" s="1060">
        <v>195000000</v>
      </c>
      <c r="DD136" s="1060">
        <v>400010000</v>
      </c>
      <c r="DE136" s="1060">
        <f t="shared" si="137"/>
        <v>595010</v>
      </c>
      <c r="DF136" s="1060">
        <f t="shared" si="138"/>
        <v>195000</v>
      </c>
      <c r="DG136" s="1060">
        <f t="shared" si="139"/>
        <v>195000</v>
      </c>
      <c r="DH136" s="1060">
        <f t="shared" si="140"/>
        <v>400010</v>
      </c>
    </row>
    <row r="137" spans="1:112" x14ac:dyDescent="0.25">
      <c r="A137" s="504" t="s">
        <v>768</v>
      </c>
      <c r="B137" s="504">
        <v>26050000</v>
      </c>
      <c r="C137" s="504">
        <v>0</v>
      </c>
      <c r="D137" s="504">
        <v>25191001</v>
      </c>
      <c r="E137" s="504">
        <v>858999</v>
      </c>
      <c r="F137" s="504">
        <f t="shared" si="109"/>
        <v>26050</v>
      </c>
      <c r="G137" s="504">
        <f t="shared" si="110"/>
        <v>0</v>
      </c>
      <c r="H137" s="504">
        <f t="shared" si="111"/>
        <v>25191.001</v>
      </c>
      <c r="I137" s="504">
        <f t="shared" si="112"/>
        <v>858.99900000000002</v>
      </c>
      <c r="P137" s="371" t="s">
        <v>850</v>
      </c>
      <c r="Q137" s="372">
        <v>1000</v>
      </c>
      <c r="R137" s="372">
        <v>0</v>
      </c>
      <c r="S137" s="372">
        <v>0</v>
      </c>
      <c r="T137" s="372">
        <v>1000</v>
      </c>
      <c r="U137" s="372">
        <f t="shared" si="113"/>
        <v>1</v>
      </c>
      <c r="V137" s="505">
        <f t="shared" si="114"/>
        <v>0</v>
      </c>
      <c r="W137" s="505">
        <f t="shared" si="115"/>
        <v>0</v>
      </c>
      <c r="X137" s="505">
        <f t="shared" si="116"/>
        <v>1</v>
      </c>
      <c r="AE137" s="373" t="s">
        <v>594</v>
      </c>
      <c r="AF137" s="504">
        <v>178378000</v>
      </c>
      <c r="AG137" s="504">
        <v>56827653</v>
      </c>
      <c r="AH137" s="504">
        <v>56827654</v>
      </c>
      <c r="AI137" s="504">
        <v>121550346</v>
      </c>
      <c r="AJ137" s="504">
        <f t="shared" si="117"/>
        <v>178378</v>
      </c>
      <c r="AK137" s="504">
        <f t="shared" si="118"/>
        <v>56827.652999999998</v>
      </c>
      <c r="AL137" s="504">
        <f t="shared" si="119"/>
        <v>56827.654000000002</v>
      </c>
      <c r="AM137" s="504">
        <f t="shared" si="120"/>
        <v>121550.34600000001</v>
      </c>
      <c r="AT137" s="371" t="s">
        <v>1004</v>
      </c>
      <c r="AU137" s="372">
        <v>82763000</v>
      </c>
      <c r="AV137" s="372">
        <v>28890465</v>
      </c>
      <c r="AW137" s="372">
        <v>81446833</v>
      </c>
      <c r="AX137" s="372">
        <v>1316167</v>
      </c>
      <c r="AY137" s="504">
        <f t="shared" si="121"/>
        <v>82763</v>
      </c>
      <c r="AZ137" s="504">
        <f t="shared" si="122"/>
        <v>28890.465</v>
      </c>
      <c r="BA137" s="504">
        <f t="shared" si="123"/>
        <v>81446.832999999999</v>
      </c>
      <c r="BB137" s="504">
        <f t="shared" si="124"/>
        <v>1316.1669999999999</v>
      </c>
      <c r="BH137" s="782" t="s">
        <v>594</v>
      </c>
      <c r="BI137" s="644">
        <v>178378000</v>
      </c>
      <c r="BJ137" s="644">
        <v>143999857</v>
      </c>
      <c r="BK137" s="644">
        <v>143999858</v>
      </c>
      <c r="BL137" s="644">
        <v>34378142</v>
      </c>
      <c r="BM137" s="548">
        <f t="shared" si="125"/>
        <v>178378</v>
      </c>
      <c r="BN137" s="548">
        <f t="shared" si="126"/>
        <v>143999.85699999999</v>
      </c>
      <c r="BO137" s="548">
        <f t="shared" si="127"/>
        <v>143999.85800000001</v>
      </c>
      <c r="BP137" s="650">
        <f t="shared" si="128"/>
        <v>34378.142</v>
      </c>
      <c r="BW137" s="597" t="s">
        <v>470</v>
      </c>
      <c r="BX137" s="597">
        <v>702000000</v>
      </c>
      <c r="BY137" s="597">
        <v>270000000</v>
      </c>
      <c r="BZ137" s="597">
        <v>432000000</v>
      </c>
      <c r="CA137" s="597">
        <v>0</v>
      </c>
      <c r="CB137" s="597">
        <f t="shared" si="129"/>
        <v>702000</v>
      </c>
      <c r="CC137" s="597">
        <f t="shared" si="130"/>
        <v>270000</v>
      </c>
      <c r="CD137" s="597">
        <f t="shared" si="131"/>
        <v>432000</v>
      </c>
      <c r="CE137" s="597">
        <f t="shared" si="132"/>
        <v>0</v>
      </c>
      <c r="CK137" s="371" t="s">
        <v>904</v>
      </c>
      <c r="CL137" s="372">
        <v>400000000</v>
      </c>
      <c r="CM137" s="372">
        <v>0</v>
      </c>
      <c r="CN137" s="372">
        <v>0</v>
      </c>
      <c r="CO137" s="372">
        <v>400000000</v>
      </c>
      <c r="CP137" s="597">
        <f t="shared" si="133"/>
        <v>400000</v>
      </c>
      <c r="CQ137" s="597">
        <f t="shared" si="134"/>
        <v>0</v>
      </c>
      <c r="CR137" s="597">
        <f t="shared" si="135"/>
        <v>0</v>
      </c>
      <c r="CS137" s="597">
        <f t="shared" si="136"/>
        <v>400000</v>
      </c>
      <c r="CU137" s="548"/>
      <c r="CZ137" s="1059" t="s">
        <v>574</v>
      </c>
      <c r="DA137" s="1060">
        <v>10000</v>
      </c>
      <c r="DB137" s="1060">
        <v>0</v>
      </c>
      <c r="DC137" s="1060">
        <v>0</v>
      </c>
      <c r="DD137" s="1060">
        <v>10000</v>
      </c>
      <c r="DE137" s="1060">
        <f t="shared" si="137"/>
        <v>10</v>
      </c>
      <c r="DF137" s="1060">
        <f t="shared" si="138"/>
        <v>0</v>
      </c>
      <c r="DG137" s="1060">
        <f t="shared" si="139"/>
        <v>0</v>
      </c>
      <c r="DH137" s="1060">
        <f t="shared" si="140"/>
        <v>10</v>
      </c>
    </row>
    <row r="138" spans="1:112" x14ac:dyDescent="0.25">
      <c r="A138" s="504" t="s">
        <v>398</v>
      </c>
      <c r="B138" s="504">
        <v>201128000</v>
      </c>
      <c r="C138" s="504">
        <v>0</v>
      </c>
      <c r="D138" s="504">
        <v>0</v>
      </c>
      <c r="E138" s="504">
        <v>201128000</v>
      </c>
      <c r="F138" s="504">
        <f t="shared" si="109"/>
        <v>201128</v>
      </c>
      <c r="G138" s="504">
        <f t="shared" si="110"/>
        <v>0</v>
      </c>
      <c r="H138" s="504">
        <f t="shared" si="111"/>
        <v>0</v>
      </c>
      <c r="I138" s="504">
        <f t="shared" si="112"/>
        <v>201128</v>
      </c>
      <c r="P138" s="371" t="s">
        <v>851</v>
      </c>
      <c r="Q138" s="372">
        <v>1000</v>
      </c>
      <c r="R138" s="372">
        <v>0</v>
      </c>
      <c r="S138" s="372">
        <v>0</v>
      </c>
      <c r="T138" s="372">
        <v>1000</v>
      </c>
      <c r="U138" s="372">
        <f t="shared" si="113"/>
        <v>1</v>
      </c>
      <c r="V138" s="505">
        <f t="shared" si="114"/>
        <v>0</v>
      </c>
      <c r="W138" s="505">
        <f t="shared" si="115"/>
        <v>0</v>
      </c>
      <c r="X138" s="505">
        <f t="shared" si="116"/>
        <v>1</v>
      </c>
      <c r="AE138" s="373" t="s">
        <v>595</v>
      </c>
      <c r="AF138" s="504">
        <v>178378000</v>
      </c>
      <c r="AG138" s="504">
        <v>56827653</v>
      </c>
      <c r="AH138" s="504">
        <v>56827654</v>
      </c>
      <c r="AI138" s="504">
        <v>121550346</v>
      </c>
      <c r="AJ138" s="504">
        <f t="shared" si="117"/>
        <v>178378</v>
      </c>
      <c r="AK138" s="504">
        <f t="shared" si="118"/>
        <v>56827.652999999998</v>
      </c>
      <c r="AL138" s="504">
        <f t="shared" si="119"/>
        <v>56827.654000000002</v>
      </c>
      <c r="AM138" s="504">
        <f t="shared" si="120"/>
        <v>121550.34600000001</v>
      </c>
      <c r="AT138" s="371" t="s">
        <v>594</v>
      </c>
      <c r="AU138" s="372">
        <v>178378000</v>
      </c>
      <c r="AV138" s="372">
        <v>121436203</v>
      </c>
      <c r="AW138" s="372">
        <v>121436204</v>
      </c>
      <c r="AX138" s="372">
        <v>56941796</v>
      </c>
      <c r="AY138" s="504">
        <f t="shared" si="121"/>
        <v>178378</v>
      </c>
      <c r="AZ138" s="504">
        <f t="shared" si="122"/>
        <v>121436.20299999999</v>
      </c>
      <c r="BA138" s="504">
        <f t="shared" si="123"/>
        <v>121436.204</v>
      </c>
      <c r="BB138" s="504">
        <f t="shared" si="124"/>
        <v>56941.796000000002</v>
      </c>
      <c r="BH138" s="782" t="s">
        <v>595</v>
      </c>
      <c r="BI138" s="644">
        <v>178378000</v>
      </c>
      <c r="BJ138" s="644">
        <v>143999857</v>
      </c>
      <c r="BK138" s="644">
        <v>143999858</v>
      </c>
      <c r="BL138" s="644">
        <v>34378142</v>
      </c>
      <c r="BM138" s="548">
        <f t="shared" si="125"/>
        <v>178378</v>
      </c>
      <c r="BN138" s="548">
        <f t="shared" si="126"/>
        <v>143999.85699999999</v>
      </c>
      <c r="BO138" s="548">
        <f t="shared" si="127"/>
        <v>143999.85800000001</v>
      </c>
      <c r="BP138" s="650">
        <f t="shared" si="128"/>
        <v>34378.142</v>
      </c>
      <c r="BW138" s="597" t="s">
        <v>905</v>
      </c>
      <c r="BX138" s="597">
        <v>432000000</v>
      </c>
      <c r="BY138" s="597">
        <v>0</v>
      </c>
      <c r="BZ138" s="597">
        <v>432000000</v>
      </c>
      <c r="CA138" s="597">
        <v>0</v>
      </c>
      <c r="CB138" s="597">
        <f t="shared" si="129"/>
        <v>432000</v>
      </c>
      <c r="CC138" s="597">
        <f t="shared" si="130"/>
        <v>0</v>
      </c>
      <c r="CD138" s="597">
        <f t="shared" si="131"/>
        <v>432000</v>
      </c>
      <c r="CE138" s="597">
        <f t="shared" si="132"/>
        <v>0</v>
      </c>
      <c r="CK138" s="371" t="s">
        <v>1113</v>
      </c>
      <c r="CL138" s="372">
        <v>195000000</v>
      </c>
      <c r="CM138" s="372">
        <v>0</v>
      </c>
      <c r="CN138" s="372">
        <v>195000000</v>
      </c>
      <c r="CO138" s="372">
        <v>0</v>
      </c>
      <c r="CP138" s="597">
        <f t="shared" si="133"/>
        <v>195000</v>
      </c>
      <c r="CQ138" s="597">
        <f t="shared" si="134"/>
        <v>0</v>
      </c>
      <c r="CR138" s="597">
        <f t="shared" si="135"/>
        <v>195000</v>
      </c>
      <c r="CS138" s="597">
        <f t="shared" si="136"/>
        <v>0</v>
      </c>
      <c r="CU138" s="548"/>
      <c r="CZ138" s="1059" t="s">
        <v>904</v>
      </c>
      <c r="DA138" s="1060">
        <v>400000000</v>
      </c>
      <c r="DB138" s="1060">
        <v>0</v>
      </c>
      <c r="DC138" s="1060">
        <v>0</v>
      </c>
      <c r="DD138" s="1060">
        <v>400000000</v>
      </c>
      <c r="DE138" s="1060">
        <f t="shared" si="137"/>
        <v>400000</v>
      </c>
      <c r="DF138" s="1060">
        <f t="shared" si="138"/>
        <v>0</v>
      </c>
      <c r="DG138" s="1060">
        <f t="shared" si="139"/>
        <v>0</v>
      </c>
      <c r="DH138" s="1060">
        <f t="shared" si="140"/>
        <v>400000</v>
      </c>
    </row>
    <row r="139" spans="1:112" x14ac:dyDescent="0.25">
      <c r="A139" s="504" t="s">
        <v>579</v>
      </c>
      <c r="B139" s="504">
        <v>201128000</v>
      </c>
      <c r="C139" s="504">
        <v>0</v>
      </c>
      <c r="D139" s="504">
        <v>0</v>
      </c>
      <c r="E139" s="504">
        <v>201128000</v>
      </c>
      <c r="F139" s="504">
        <f t="shared" si="109"/>
        <v>201128</v>
      </c>
      <c r="G139" s="504">
        <f t="shared" si="110"/>
        <v>0</v>
      </c>
      <c r="H139" s="504">
        <f t="shared" si="111"/>
        <v>0</v>
      </c>
      <c r="I139" s="504">
        <f t="shared" si="112"/>
        <v>201128</v>
      </c>
      <c r="P139" s="371" t="s">
        <v>577</v>
      </c>
      <c r="Q139" s="372">
        <v>227178000</v>
      </c>
      <c r="R139" s="372">
        <v>25191001</v>
      </c>
      <c r="S139" s="372">
        <v>25191001</v>
      </c>
      <c r="T139" s="372">
        <v>201986999</v>
      </c>
      <c r="U139" s="372">
        <f t="shared" si="113"/>
        <v>227178</v>
      </c>
      <c r="V139" s="505">
        <f t="shared" si="114"/>
        <v>25191.001</v>
      </c>
      <c r="W139" s="505">
        <f t="shared" si="115"/>
        <v>25191.001</v>
      </c>
      <c r="X139" s="505">
        <f t="shared" si="116"/>
        <v>201986.99900000001</v>
      </c>
      <c r="AE139" s="373" t="s">
        <v>844</v>
      </c>
      <c r="AF139" s="504">
        <v>178374000</v>
      </c>
      <c r="AG139" s="504">
        <v>56827653</v>
      </c>
      <c r="AH139" s="504">
        <v>56827654</v>
      </c>
      <c r="AI139" s="504">
        <v>121546346</v>
      </c>
      <c r="AJ139" s="504">
        <f t="shared" si="117"/>
        <v>178374</v>
      </c>
      <c r="AK139" s="504">
        <f t="shared" si="118"/>
        <v>56827.652999999998</v>
      </c>
      <c r="AL139" s="504">
        <f t="shared" si="119"/>
        <v>56827.654000000002</v>
      </c>
      <c r="AM139" s="504">
        <f t="shared" si="120"/>
        <v>121546.34600000001</v>
      </c>
      <c r="AT139" s="371" t="s">
        <v>595</v>
      </c>
      <c r="AU139" s="372">
        <v>178378000</v>
      </c>
      <c r="AV139" s="372">
        <v>121436203</v>
      </c>
      <c r="AW139" s="372">
        <v>121436204</v>
      </c>
      <c r="AX139" s="372">
        <v>56941796</v>
      </c>
      <c r="AY139" s="504">
        <f t="shared" si="121"/>
        <v>178378</v>
      </c>
      <c r="AZ139" s="504">
        <f t="shared" si="122"/>
        <v>121436.20299999999</v>
      </c>
      <c r="BA139" s="504">
        <f t="shared" si="123"/>
        <v>121436.204</v>
      </c>
      <c r="BB139" s="504">
        <f t="shared" si="124"/>
        <v>56941.796000000002</v>
      </c>
      <c r="BH139" s="782" t="s">
        <v>844</v>
      </c>
      <c r="BI139" s="644">
        <v>178374000</v>
      </c>
      <c r="BJ139" s="644">
        <v>143999857</v>
      </c>
      <c r="BK139" s="644">
        <v>143999858</v>
      </c>
      <c r="BL139" s="644">
        <v>34374142</v>
      </c>
      <c r="BM139" s="548">
        <f t="shared" si="125"/>
        <v>178374</v>
      </c>
      <c r="BN139" s="548">
        <f t="shared" si="126"/>
        <v>143999.85699999999</v>
      </c>
      <c r="BO139" s="548">
        <f t="shared" si="127"/>
        <v>143999.85800000001</v>
      </c>
      <c r="BP139" s="650">
        <f t="shared" si="128"/>
        <v>34374.142</v>
      </c>
      <c r="BW139" s="597" t="s">
        <v>1070</v>
      </c>
      <c r="BX139" s="597">
        <v>270000000</v>
      </c>
      <c r="BY139" s="597">
        <v>270000000</v>
      </c>
      <c r="BZ139" s="597">
        <v>0</v>
      </c>
      <c r="CA139" s="597">
        <v>0</v>
      </c>
      <c r="CB139" s="597">
        <f t="shared" si="129"/>
        <v>270000</v>
      </c>
      <c r="CC139" s="597">
        <f t="shared" si="130"/>
        <v>270000</v>
      </c>
      <c r="CD139" s="597">
        <f t="shared" si="131"/>
        <v>0</v>
      </c>
      <c r="CE139" s="597">
        <f t="shared" si="132"/>
        <v>0</v>
      </c>
      <c r="CK139" s="371" t="s">
        <v>470</v>
      </c>
      <c r="CL139" s="372">
        <v>702000000</v>
      </c>
      <c r="CM139" s="372">
        <v>0</v>
      </c>
      <c r="CN139" s="372">
        <v>270000000</v>
      </c>
      <c r="CO139" s="372">
        <v>432000000</v>
      </c>
      <c r="CP139" s="597">
        <f t="shared" si="133"/>
        <v>702000</v>
      </c>
      <c r="CQ139" s="597">
        <f t="shared" si="134"/>
        <v>0</v>
      </c>
      <c r="CR139" s="597">
        <f t="shared" si="135"/>
        <v>270000</v>
      </c>
      <c r="CS139" s="597">
        <f t="shared" si="136"/>
        <v>432000</v>
      </c>
      <c r="CU139" s="548"/>
      <c r="CZ139" s="1059" t="s">
        <v>1113</v>
      </c>
      <c r="DA139" s="1060">
        <v>195000000</v>
      </c>
      <c r="DB139" s="1060">
        <v>195000000</v>
      </c>
      <c r="DC139" s="1060">
        <v>195000000</v>
      </c>
      <c r="DD139" s="1060">
        <v>0</v>
      </c>
      <c r="DE139" s="1060">
        <f t="shared" si="137"/>
        <v>195000</v>
      </c>
      <c r="DF139" s="1060">
        <f t="shared" si="138"/>
        <v>195000</v>
      </c>
      <c r="DG139" s="1060">
        <f t="shared" si="139"/>
        <v>195000</v>
      </c>
      <c r="DH139" s="1060">
        <f t="shared" si="140"/>
        <v>0</v>
      </c>
    </row>
    <row r="140" spans="1:112" x14ac:dyDescent="0.25">
      <c r="A140" s="504" t="s">
        <v>399</v>
      </c>
      <c r="B140" s="504">
        <v>16451809100</v>
      </c>
      <c r="C140" s="504">
        <v>2705198244</v>
      </c>
      <c r="D140" s="504">
        <v>2705198244</v>
      </c>
      <c r="E140" s="504">
        <v>13746610856</v>
      </c>
      <c r="F140" s="504">
        <f t="shared" si="109"/>
        <v>16451809.1</v>
      </c>
      <c r="G140" s="504">
        <f t="shared" si="110"/>
        <v>2705198.2439999999</v>
      </c>
      <c r="H140" s="504">
        <f t="shared" si="111"/>
        <v>2705198.2439999999</v>
      </c>
      <c r="I140" s="504">
        <f t="shared" si="112"/>
        <v>13746610.856000001</v>
      </c>
      <c r="P140" s="371" t="s">
        <v>768</v>
      </c>
      <c r="Q140" s="372">
        <v>26050000</v>
      </c>
      <c r="R140" s="372">
        <v>25191001</v>
      </c>
      <c r="S140" s="372">
        <v>25191001</v>
      </c>
      <c r="T140" s="372">
        <v>858999</v>
      </c>
      <c r="U140" s="372">
        <f t="shared" si="113"/>
        <v>26050</v>
      </c>
      <c r="V140" s="505">
        <f t="shared" si="114"/>
        <v>25191.001</v>
      </c>
      <c r="W140" s="505">
        <f t="shared" si="115"/>
        <v>25191.001</v>
      </c>
      <c r="X140" s="505">
        <f t="shared" si="116"/>
        <v>858.99900000000002</v>
      </c>
      <c r="AE140" s="373" t="s">
        <v>974</v>
      </c>
      <c r="AF140" s="504">
        <v>1000</v>
      </c>
      <c r="AG140" s="504">
        <v>0</v>
      </c>
      <c r="AH140" s="504">
        <v>0</v>
      </c>
      <c r="AI140" s="504">
        <v>1000</v>
      </c>
      <c r="AJ140" s="504">
        <f t="shared" si="117"/>
        <v>1</v>
      </c>
      <c r="AK140" s="504">
        <f t="shared" si="118"/>
        <v>0</v>
      </c>
      <c r="AL140" s="504">
        <f t="shared" si="119"/>
        <v>0</v>
      </c>
      <c r="AM140" s="504">
        <f t="shared" si="120"/>
        <v>1</v>
      </c>
      <c r="AT140" s="371" t="s">
        <v>844</v>
      </c>
      <c r="AU140" s="372">
        <v>178374000</v>
      </c>
      <c r="AV140" s="372">
        <v>121436203</v>
      </c>
      <c r="AW140" s="372">
        <v>121436204</v>
      </c>
      <c r="AX140" s="372">
        <v>56937796</v>
      </c>
      <c r="AY140" s="504">
        <f t="shared" si="121"/>
        <v>178374</v>
      </c>
      <c r="AZ140" s="504">
        <f t="shared" si="122"/>
        <v>121436.20299999999</v>
      </c>
      <c r="BA140" s="504">
        <f t="shared" si="123"/>
        <v>121436.204</v>
      </c>
      <c r="BB140" s="504">
        <f t="shared" si="124"/>
        <v>56937.796000000002</v>
      </c>
      <c r="BH140" s="782" t="s">
        <v>974</v>
      </c>
      <c r="BI140" s="644">
        <v>1000</v>
      </c>
      <c r="BJ140" s="644">
        <v>0</v>
      </c>
      <c r="BK140" s="644">
        <v>0</v>
      </c>
      <c r="BL140" s="644">
        <v>1000</v>
      </c>
      <c r="BM140" s="548">
        <f t="shared" si="125"/>
        <v>1</v>
      </c>
      <c r="BN140" s="548">
        <f t="shared" si="126"/>
        <v>0</v>
      </c>
      <c r="BO140" s="548">
        <f t="shared" si="127"/>
        <v>0</v>
      </c>
      <c r="BP140" s="650">
        <f t="shared" si="128"/>
        <v>1</v>
      </c>
      <c r="BW140" s="597" t="s">
        <v>1003</v>
      </c>
      <c r="BX140" s="597">
        <v>82763000</v>
      </c>
      <c r="BY140" s="597">
        <v>81555000</v>
      </c>
      <c r="BZ140" s="597">
        <v>1208000</v>
      </c>
      <c r="CA140" s="597">
        <v>43425224</v>
      </c>
      <c r="CB140" s="597">
        <f t="shared" si="129"/>
        <v>82763</v>
      </c>
      <c r="CC140" s="597">
        <f t="shared" si="130"/>
        <v>81555</v>
      </c>
      <c r="CD140" s="597">
        <f t="shared" si="131"/>
        <v>1208</v>
      </c>
      <c r="CE140" s="597">
        <f t="shared" si="132"/>
        <v>43425.224000000002</v>
      </c>
      <c r="CK140" s="371" t="s">
        <v>905</v>
      </c>
      <c r="CL140" s="372">
        <v>432000000</v>
      </c>
      <c r="CM140" s="372">
        <v>0</v>
      </c>
      <c r="CN140" s="372">
        <v>0</v>
      </c>
      <c r="CO140" s="372">
        <v>432000000</v>
      </c>
      <c r="CP140" s="597">
        <f t="shared" si="133"/>
        <v>432000</v>
      </c>
      <c r="CQ140" s="597">
        <f t="shared" si="134"/>
        <v>0</v>
      </c>
      <c r="CR140" s="597">
        <f t="shared" si="135"/>
        <v>0</v>
      </c>
      <c r="CS140" s="597">
        <f t="shared" si="136"/>
        <v>432000</v>
      </c>
      <c r="CU140" s="548"/>
      <c r="CZ140" s="1059" t="s">
        <v>470</v>
      </c>
      <c r="DA140" s="1060">
        <v>702000000</v>
      </c>
      <c r="DB140" s="1060">
        <v>29100000</v>
      </c>
      <c r="DC140" s="1060">
        <v>702000000</v>
      </c>
      <c r="DD140" s="1060">
        <v>0</v>
      </c>
      <c r="DE140" s="1060">
        <f t="shared" si="137"/>
        <v>702000</v>
      </c>
      <c r="DF140" s="1060">
        <f t="shared" si="138"/>
        <v>29100</v>
      </c>
      <c r="DG140" s="1060">
        <f t="shared" si="139"/>
        <v>702000</v>
      </c>
      <c r="DH140" s="1060">
        <f t="shared" si="140"/>
        <v>0</v>
      </c>
    </row>
    <row r="141" spans="1:112" x14ac:dyDescent="0.25">
      <c r="A141" s="504" t="s">
        <v>400</v>
      </c>
      <c r="B141" s="504">
        <v>13716466000</v>
      </c>
      <c r="C141" s="504">
        <v>0</v>
      </c>
      <c r="D141" s="504">
        <v>0</v>
      </c>
      <c r="E141" s="504">
        <v>13716466000</v>
      </c>
      <c r="F141" s="504">
        <f t="shared" si="109"/>
        <v>13716466</v>
      </c>
      <c r="G141" s="504">
        <f t="shared" si="110"/>
        <v>0</v>
      </c>
      <c r="H141" s="504">
        <f t="shared" si="111"/>
        <v>0</v>
      </c>
      <c r="I141" s="504">
        <f t="shared" si="112"/>
        <v>13716466</v>
      </c>
      <c r="P141" s="371" t="s">
        <v>398</v>
      </c>
      <c r="Q141" s="372">
        <v>201128000</v>
      </c>
      <c r="R141" s="372">
        <v>0</v>
      </c>
      <c r="S141" s="372">
        <v>0</v>
      </c>
      <c r="T141" s="372">
        <v>201128000</v>
      </c>
      <c r="U141" s="372">
        <f t="shared" si="113"/>
        <v>201128</v>
      </c>
      <c r="V141" s="505">
        <f t="shared" si="114"/>
        <v>0</v>
      </c>
      <c r="W141" s="505">
        <f t="shared" si="115"/>
        <v>0</v>
      </c>
      <c r="X141" s="505">
        <f t="shared" si="116"/>
        <v>201128</v>
      </c>
      <c r="AE141" s="373" t="s">
        <v>849</v>
      </c>
      <c r="AF141" s="504">
        <v>1000</v>
      </c>
      <c r="AG141" s="504">
        <v>0</v>
      </c>
      <c r="AH141" s="504">
        <v>0</v>
      </c>
      <c r="AI141" s="504">
        <v>1000</v>
      </c>
      <c r="AJ141" s="504">
        <f t="shared" si="117"/>
        <v>1</v>
      </c>
      <c r="AK141" s="504">
        <f t="shared" si="118"/>
        <v>0</v>
      </c>
      <c r="AL141" s="504">
        <f t="shared" si="119"/>
        <v>0</v>
      </c>
      <c r="AM141" s="504">
        <f t="shared" si="120"/>
        <v>1</v>
      </c>
      <c r="AT141" s="371" t="s">
        <v>974</v>
      </c>
      <c r="AU141" s="372">
        <v>1000</v>
      </c>
      <c r="AV141" s="372">
        <v>0</v>
      </c>
      <c r="AW141" s="372">
        <v>0</v>
      </c>
      <c r="AX141" s="372">
        <v>1000</v>
      </c>
      <c r="AY141" s="504">
        <f t="shared" si="121"/>
        <v>1</v>
      </c>
      <c r="AZ141" s="504">
        <f t="shared" si="122"/>
        <v>0</v>
      </c>
      <c r="BA141" s="504">
        <f t="shared" si="123"/>
        <v>0</v>
      </c>
      <c r="BB141" s="504">
        <f t="shared" si="124"/>
        <v>1</v>
      </c>
      <c r="BH141" s="782" t="s">
        <v>849</v>
      </c>
      <c r="BI141" s="644">
        <v>1000</v>
      </c>
      <c r="BJ141" s="644">
        <v>0</v>
      </c>
      <c r="BK141" s="644">
        <v>0</v>
      </c>
      <c r="BL141" s="644">
        <v>1000</v>
      </c>
      <c r="BM141" s="548">
        <f t="shared" si="125"/>
        <v>1</v>
      </c>
      <c r="BN141" s="548">
        <f t="shared" si="126"/>
        <v>0</v>
      </c>
      <c r="BO141" s="548">
        <f t="shared" si="127"/>
        <v>0</v>
      </c>
      <c r="BP141" s="650">
        <f t="shared" si="128"/>
        <v>1</v>
      </c>
      <c r="BW141" s="597" t="s">
        <v>1004</v>
      </c>
      <c r="BX141" s="597">
        <v>82763000</v>
      </c>
      <c r="BY141" s="597">
        <v>81555000</v>
      </c>
      <c r="BZ141" s="597">
        <v>1208000</v>
      </c>
      <c r="CA141" s="597">
        <v>43425224</v>
      </c>
      <c r="CB141" s="597">
        <f t="shared" si="129"/>
        <v>82763</v>
      </c>
      <c r="CC141" s="597">
        <f t="shared" si="130"/>
        <v>81555</v>
      </c>
      <c r="CD141" s="597">
        <f t="shared" si="131"/>
        <v>1208</v>
      </c>
      <c r="CE141" s="597">
        <f t="shared" si="132"/>
        <v>43425.224000000002</v>
      </c>
      <c r="CK141" s="371" t="s">
        <v>1070</v>
      </c>
      <c r="CL141" s="372">
        <v>270000000</v>
      </c>
      <c r="CM141" s="372">
        <v>0</v>
      </c>
      <c r="CN141" s="372">
        <v>270000000</v>
      </c>
      <c r="CO141" s="372">
        <v>0</v>
      </c>
      <c r="CP141" s="597">
        <f t="shared" si="133"/>
        <v>270000</v>
      </c>
      <c r="CQ141" s="597">
        <f t="shared" si="134"/>
        <v>0</v>
      </c>
      <c r="CR141" s="597">
        <f t="shared" si="135"/>
        <v>270000</v>
      </c>
      <c r="CS141" s="597">
        <f t="shared" si="136"/>
        <v>0</v>
      </c>
      <c r="CU141" s="548"/>
      <c r="CZ141" s="1059" t="s">
        <v>905</v>
      </c>
      <c r="DA141" s="1060">
        <v>432000000</v>
      </c>
      <c r="DB141" s="1060">
        <v>29100000</v>
      </c>
      <c r="DC141" s="1060">
        <v>432000000</v>
      </c>
      <c r="DD141" s="1060">
        <v>0</v>
      </c>
      <c r="DE141" s="1060">
        <f t="shared" si="137"/>
        <v>432000</v>
      </c>
      <c r="DF141" s="1060">
        <f t="shared" si="138"/>
        <v>29100</v>
      </c>
      <c r="DG141" s="1060">
        <f t="shared" si="139"/>
        <v>432000</v>
      </c>
      <c r="DH141" s="1060">
        <f t="shared" si="140"/>
        <v>0</v>
      </c>
    </row>
    <row r="142" spans="1:112" x14ac:dyDescent="0.25">
      <c r="A142" s="504" t="s">
        <v>402</v>
      </c>
      <c r="B142" s="504">
        <v>2528207000</v>
      </c>
      <c r="C142" s="504">
        <v>1012265476</v>
      </c>
      <c r="D142" s="504">
        <v>1012265476</v>
      </c>
      <c r="E142" s="504">
        <v>1515941524</v>
      </c>
      <c r="F142" s="504">
        <f t="shared" si="109"/>
        <v>2528207</v>
      </c>
      <c r="G142" s="504">
        <f t="shared" si="110"/>
        <v>1012265.476</v>
      </c>
      <c r="H142" s="504">
        <f t="shared" si="111"/>
        <v>1012265.476</v>
      </c>
      <c r="I142" s="504">
        <f t="shared" si="112"/>
        <v>1515941.524</v>
      </c>
      <c r="P142" s="371" t="s">
        <v>579</v>
      </c>
      <c r="Q142" s="372">
        <v>201128000</v>
      </c>
      <c r="R142" s="372">
        <v>0</v>
      </c>
      <c r="S142" s="372">
        <v>0</v>
      </c>
      <c r="T142" s="372">
        <v>201128000</v>
      </c>
      <c r="U142" s="372">
        <f t="shared" si="113"/>
        <v>201128</v>
      </c>
      <c r="V142" s="505">
        <f t="shared" si="114"/>
        <v>0</v>
      </c>
      <c r="W142" s="505">
        <f t="shared" si="115"/>
        <v>0</v>
      </c>
      <c r="X142" s="505">
        <f t="shared" si="116"/>
        <v>201128</v>
      </c>
      <c r="AE142" s="373" t="s">
        <v>850</v>
      </c>
      <c r="AF142" s="504">
        <v>1000</v>
      </c>
      <c r="AG142" s="504">
        <v>0</v>
      </c>
      <c r="AH142" s="504">
        <v>0</v>
      </c>
      <c r="AI142" s="504">
        <v>1000</v>
      </c>
      <c r="AJ142" s="504">
        <f t="shared" si="117"/>
        <v>1</v>
      </c>
      <c r="AK142" s="504">
        <f t="shared" si="118"/>
        <v>0</v>
      </c>
      <c r="AL142" s="504">
        <f t="shared" si="119"/>
        <v>0</v>
      </c>
      <c r="AM142" s="504">
        <f t="shared" si="120"/>
        <v>1</v>
      </c>
      <c r="AT142" s="371" t="s">
        <v>849</v>
      </c>
      <c r="AU142" s="372">
        <v>1000</v>
      </c>
      <c r="AV142" s="372">
        <v>0</v>
      </c>
      <c r="AW142" s="372">
        <v>0</v>
      </c>
      <c r="AX142" s="372">
        <v>1000</v>
      </c>
      <c r="AY142" s="504">
        <f t="shared" si="121"/>
        <v>1</v>
      </c>
      <c r="AZ142" s="504">
        <f t="shared" si="122"/>
        <v>0</v>
      </c>
      <c r="BA142" s="504">
        <f t="shared" si="123"/>
        <v>0</v>
      </c>
      <c r="BB142" s="504">
        <f t="shared" si="124"/>
        <v>1</v>
      </c>
      <c r="BH142" s="782" t="s">
        <v>850</v>
      </c>
      <c r="BI142" s="644">
        <v>1000</v>
      </c>
      <c r="BJ142" s="644">
        <v>0</v>
      </c>
      <c r="BK142" s="644">
        <v>0</v>
      </c>
      <c r="BL142" s="644">
        <v>1000</v>
      </c>
      <c r="BM142" s="548">
        <f t="shared" si="125"/>
        <v>1</v>
      </c>
      <c r="BN142" s="548">
        <f t="shared" si="126"/>
        <v>0</v>
      </c>
      <c r="BO142" s="548">
        <f t="shared" si="127"/>
        <v>0</v>
      </c>
      <c r="BP142" s="650">
        <f t="shared" si="128"/>
        <v>1</v>
      </c>
      <c r="BW142" s="597" t="s">
        <v>594</v>
      </c>
      <c r="BX142" s="597">
        <v>178378000</v>
      </c>
      <c r="BY142" s="597">
        <v>180737716</v>
      </c>
      <c r="BZ142" s="597">
        <v>-2359716</v>
      </c>
      <c r="CA142" s="597">
        <v>180737715</v>
      </c>
      <c r="CB142" s="597">
        <f t="shared" si="129"/>
        <v>178378</v>
      </c>
      <c r="CC142" s="597">
        <f t="shared" si="130"/>
        <v>180737.71599999999</v>
      </c>
      <c r="CD142" s="597">
        <f t="shared" si="131"/>
        <v>-2359.7159999999999</v>
      </c>
      <c r="CE142" s="597">
        <f t="shared" si="132"/>
        <v>180737.715</v>
      </c>
      <c r="CK142" s="371" t="s">
        <v>1003</v>
      </c>
      <c r="CL142" s="372">
        <v>82763000</v>
      </c>
      <c r="CM142" s="372">
        <v>50638520</v>
      </c>
      <c r="CN142" s="372">
        <v>81555000</v>
      </c>
      <c r="CO142" s="372">
        <v>1208000</v>
      </c>
      <c r="CP142" s="597">
        <f t="shared" si="133"/>
        <v>82763</v>
      </c>
      <c r="CQ142" s="597">
        <f t="shared" si="134"/>
        <v>50638.52</v>
      </c>
      <c r="CR142" s="597">
        <f t="shared" si="135"/>
        <v>81555</v>
      </c>
      <c r="CS142" s="597">
        <f t="shared" si="136"/>
        <v>1208</v>
      </c>
      <c r="CU142" s="548"/>
      <c r="CZ142" s="1059" t="s">
        <v>1070</v>
      </c>
      <c r="DA142" s="1060">
        <v>270000000</v>
      </c>
      <c r="DB142" s="1060">
        <v>0</v>
      </c>
      <c r="DC142" s="1060">
        <v>270000000</v>
      </c>
      <c r="DD142" s="1060">
        <v>0</v>
      </c>
      <c r="DE142" s="1060">
        <f t="shared" si="137"/>
        <v>270000</v>
      </c>
      <c r="DF142" s="1060">
        <f t="shared" si="138"/>
        <v>0</v>
      </c>
      <c r="DG142" s="1060">
        <f t="shared" si="139"/>
        <v>270000</v>
      </c>
      <c r="DH142" s="1060">
        <f t="shared" si="140"/>
        <v>0</v>
      </c>
    </row>
    <row r="143" spans="1:112" x14ac:dyDescent="0.25">
      <c r="A143" s="504" t="s">
        <v>954</v>
      </c>
      <c r="B143" s="504">
        <v>207126000</v>
      </c>
      <c r="C143" s="504">
        <v>0</v>
      </c>
      <c r="D143" s="504">
        <v>0</v>
      </c>
      <c r="E143" s="504">
        <v>207126000</v>
      </c>
      <c r="F143" s="504">
        <f t="shared" si="109"/>
        <v>207126</v>
      </c>
      <c r="G143" s="504">
        <f t="shared" si="110"/>
        <v>0</v>
      </c>
      <c r="H143" s="504">
        <f t="shared" si="111"/>
        <v>0</v>
      </c>
      <c r="I143" s="504">
        <f t="shared" si="112"/>
        <v>207126</v>
      </c>
      <c r="P143" s="371" t="s">
        <v>399</v>
      </c>
      <c r="Q143" s="372">
        <v>16451809100</v>
      </c>
      <c r="R143" s="372">
        <v>5299026302</v>
      </c>
      <c r="S143" s="372">
        <v>5299026302</v>
      </c>
      <c r="T143" s="372">
        <v>11152782798</v>
      </c>
      <c r="U143" s="372">
        <f t="shared" si="113"/>
        <v>16451809.1</v>
      </c>
      <c r="V143" s="505">
        <f t="shared" si="114"/>
        <v>5299026.3020000001</v>
      </c>
      <c r="W143" s="505">
        <f t="shared" si="115"/>
        <v>5299026.3020000001</v>
      </c>
      <c r="X143" s="505">
        <f t="shared" si="116"/>
        <v>11152782.798</v>
      </c>
      <c r="AE143" s="373" t="s">
        <v>851</v>
      </c>
      <c r="AF143" s="504">
        <v>1000</v>
      </c>
      <c r="AG143" s="504">
        <v>0</v>
      </c>
      <c r="AH143" s="504">
        <v>0</v>
      </c>
      <c r="AI143" s="504">
        <v>1000</v>
      </c>
      <c r="AJ143" s="504">
        <f t="shared" si="117"/>
        <v>1</v>
      </c>
      <c r="AK143" s="504">
        <f t="shared" si="118"/>
        <v>0</v>
      </c>
      <c r="AL143" s="504">
        <f t="shared" si="119"/>
        <v>0</v>
      </c>
      <c r="AM143" s="504">
        <f t="shared" si="120"/>
        <v>1</v>
      </c>
      <c r="AT143" s="371" t="s">
        <v>850</v>
      </c>
      <c r="AU143" s="372">
        <v>1000</v>
      </c>
      <c r="AV143" s="372">
        <v>0</v>
      </c>
      <c r="AW143" s="372">
        <v>0</v>
      </c>
      <c r="AX143" s="372">
        <v>1000</v>
      </c>
      <c r="AY143" s="504">
        <f t="shared" si="121"/>
        <v>1</v>
      </c>
      <c r="AZ143" s="504">
        <f t="shared" si="122"/>
        <v>0</v>
      </c>
      <c r="BA143" s="504">
        <f t="shared" si="123"/>
        <v>0</v>
      </c>
      <c r="BB143" s="504">
        <f t="shared" si="124"/>
        <v>1</v>
      </c>
      <c r="BH143" s="782" t="s">
        <v>851</v>
      </c>
      <c r="BI143" s="644">
        <v>1000</v>
      </c>
      <c r="BJ143" s="644">
        <v>0</v>
      </c>
      <c r="BK143" s="644">
        <v>0</v>
      </c>
      <c r="BL143" s="644">
        <v>1000</v>
      </c>
      <c r="BM143" s="548">
        <f t="shared" si="125"/>
        <v>1</v>
      </c>
      <c r="BN143" s="548">
        <f t="shared" si="126"/>
        <v>0</v>
      </c>
      <c r="BO143" s="548">
        <f t="shared" si="127"/>
        <v>0</v>
      </c>
      <c r="BP143" s="650">
        <f t="shared" si="128"/>
        <v>1</v>
      </c>
      <c r="BW143" s="597" t="s">
        <v>595</v>
      </c>
      <c r="BX143" s="597">
        <v>178378000</v>
      </c>
      <c r="BY143" s="597">
        <v>180737716</v>
      </c>
      <c r="BZ143" s="597">
        <v>-2359716</v>
      </c>
      <c r="CA143" s="597">
        <v>180737715</v>
      </c>
      <c r="CB143" s="597">
        <f t="shared" si="129"/>
        <v>178378</v>
      </c>
      <c r="CC143" s="597">
        <f t="shared" si="130"/>
        <v>180737.71599999999</v>
      </c>
      <c r="CD143" s="597">
        <f t="shared" si="131"/>
        <v>-2359.7159999999999</v>
      </c>
      <c r="CE143" s="597">
        <f t="shared" si="132"/>
        <v>180737.715</v>
      </c>
      <c r="CK143" s="371" t="s">
        <v>1004</v>
      </c>
      <c r="CL143" s="372">
        <v>82763000</v>
      </c>
      <c r="CM143" s="372">
        <v>50638520</v>
      </c>
      <c r="CN143" s="372">
        <v>81555000</v>
      </c>
      <c r="CO143" s="372">
        <v>1208000</v>
      </c>
      <c r="CP143" s="597">
        <f t="shared" si="133"/>
        <v>82763</v>
      </c>
      <c r="CQ143" s="597">
        <f t="shared" si="134"/>
        <v>50638.52</v>
      </c>
      <c r="CR143" s="597">
        <f t="shared" si="135"/>
        <v>81555</v>
      </c>
      <c r="CS143" s="597">
        <f t="shared" si="136"/>
        <v>1208</v>
      </c>
      <c r="CU143" s="548"/>
      <c r="CZ143" s="1059" t="s">
        <v>1003</v>
      </c>
      <c r="DA143" s="1060">
        <v>82763000</v>
      </c>
      <c r="DB143" s="1060">
        <v>57881926</v>
      </c>
      <c r="DC143" s="1060">
        <v>81997778</v>
      </c>
      <c r="DD143" s="1060">
        <v>765222</v>
      </c>
      <c r="DE143" s="1060">
        <f t="shared" si="137"/>
        <v>82763</v>
      </c>
      <c r="DF143" s="1060">
        <f t="shared" si="138"/>
        <v>57881.925999999999</v>
      </c>
      <c r="DG143" s="1060">
        <f t="shared" si="139"/>
        <v>81997.778000000006</v>
      </c>
      <c r="DH143" s="1060">
        <f t="shared" si="140"/>
        <v>765.22199999999998</v>
      </c>
    </row>
    <row r="144" spans="1:112" x14ac:dyDescent="0.25">
      <c r="A144" s="504" t="s">
        <v>404</v>
      </c>
      <c r="B144" s="504">
        <v>10100</v>
      </c>
      <c r="C144" s="504">
        <v>1692932768</v>
      </c>
      <c r="D144" s="504">
        <v>1692932768</v>
      </c>
      <c r="E144" s="504">
        <v>-1692922668</v>
      </c>
      <c r="F144" s="504">
        <f t="shared" si="109"/>
        <v>10.1</v>
      </c>
      <c r="G144" s="504">
        <f t="shared" si="110"/>
        <v>1692932.7679999999</v>
      </c>
      <c r="H144" s="504">
        <f t="shared" si="111"/>
        <v>1692932.7679999999</v>
      </c>
      <c r="I144" s="504">
        <f t="shared" si="112"/>
        <v>-1692922.6680000001</v>
      </c>
      <c r="P144" s="371" t="s">
        <v>400</v>
      </c>
      <c r="Q144" s="372">
        <v>13716466000</v>
      </c>
      <c r="R144" s="372">
        <v>1729970892</v>
      </c>
      <c r="S144" s="372">
        <v>1729970892</v>
      </c>
      <c r="T144" s="372">
        <v>11986495108</v>
      </c>
      <c r="U144" s="372">
        <f t="shared" si="113"/>
        <v>13716466</v>
      </c>
      <c r="V144" s="505">
        <f t="shared" si="114"/>
        <v>1729970.892</v>
      </c>
      <c r="W144" s="505">
        <f t="shared" si="115"/>
        <v>1729970.892</v>
      </c>
      <c r="X144" s="505">
        <f t="shared" si="116"/>
        <v>11986495.107999999</v>
      </c>
      <c r="AE144" s="373" t="s">
        <v>577</v>
      </c>
      <c r="AF144" s="504">
        <v>227178000</v>
      </c>
      <c r="AG144" s="504">
        <v>25191001</v>
      </c>
      <c r="AH144" s="504">
        <v>25571801</v>
      </c>
      <c r="AI144" s="504">
        <v>201606199</v>
      </c>
      <c r="AJ144" s="504">
        <f t="shared" si="117"/>
        <v>227178</v>
      </c>
      <c r="AK144" s="504">
        <f t="shared" si="118"/>
        <v>25191.001</v>
      </c>
      <c r="AL144" s="504">
        <f t="shared" si="119"/>
        <v>25571.800999999999</v>
      </c>
      <c r="AM144" s="504">
        <f t="shared" si="120"/>
        <v>201606.19899999999</v>
      </c>
      <c r="AT144" s="371" t="s">
        <v>851</v>
      </c>
      <c r="AU144" s="372">
        <v>1000</v>
      </c>
      <c r="AV144" s="372">
        <v>0</v>
      </c>
      <c r="AW144" s="372">
        <v>0</v>
      </c>
      <c r="AX144" s="372">
        <v>1000</v>
      </c>
      <c r="AY144" s="504">
        <f t="shared" si="121"/>
        <v>1</v>
      </c>
      <c r="AZ144" s="504">
        <f t="shared" si="122"/>
        <v>0</v>
      </c>
      <c r="BA144" s="504">
        <f t="shared" si="123"/>
        <v>0</v>
      </c>
      <c r="BB144" s="504">
        <f t="shared" si="124"/>
        <v>1</v>
      </c>
      <c r="BH144" s="782" t="s">
        <v>577</v>
      </c>
      <c r="BI144" s="644">
        <v>227178000</v>
      </c>
      <c r="BJ144" s="644">
        <v>25191001</v>
      </c>
      <c r="BK144" s="644">
        <v>25571801</v>
      </c>
      <c r="BL144" s="644">
        <v>201606199</v>
      </c>
      <c r="BM144" s="548">
        <f t="shared" si="125"/>
        <v>227178</v>
      </c>
      <c r="BN144" s="548">
        <f t="shared" si="126"/>
        <v>25191.001</v>
      </c>
      <c r="BO144" s="548">
        <f t="shared" si="127"/>
        <v>25571.800999999999</v>
      </c>
      <c r="BP144" s="650">
        <f t="shared" si="128"/>
        <v>201606.19899999999</v>
      </c>
      <c r="BW144" s="597" t="s">
        <v>844</v>
      </c>
      <c r="BX144" s="597">
        <v>178374000</v>
      </c>
      <c r="BY144" s="597">
        <v>180737716</v>
      </c>
      <c r="BZ144" s="597">
        <v>-2363716</v>
      </c>
      <c r="CA144" s="597">
        <v>180737715</v>
      </c>
      <c r="CB144" s="597">
        <f t="shared" si="129"/>
        <v>178374</v>
      </c>
      <c r="CC144" s="597">
        <f t="shared" si="130"/>
        <v>180737.71599999999</v>
      </c>
      <c r="CD144" s="597">
        <f t="shared" si="131"/>
        <v>-2363.7159999999999</v>
      </c>
      <c r="CE144" s="597">
        <f t="shared" si="132"/>
        <v>180737.715</v>
      </c>
      <c r="CK144" s="371" t="s">
        <v>594</v>
      </c>
      <c r="CL144" s="372">
        <v>178378000</v>
      </c>
      <c r="CM144" s="372">
        <v>231957042</v>
      </c>
      <c r="CN144" s="372">
        <v>231957043</v>
      </c>
      <c r="CO144" s="372">
        <v>-53579043</v>
      </c>
      <c r="CP144" s="597">
        <f t="shared" si="133"/>
        <v>178378</v>
      </c>
      <c r="CQ144" s="597">
        <f t="shared" si="134"/>
        <v>231957.04199999999</v>
      </c>
      <c r="CR144" s="597">
        <f t="shared" si="135"/>
        <v>231957.04300000001</v>
      </c>
      <c r="CS144" s="597">
        <f t="shared" si="136"/>
        <v>-53579.042999999998</v>
      </c>
      <c r="CU144" s="548"/>
      <c r="CZ144" s="1059" t="s">
        <v>1004</v>
      </c>
      <c r="DA144" s="1060">
        <v>82763000</v>
      </c>
      <c r="DB144" s="1060">
        <v>57881926</v>
      </c>
      <c r="DC144" s="1060">
        <v>81997778</v>
      </c>
      <c r="DD144" s="1060">
        <v>765222</v>
      </c>
      <c r="DE144" s="1060">
        <f t="shared" si="137"/>
        <v>82763</v>
      </c>
      <c r="DF144" s="1060">
        <f t="shared" si="138"/>
        <v>57881.925999999999</v>
      </c>
      <c r="DG144" s="1060">
        <f t="shared" si="139"/>
        <v>81997.778000000006</v>
      </c>
      <c r="DH144" s="1060">
        <f t="shared" si="140"/>
        <v>765.22199999999998</v>
      </c>
    </row>
    <row r="145" spans="6:112" x14ac:dyDescent="0.25">
      <c r="F145" s="548">
        <f>+F3+F64+F119+F124+F129+F136+F140</f>
        <v>39560035.100000001</v>
      </c>
      <c r="G145" s="548">
        <f>+G3+G64+G119+G124+G129+G136+G140</f>
        <v>4096897.6629999997</v>
      </c>
      <c r="H145" s="548">
        <f>+H3+H64+H119+H124+H129+H136+H140</f>
        <v>5791687.2410000004</v>
      </c>
      <c r="I145" s="548">
        <f>+I3+I64+I119+I124+I129+I136+I140</f>
        <v>33768347.859000005</v>
      </c>
      <c r="P145" s="371" t="s">
        <v>402</v>
      </c>
      <c r="Q145" s="372">
        <v>2528207000</v>
      </c>
      <c r="R145" s="372">
        <v>1876122642</v>
      </c>
      <c r="S145" s="372">
        <v>1876122642</v>
      </c>
      <c r="T145" s="372">
        <v>652084358</v>
      </c>
      <c r="U145" s="372">
        <f t="shared" si="113"/>
        <v>2528207</v>
      </c>
      <c r="V145" s="505">
        <f t="shared" si="114"/>
        <v>1876122.642</v>
      </c>
      <c r="W145" s="505">
        <f t="shared" si="115"/>
        <v>1876122.642</v>
      </c>
      <c r="X145" s="505">
        <f t="shared" si="116"/>
        <v>652084.35800000001</v>
      </c>
      <c r="AE145" s="373" t="s">
        <v>768</v>
      </c>
      <c r="AF145" s="504">
        <v>26050000</v>
      </c>
      <c r="AG145" s="504">
        <v>25191001</v>
      </c>
      <c r="AH145" s="504">
        <v>25191001</v>
      </c>
      <c r="AI145" s="504">
        <v>858999</v>
      </c>
      <c r="AJ145" s="504">
        <f t="shared" si="117"/>
        <v>26050</v>
      </c>
      <c r="AK145" s="504">
        <f t="shared" si="118"/>
        <v>25191.001</v>
      </c>
      <c r="AL145" s="504">
        <f t="shared" si="119"/>
        <v>25191.001</v>
      </c>
      <c r="AM145" s="504">
        <f t="shared" si="120"/>
        <v>858.99900000000002</v>
      </c>
      <c r="AT145" s="371" t="s">
        <v>577</v>
      </c>
      <c r="AU145" s="372">
        <v>227178000</v>
      </c>
      <c r="AV145" s="372">
        <v>25191001</v>
      </c>
      <c r="AW145" s="372">
        <v>25571801</v>
      </c>
      <c r="AX145" s="372">
        <v>201606199</v>
      </c>
      <c r="AY145" s="504">
        <f t="shared" ref="AY145:AY153" si="141">+AU145/$AZ$1*$BA$1</f>
        <v>227178</v>
      </c>
      <c r="AZ145" s="504">
        <f t="shared" ref="AZ145:AZ153" si="142">+AV145/$AZ$1*$BA$1</f>
        <v>25191.001</v>
      </c>
      <c r="BA145" s="504">
        <f t="shared" ref="BA145:BA153" si="143">+AW145/$AZ$1*$BA$1</f>
        <v>25571.800999999999</v>
      </c>
      <c r="BB145" s="504">
        <f t="shared" ref="BB145:BB153" si="144">+AX145/$AZ$1*$BA$1</f>
        <v>201606.19899999999</v>
      </c>
      <c r="BH145" s="782" t="s">
        <v>768</v>
      </c>
      <c r="BI145" s="644">
        <v>26050000</v>
      </c>
      <c r="BJ145" s="644">
        <v>25191001</v>
      </c>
      <c r="BK145" s="644">
        <v>25191001</v>
      </c>
      <c r="BL145" s="644">
        <v>858999</v>
      </c>
      <c r="BM145" s="548">
        <f t="shared" si="125"/>
        <v>26050</v>
      </c>
      <c r="BN145" s="548">
        <f t="shared" si="126"/>
        <v>25191.001</v>
      </c>
      <c r="BO145" s="548">
        <f t="shared" si="127"/>
        <v>25191.001</v>
      </c>
      <c r="BP145" s="650">
        <f t="shared" si="128"/>
        <v>858.99900000000002</v>
      </c>
      <c r="BW145" s="597" t="s">
        <v>974</v>
      </c>
      <c r="BX145" s="597">
        <v>1000</v>
      </c>
      <c r="BY145" s="597">
        <v>0</v>
      </c>
      <c r="BZ145" s="597">
        <v>1000</v>
      </c>
      <c r="CA145" s="597">
        <v>0</v>
      </c>
      <c r="CB145" s="597">
        <f t="shared" si="129"/>
        <v>1</v>
      </c>
      <c r="CC145" s="597">
        <f t="shared" si="130"/>
        <v>0</v>
      </c>
      <c r="CD145" s="597">
        <f t="shared" si="131"/>
        <v>1</v>
      </c>
      <c r="CE145" s="597">
        <f t="shared" si="132"/>
        <v>0</v>
      </c>
      <c r="CK145" s="371" t="s">
        <v>595</v>
      </c>
      <c r="CL145" s="372">
        <v>178378000</v>
      </c>
      <c r="CM145" s="372">
        <v>231957042</v>
      </c>
      <c r="CN145" s="372">
        <v>231957043</v>
      </c>
      <c r="CO145" s="372">
        <v>-53579043</v>
      </c>
      <c r="CP145" s="597">
        <f t="shared" si="133"/>
        <v>178378</v>
      </c>
      <c r="CQ145" s="597">
        <f t="shared" si="134"/>
        <v>231957.04199999999</v>
      </c>
      <c r="CR145" s="597">
        <f t="shared" si="135"/>
        <v>231957.04300000001</v>
      </c>
      <c r="CS145" s="597">
        <f t="shared" si="136"/>
        <v>-53579.042999999998</v>
      </c>
      <c r="CU145" s="548"/>
      <c r="CZ145" s="1059" t="s">
        <v>594</v>
      </c>
      <c r="DA145" s="1060">
        <v>178378000</v>
      </c>
      <c r="DB145" s="1060">
        <v>258408340</v>
      </c>
      <c r="DC145" s="1060">
        <v>258408341</v>
      </c>
      <c r="DD145" s="1060">
        <v>-80030341</v>
      </c>
      <c r="DE145" s="1060">
        <f t="shared" si="137"/>
        <v>178378</v>
      </c>
      <c r="DF145" s="1060">
        <f t="shared" si="138"/>
        <v>258408.34</v>
      </c>
      <c r="DG145" s="1060">
        <f t="shared" si="139"/>
        <v>258408.34099999999</v>
      </c>
      <c r="DH145" s="1060">
        <f t="shared" si="140"/>
        <v>-80030.341</v>
      </c>
    </row>
    <row r="146" spans="6:112" x14ac:dyDescent="0.25">
      <c r="P146" s="373" t="s">
        <v>954</v>
      </c>
      <c r="Q146" s="372">
        <v>207126000</v>
      </c>
      <c r="R146" s="372">
        <v>0</v>
      </c>
      <c r="S146" s="372">
        <v>0</v>
      </c>
      <c r="T146" s="372">
        <v>207126000</v>
      </c>
      <c r="U146" s="372">
        <f t="shared" ref="U146:U147" si="145">+Q146/$W$1*$X$1</f>
        <v>207126</v>
      </c>
      <c r="V146" s="505">
        <f t="shared" ref="V146:V147" si="146">+R146/$W$1*$X$1</f>
        <v>0</v>
      </c>
      <c r="W146" s="505">
        <f t="shared" ref="W146:W147" si="147">+S146/$W$1*$X$1</f>
        <v>0</v>
      </c>
      <c r="X146" s="505">
        <f t="shared" ref="X146:X147" si="148">+T146/$W$1*$X$1</f>
        <v>207126</v>
      </c>
      <c r="AE146" s="373" t="s">
        <v>398</v>
      </c>
      <c r="AF146" s="504">
        <v>201128000</v>
      </c>
      <c r="AG146" s="504">
        <v>0</v>
      </c>
      <c r="AH146" s="504">
        <v>380800</v>
      </c>
      <c r="AI146" s="504">
        <v>200747200</v>
      </c>
      <c r="AJ146" s="504">
        <f t="shared" si="117"/>
        <v>201128</v>
      </c>
      <c r="AK146" s="504">
        <f t="shared" si="118"/>
        <v>0</v>
      </c>
      <c r="AL146" s="504">
        <f t="shared" si="119"/>
        <v>380.8</v>
      </c>
      <c r="AM146" s="504">
        <f t="shared" si="120"/>
        <v>200747.2</v>
      </c>
      <c r="AT146" s="371" t="s">
        <v>768</v>
      </c>
      <c r="AU146" s="372">
        <v>26050000</v>
      </c>
      <c r="AV146" s="372">
        <v>25191001</v>
      </c>
      <c r="AW146" s="372">
        <v>25191001</v>
      </c>
      <c r="AX146" s="372">
        <v>858999</v>
      </c>
      <c r="AY146" s="504">
        <f t="shared" si="141"/>
        <v>26050</v>
      </c>
      <c r="AZ146" s="504">
        <f t="shared" si="142"/>
        <v>25191.001</v>
      </c>
      <c r="BA146" s="504">
        <f t="shared" si="143"/>
        <v>25191.001</v>
      </c>
      <c r="BB146" s="504">
        <f t="shared" si="144"/>
        <v>858.99900000000002</v>
      </c>
      <c r="BH146" s="782" t="s">
        <v>398</v>
      </c>
      <c r="BI146" s="644">
        <v>201128000</v>
      </c>
      <c r="BJ146" s="644">
        <v>0</v>
      </c>
      <c r="BK146" s="644">
        <v>380800</v>
      </c>
      <c r="BL146" s="644">
        <v>200747200</v>
      </c>
      <c r="BM146" s="548">
        <f t="shared" si="125"/>
        <v>201128</v>
      </c>
      <c r="BN146" s="548">
        <f t="shared" si="126"/>
        <v>0</v>
      </c>
      <c r="BO146" s="548">
        <f t="shared" si="127"/>
        <v>380.8</v>
      </c>
      <c r="BP146" s="650">
        <f t="shared" si="128"/>
        <v>200747.2</v>
      </c>
      <c r="BW146" s="597" t="s">
        <v>849</v>
      </c>
      <c r="BX146" s="597">
        <v>1000</v>
      </c>
      <c r="BY146" s="597">
        <v>0</v>
      </c>
      <c r="BZ146" s="597">
        <v>1000</v>
      </c>
      <c r="CA146" s="597">
        <v>0</v>
      </c>
      <c r="CB146" s="597">
        <f t="shared" ref="CB146:CB154" si="149">+BX146/$CD$1*$CE$1</f>
        <v>1</v>
      </c>
      <c r="CC146" s="597">
        <f t="shared" ref="CC146:CC154" si="150">+BY146/$CD$1*$CE$1</f>
        <v>0</v>
      </c>
      <c r="CD146" s="597">
        <f t="shared" ref="CD146:CD154" si="151">+BZ146/$CD$1*$CE$1</f>
        <v>1</v>
      </c>
      <c r="CE146" s="597">
        <f t="shared" ref="CE146:CE154" si="152">+CA146/$CD$1*$CE$1</f>
        <v>0</v>
      </c>
      <c r="CK146" s="371" t="s">
        <v>844</v>
      </c>
      <c r="CL146" s="372">
        <v>178374000</v>
      </c>
      <c r="CM146" s="372">
        <v>231957042</v>
      </c>
      <c r="CN146" s="372">
        <v>231957043</v>
      </c>
      <c r="CO146" s="372">
        <v>-53583043</v>
      </c>
      <c r="CP146" s="597">
        <f t="shared" si="133"/>
        <v>178374</v>
      </c>
      <c r="CQ146" s="597">
        <f t="shared" si="134"/>
        <v>231957.04199999999</v>
      </c>
      <c r="CR146" s="597">
        <f t="shared" si="135"/>
        <v>231957.04300000001</v>
      </c>
      <c r="CS146" s="597">
        <f t="shared" si="136"/>
        <v>-53583.042999999998</v>
      </c>
      <c r="CU146" s="548"/>
      <c r="CZ146" s="1059" t="s">
        <v>595</v>
      </c>
      <c r="DA146" s="1060">
        <v>178378000</v>
      </c>
      <c r="DB146" s="1060">
        <v>258408340</v>
      </c>
      <c r="DC146" s="1060">
        <v>258408341</v>
      </c>
      <c r="DD146" s="1060">
        <v>-80030341</v>
      </c>
      <c r="DE146" s="1060">
        <f t="shared" si="137"/>
        <v>178378</v>
      </c>
      <c r="DF146" s="1060">
        <f t="shared" si="138"/>
        <v>258408.34</v>
      </c>
      <c r="DG146" s="1060">
        <f t="shared" si="139"/>
        <v>258408.34099999999</v>
      </c>
      <c r="DH146" s="1060">
        <f t="shared" si="140"/>
        <v>-80030.341</v>
      </c>
    </row>
    <row r="147" spans="6:112" x14ac:dyDescent="0.25">
      <c r="P147" s="373" t="s">
        <v>404</v>
      </c>
      <c r="Q147" s="372">
        <v>10100</v>
      </c>
      <c r="R147" s="372">
        <v>1692932768</v>
      </c>
      <c r="S147" s="372">
        <v>1692932768</v>
      </c>
      <c r="T147" s="372">
        <v>-1692922668</v>
      </c>
      <c r="U147" s="372">
        <f t="shared" si="145"/>
        <v>10.1</v>
      </c>
      <c r="V147" s="505">
        <f t="shared" si="146"/>
        <v>1692932.7679999999</v>
      </c>
      <c r="W147" s="505">
        <f t="shared" si="147"/>
        <v>1692932.7679999999</v>
      </c>
      <c r="X147" s="505">
        <f t="shared" si="148"/>
        <v>-1692922.6680000001</v>
      </c>
      <c r="AE147" s="373" t="s">
        <v>579</v>
      </c>
      <c r="AF147" s="504">
        <v>201128000</v>
      </c>
      <c r="AG147" s="504">
        <v>0</v>
      </c>
      <c r="AH147" s="504">
        <v>380800</v>
      </c>
      <c r="AI147" s="504">
        <v>200747200</v>
      </c>
      <c r="AJ147" s="504">
        <f t="shared" si="117"/>
        <v>201128</v>
      </c>
      <c r="AK147" s="504">
        <f t="shared" si="118"/>
        <v>0</v>
      </c>
      <c r="AL147" s="504">
        <f t="shared" si="119"/>
        <v>380.8</v>
      </c>
      <c r="AM147" s="504">
        <f t="shared" si="120"/>
        <v>200747.2</v>
      </c>
      <c r="AT147" s="371" t="s">
        <v>398</v>
      </c>
      <c r="AU147" s="372">
        <v>201128000</v>
      </c>
      <c r="AV147" s="372">
        <v>0</v>
      </c>
      <c r="AW147" s="372">
        <v>380800</v>
      </c>
      <c r="AX147" s="372">
        <v>200747200</v>
      </c>
      <c r="AY147" s="504">
        <f t="shared" si="141"/>
        <v>201128</v>
      </c>
      <c r="AZ147" s="504">
        <f t="shared" si="142"/>
        <v>0</v>
      </c>
      <c r="BA147" s="504">
        <f t="shared" si="143"/>
        <v>380.8</v>
      </c>
      <c r="BB147" s="504">
        <f t="shared" si="144"/>
        <v>200747.2</v>
      </c>
      <c r="BH147" s="782" t="s">
        <v>579</v>
      </c>
      <c r="BI147" s="644">
        <v>201128000</v>
      </c>
      <c r="BJ147" s="644">
        <v>0</v>
      </c>
      <c r="BK147" s="644">
        <v>380800</v>
      </c>
      <c r="BL147" s="644">
        <v>200747200</v>
      </c>
      <c r="BM147" s="548">
        <f t="shared" si="125"/>
        <v>201128</v>
      </c>
      <c r="BN147" s="548">
        <f t="shared" si="126"/>
        <v>0</v>
      </c>
      <c r="BO147" s="548">
        <f t="shared" si="127"/>
        <v>380.8</v>
      </c>
      <c r="BP147" s="650">
        <f t="shared" si="128"/>
        <v>200747.2</v>
      </c>
      <c r="BW147" s="597" t="s">
        <v>850</v>
      </c>
      <c r="BX147" s="597">
        <v>1000</v>
      </c>
      <c r="BY147" s="597">
        <v>0</v>
      </c>
      <c r="BZ147" s="597">
        <v>1000</v>
      </c>
      <c r="CA147" s="597">
        <v>0</v>
      </c>
      <c r="CB147" s="597">
        <f t="shared" si="149"/>
        <v>1</v>
      </c>
      <c r="CC147" s="597">
        <f t="shared" si="150"/>
        <v>0</v>
      </c>
      <c r="CD147" s="597">
        <f t="shared" si="151"/>
        <v>1</v>
      </c>
      <c r="CE147" s="597">
        <f t="shared" si="152"/>
        <v>0</v>
      </c>
      <c r="CK147" s="371" t="s">
        <v>974</v>
      </c>
      <c r="CL147" s="372">
        <v>1000</v>
      </c>
      <c r="CM147" s="372">
        <v>0</v>
      </c>
      <c r="CN147" s="372">
        <v>0</v>
      </c>
      <c r="CO147" s="372">
        <v>1000</v>
      </c>
      <c r="CP147" s="597">
        <f t="shared" si="133"/>
        <v>1</v>
      </c>
      <c r="CQ147" s="597">
        <f t="shared" si="134"/>
        <v>0</v>
      </c>
      <c r="CR147" s="597">
        <f t="shared" si="135"/>
        <v>0</v>
      </c>
      <c r="CS147" s="597">
        <f t="shared" si="136"/>
        <v>1</v>
      </c>
      <c r="CU147" s="548"/>
      <c r="CZ147" s="1059" t="s">
        <v>844</v>
      </c>
      <c r="DA147" s="1060">
        <v>178374000</v>
      </c>
      <c r="DB147" s="1060">
        <v>253639544</v>
      </c>
      <c r="DC147" s="1060">
        <v>253639545</v>
      </c>
      <c r="DD147" s="1060">
        <v>-75265545</v>
      </c>
      <c r="DE147" s="1060">
        <f t="shared" si="137"/>
        <v>178374</v>
      </c>
      <c r="DF147" s="1060">
        <f t="shared" si="138"/>
        <v>253639.54399999999</v>
      </c>
      <c r="DG147" s="1060">
        <f t="shared" si="139"/>
        <v>253639.54500000001</v>
      </c>
      <c r="DH147" s="1060">
        <f t="shared" si="140"/>
        <v>-75265.544999999998</v>
      </c>
    </row>
    <row r="148" spans="6:112" x14ac:dyDescent="0.25">
      <c r="F148" s="602"/>
      <c r="G148" s="602"/>
      <c r="H148" s="602"/>
      <c r="I148" s="602"/>
      <c r="U148" s="505"/>
      <c r="V148" s="505"/>
      <c r="W148" s="505"/>
      <c r="X148" s="505"/>
      <c r="AE148" s="373" t="s">
        <v>399</v>
      </c>
      <c r="AF148" s="504">
        <v>18144732100</v>
      </c>
      <c r="AG148" s="504">
        <v>12912339032</v>
      </c>
      <c r="AH148" s="504">
        <v>12912339032</v>
      </c>
      <c r="AI148" s="504">
        <v>5232393068</v>
      </c>
      <c r="AJ148" s="504">
        <f t="shared" si="117"/>
        <v>18144732.100000001</v>
      </c>
      <c r="AK148" s="504">
        <f t="shared" si="118"/>
        <v>12912339.032</v>
      </c>
      <c r="AL148" s="504">
        <f t="shared" si="119"/>
        <v>12912339.032</v>
      </c>
      <c r="AM148" s="504">
        <f t="shared" si="120"/>
        <v>5232393.068</v>
      </c>
      <c r="AT148" s="371" t="s">
        <v>579</v>
      </c>
      <c r="AU148" s="372">
        <v>201128000</v>
      </c>
      <c r="AV148" s="372">
        <v>0</v>
      </c>
      <c r="AW148" s="372">
        <v>380800</v>
      </c>
      <c r="AX148" s="372">
        <v>200747200</v>
      </c>
      <c r="AY148" s="504">
        <f t="shared" si="141"/>
        <v>201128</v>
      </c>
      <c r="AZ148" s="504">
        <f t="shared" si="142"/>
        <v>0</v>
      </c>
      <c r="BA148" s="504">
        <f t="shared" si="143"/>
        <v>380.8</v>
      </c>
      <c r="BB148" s="504">
        <f t="shared" si="144"/>
        <v>200747.2</v>
      </c>
      <c r="BH148" s="782" t="s">
        <v>399</v>
      </c>
      <c r="BI148" s="644">
        <v>18144732100</v>
      </c>
      <c r="BJ148" s="644">
        <v>12908739032</v>
      </c>
      <c r="BK148" s="644">
        <v>12908739032</v>
      </c>
      <c r="BL148" s="644">
        <v>5235993068</v>
      </c>
      <c r="BM148" s="548">
        <f t="shared" si="125"/>
        <v>18144732.100000001</v>
      </c>
      <c r="BN148" s="548">
        <f t="shared" si="126"/>
        <v>12908739.032</v>
      </c>
      <c r="BO148" s="548">
        <f t="shared" si="127"/>
        <v>12908739.032</v>
      </c>
      <c r="BP148" s="650">
        <f t="shared" si="128"/>
        <v>5235993.068</v>
      </c>
      <c r="BW148" s="597" t="s">
        <v>851</v>
      </c>
      <c r="BX148" s="597">
        <v>1000</v>
      </c>
      <c r="BY148" s="597">
        <v>0</v>
      </c>
      <c r="BZ148" s="597">
        <v>1000</v>
      </c>
      <c r="CA148" s="597">
        <v>0</v>
      </c>
      <c r="CB148" s="597">
        <f t="shared" si="149"/>
        <v>1</v>
      </c>
      <c r="CC148" s="597">
        <f t="shared" si="150"/>
        <v>0</v>
      </c>
      <c r="CD148" s="597">
        <f t="shared" si="151"/>
        <v>1</v>
      </c>
      <c r="CE148" s="597">
        <f t="shared" si="152"/>
        <v>0</v>
      </c>
      <c r="CK148" s="371" t="s">
        <v>849</v>
      </c>
      <c r="CL148" s="372">
        <v>1000</v>
      </c>
      <c r="CM148" s="372">
        <v>0</v>
      </c>
      <c r="CN148" s="372">
        <v>0</v>
      </c>
      <c r="CO148" s="372">
        <v>1000</v>
      </c>
      <c r="CP148" s="597">
        <f t="shared" si="133"/>
        <v>1</v>
      </c>
      <c r="CQ148" s="597">
        <f t="shared" si="134"/>
        <v>0</v>
      </c>
      <c r="CR148" s="597">
        <f t="shared" si="135"/>
        <v>0</v>
      </c>
      <c r="CS148" s="597">
        <f t="shared" si="136"/>
        <v>1</v>
      </c>
      <c r="CU148" s="548"/>
      <c r="CZ148" s="1059" t="s">
        <v>974</v>
      </c>
      <c r="DA148" s="1060">
        <v>1000</v>
      </c>
      <c r="DB148" s="1060">
        <v>0</v>
      </c>
      <c r="DC148" s="1060">
        <v>0</v>
      </c>
      <c r="DD148" s="1060">
        <v>1000</v>
      </c>
      <c r="DE148" s="1060">
        <f t="shared" si="137"/>
        <v>1</v>
      </c>
      <c r="DF148" s="1060">
        <f t="shared" si="138"/>
        <v>0</v>
      </c>
      <c r="DG148" s="1060">
        <f t="shared" si="139"/>
        <v>0</v>
      </c>
      <c r="DH148" s="1060">
        <f t="shared" si="140"/>
        <v>1</v>
      </c>
    </row>
    <row r="149" spans="6:112" x14ac:dyDescent="0.25">
      <c r="AE149" s="373" t="s">
        <v>400</v>
      </c>
      <c r="AF149" s="504">
        <v>13716466000</v>
      </c>
      <c r="AG149" s="504">
        <v>8867318655</v>
      </c>
      <c r="AH149" s="504">
        <v>8867318655</v>
      </c>
      <c r="AI149" s="504">
        <v>4849147345</v>
      </c>
      <c r="AJ149" s="504">
        <f t="shared" si="117"/>
        <v>13716466</v>
      </c>
      <c r="AK149" s="504">
        <f t="shared" si="118"/>
        <v>8867318.6549999993</v>
      </c>
      <c r="AL149" s="504">
        <f t="shared" si="119"/>
        <v>8867318.6549999993</v>
      </c>
      <c r="AM149" s="504">
        <f t="shared" si="120"/>
        <v>4849147.3449999997</v>
      </c>
      <c r="AT149" s="371" t="s">
        <v>399</v>
      </c>
      <c r="AU149" s="372">
        <v>18144732100</v>
      </c>
      <c r="AV149" s="372">
        <v>12908739032</v>
      </c>
      <c r="AW149" s="372">
        <v>12908739032</v>
      </c>
      <c r="AX149" s="372">
        <v>5235993068</v>
      </c>
      <c r="AY149" s="504">
        <f t="shared" si="141"/>
        <v>18144732.100000001</v>
      </c>
      <c r="AZ149" s="504">
        <f t="shared" si="142"/>
        <v>12908739.032</v>
      </c>
      <c r="BA149" s="504">
        <f t="shared" si="143"/>
        <v>12908739.032</v>
      </c>
      <c r="BB149" s="504">
        <f t="shared" si="144"/>
        <v>5235993.068</v>
      </c>
      <c r="BH149" s="782" t="s">
        <v>400</v>
      </c>
      <c r="BI149" s="644">
        <v>13716466000</v>
      </c>
      <c r="BJ149" s="644">
        <v>8867318655</v>
      </c>
      <c r="BK149" s="644">
        <v>8867318655</v>
      </c>
      <c r="BL149" s="644">
        <v>4849147345</v>
      </c>
      <c r="BM149" s="548">
        <f t="shared" si="125"/>
        <v>13716466</v>
      </c>
      <c r="BN149" s="548">
        <f t="shared" si="126"/>
        <v>8867318.6549999993</v>
      </c>
      <c r="BO149" s="548">
        <f t="shared" si="127"/>
        <v>8867318.6549999993</v>
      </c>
      <c r="BP149" s="650">
        <f t="shared" si="128"/>
        <v>4849147.3449999997</v>
      </c>
      <c r="BW149" s="597" t="s">
        <v>577</v>
      </c>
      <c r="BX149" s="597">
        <v>227178000</v>
      </c>
      <c r="BY149" s="597">
        <v>28893045</v>
      </c>
      <c r="BZ149" s="597">
        <v>198284955</v>
      </c>
      <c r="CA149" s="597">
        <v>25191001</v>
      </c>
      <c r="CB149" s="597">
        <f t="shared" si="149"/>
        <v>227178</v>
      </c>
      <c r="CC149" s="597">
        <f t="shared" si="150"/>
        <v>28893.044999999998</v>
      </c>
      <c r="CD149" s="597">
        <f t="shared" si="151"/>
        <v>198284.95499999999</v>
      </c>
      <c r="CE149" s="597">
        <f t="shared" si="152"/>
        <v>25191.001</v>
      </c>
      <c r="CK149" s="371" t="s">
        <v>850</v>
      </c>
      <c r="CL149" s="372">
        <v>1000</v>
      </c>
      <c r="CM149" s="372">
        <v>0</v>
      </c>
      <c r="CN149" s="372">
        <v>0</v>
      </c>
      <c r="CO149" s="372">
        <v>1000</v>
      </c>
      <c r="CP149" s="597">
        <f t="shared" si="133"/>
        <v>1</v>
      </c>
      <c r="CQ149" s="597">
        <f t="shared" si="134"/>
        <v>0</v>
      </c>
      <c r="CR149" s="597">
        <f t="shared" si="135"/>
        <v>0</v>
      </c>
      <c r="CS149" s="597">
        <f t="shared" si="136"/>
        <v>1</v>
      </c>
      <c r="CU149" s="548"/>
      <c r="CZ149" s="1059" t="s">
        <v>849</v>
      </c>
      <c r="DA149" s="1060">
        <v>1000</v>
      </c>
      <c r="DB149" s="1060">
        <v>4768796</v>
      </c>
      <c r="DC149" s="1060">
        <v>4768796</v>
      </c>
      <c r="DD149" s="1060">
        <v>-4767796</v>
      </c>
      <c r="DE149" s="1060">
        <f t="shared" si="137"/>
        <v>1</v>
      </c>
      <c r="DF149" s="1060">
        <f t="shared" si="138"/>
        <v>4768.7960000000003</v>
      </c>
      <c r="DG149" s="1060">
        <f t="shared" si="139"/>
        <v>4768.7960000000003</v>
      </c>
      <c r="DH149" s="1060">
        <f t="shared" si="140"/>
        <v>-4767.7960000000003</v>
      </c>
    </row>
    <row r="150" spans="6:112" x14ac:dyDescent="0.25">
      <c r="AE150" s="373" t="s">
        <v>402</v>
      </c>
      <c r="AF150" s="504">
        <v>2528207000</v>
      </c>
      <c r="AG150" s="504">
        <v>2352087609</v>
      </c>
      <c r="AH150" s="504">
        <v>2352087609</v>
      </c>
      <c r="AI150" s="504">
        <v>176119391</v>
      </c>
      <c r="AJ150" s="504">
        <f t="shared" si="117"/>
        <v>2528207</v>
      </c>
      <c r="AK150" s="504">
        <f t="shared" si="118"/>
        <v>2352087.6090000002</v>
      </c>
      <c r="AL150" s="504">
        <f t="shared" si="119"/>
        <v>2352087.6090000002</v>
      </c>
      <c r="AM150" s="504">
        <f t="shared" si="120"/>
        <v>176119.391</v>
      </c>
      <c r="AT150" s="371" t="s">
        <v>400</v>
      </c>
      <c r="AU150" s="372">
        <v>13716466000</v>
      </c>
      <c r="AV150" s="372">
        <v>8867318655</v>
      </c>
      <c r="AW150" s="372">
        <v>8867318655</v>
      </c>
      <c r="AX150" s="372">
        <v>4849147345</v>
      </c>
      <c r="AY150" s="504">
        <f t="shared" si="141"/>
        <v>13716466</v>
      </c>
      <c r="AZ150" s="504">
        <f t="shared" si="142"/>
        <v>8867318.6549999993</v>
      </c>
      <c r="BA150" s="504">
        <f t="shared" si="143"/>
        <v>8867318.6549999993</v>
      </c>
      <c r="BB150" s="504">
        <f t="shared" si="144"/>
        <v>4849147.3449999997</v>
      </c>
      <c r="BH150" s="782" t="s">
        <v>401</v>
      </c>
      <c r="BI150" s="644">
        <v>13716466000</v>
      </c>
      <c r="BJ150" s="644">
        <v>8867318655</v>
      </c>
      <c r="BK150" s="644">
        <v>8867318655</v>
      </c>
      <c r="BL150" s="644">
        <v>4849147345</v>
      </c>
      <c r="BM150" s="548">
        <f t="shared" si="125"/>
        <v>13716466</v>
      </c>
      <c r="BN150" s="548">
        <f t="shared" si="126"/>
        <v>8867318.6549999993</v>
      </c>
      <c r="BO150" s="548">
        <f t="shared" si="127"/>
        <v>8867318.6549999993</v>
      </c>
      <c r="BP150" s="650">
        <f t="shared" si="128"/>
        <v>4849147.3449999997</v>
      </c>
      <c r="BW150" s="597" t="s">
        <v>768</v>
      </c>
      <c r="BX150" s="597">
        <v>26050000</v>
      </c>
      <c r="BY150" s="597">
        <v>25191001</v>
      </c>
      <c r="BZ150" s="597">
        <v>858999</v>
      </c>
      <c r="CA150" s="597">
        <v>25191001</v>
      </c>
      <c r="CB150" s="597">
        <f t="shared" si="149"/>
        <v>26050</v>
      </c>
      <c r="CC150" s="597">
        <f t="shared" si="150"/>
        <v>25191.001</v>
      </c>
      <c r="CD150" s="597">
        <f t="shared" si="151"/>
        <v>858.99900000000002</v>
      </c>
      <c r="CE150" s="597">
        <f t="shared" si="152"/>
        <v>25191.001</v>
      </c>
      <c r="CK150" s="371" t="s">
        <v>851</v>
      </c>
      <c r="CL150" s="372">
        <v>1000</v>
      </c>
      <c r="CM150" s="372">
        <v>0</v>
      </c>
      <c r="CN150" s="372">
        <v>0</v>
      </c>
      <c r="CO150" s="372">
        <v>1000</v>
      </c>
      <c r="CP150" s="597">
        <f t="shared" si="133"/>
        <v>1</v>
      </c>
      <c r="CQ150" s="597">
        <f t="shared" si="134"/>
        <v>0</v>
      </c>
      <c r="CR150" s="597">
        <f t="shared" si="135"/>
        <v>0</v>
      </c>
      <c r="CS150" s="597">
        <f t="shared" si="136"/>
        <v>1</v>
      </c>
      <c r="CU150" s="548"/>
      <c r="CZ150" s="1059" t="s">
        <v>850</v>
      </c>
      <c r="DA150" s="1060">
        <v>1000</v>
      </c>
      <c r="DB150" s="1060">
        <v>0</v>
      </c>
      <c r="DC150" s="1060">
        <v>0</v>
      </c>
      <c r="DD150" s="1060">
        <v>1000</v>
      </c>
      <c r="DE150" s="1060">
        <f t="shared" si="137"/>
        <v>1</v>
      </c>
      <c r="DF150" s="1060">
        <f t="shared" si="138"/>
        <v>0</v>
      </c>
      <c r="DG150" s="1060">
        <f t="shared" si="139"/>
        <v>0</v>
      </c>
      <c r="DH150" s="1060">
        <f t="shared" si="140"/>
        <v>1</v>
      </c>
    </row>
    <row r="151" spans="6:112" x14ac:dyDescent="0.25">
      <c r="AE151" s="373" t="s">
        <v>954</v>
      </c>
      <c r="AF151" s="504">
        <v>207126000</v>
      </c>
      <c r="AG151" s="504">
        <v>0</v>
      </c>
      <c r="AH151" s="504">
        <v>0</v>
      </c>
      <c r="AI151" s="504">
        <v>207126000</v>
      </c>
      <c r="AJ151" s="504">
        <f t="shared" si="117"/>
        <v>207126</v>
      </c>
      <c r="AK151" s="504">
        <f t="shared" si="118"/>
        <v>0</v>
      </c>
      <c r="AL151" s="504">
        <f t="shared" si="119"/>
        <v>0</v>
      </c>
      <c r="AM151" s="504">
        <f t="shared" si="120"/>
        <v>207126</v>
      </c>
      <c r="AT151" s="371" t="s">
        <v>402</v>
      </c>
      <c r="AU151" s="372">
        <v>2528207000</v>
      </c>
      <c r="AV151" s="372">
        <v>2352087609</v>
      </c>
      <c r="AW151" s="372">
        <v>2352087609</v>
      </c>
      <c r="AX151" s="372">
        <v>176119391</v>
      </c>
      <c r="AY151" s="504">
        <f t="shared" si="141"/>
        <v>2528207</v>
      </c>
      <c r="AZ151" s="504">
        <f t="shared" si="142"/>
        <v>2352087.6090000002</v>
      </c>
      <c r="BA151" s="504">
        <f t="shared" si="143"/>
        <v>2352087.6090000002</v>
      </c>
      <c r="BB151" s="504">
        <f t="shared" si="144"/>
        <v>176119.391</v>
      </c>
      <c r="BH151" s="782" t="s">
        <v>402</v>
      </c>
      <c r="BI151" s="644">
        <v>2528207000</v>
      </c>
      <c r="BJ151" s="644">
        <v>2352087609</v>
      </c>
      <c r="BK151" s="644">
        <v>2352087609</v>
      </c>
      <c r="BL151" s="644">
        <v>176119391</v>
      </c>
      <c r="BM151" s="548">
        <f t="shared" si="125"/>
        <v>2528207</v>
      </c>
      <c r="BN151" s="548">
        <f t="shared" si="126"/>
        <v>2352087.6090000002</v>
      </c>
      <c r="BO151" s="548">
        <f t="shared" si="127"/>
        <v>2352087.6090000002</v>
      </c>
      <c r="BP151" s="650">
        <f t="shared" si="128"/>
        <v>176119.391</v>
      </c>
      <c r="BW151" s="597" t="s">
        <v>398</v>
      </c>
      <c r="BX151" s="597">
        <v>201128000</v>
      </c>
      <c r="BY151" s="597">
        <v>3702044</v>
      </c>
      <c r="BZ151" s="597">
        <v>197425956</v>
      </c>
      <c r="CA151" s="597">
        <v>0</v>
      </c>
      <c r="CB151" s="597">
        <f t="shared" si="149"/>
        <v>201128</v>
      </c>
      <c r="CC151" s="597">
        <f t="shared" si="150"/>
        <v>3702.0439999999999</v>
      </c>
      <c r="CD151" s="597">
        <f t="shared" si="151"/>
        <v>197425.95600000001</v>
      </c>
      <c r="CE151" s="597">
        <f t="shared" si="152"/>
        <v>0</v>
      </c>
      <c r="CK151" s="371" t="s">
        <v>577</v>
      </c>
      <c r="CL151" s="372">
        <v>227178000</v>
      </c>
      <c r="CM151" s="372">
        <v>28512245</v>
      </c>
      <c r="CN151" s="372">
        <v>42655217</v>
      </c>
      <c r="CO151" s="372">
        <v>184522783</v>
      </c>
      <c r="CP151" s="597">
        <f t="shared" si="133"/>
        <v>227178</v>
      </c>
      <c r="CQ151" s="597">
        <f t="shared" si="134"/>
        <v>28512.244999999999</v>
      </c>
      <c r="CR151" s="597">
        <f t="shared" si="135"/>
        <v>42655.216999999997</v>
      </c>
      <c r="CS151" s="597">
        <f t="shared" si="136"/>
        <v>184522.783</v>
      </c>
      <c r="CU151" s="548"/>
      <c r="CZ151" s="1059" t="s">
        <v>851</v>
      </c>
      <c r="DA151" s="1060">
        <v>1000</v>
      </c>
      <c r="DB151" s="1060">
        <v>0</v>
      </c>
      <c r="DC151" s="1060">
        <v>0</v>
      </c>
      <c r="DD151" s="1060">
        <v>1000</v>
      </c>
      <c r="DE151" s="1060">
        <f t="shared" si="137"/>
        <v>1</v>
      </c>
      <c r="DF151" s="1060">
        <f t="shared" si="138"/>
        <v>0</v>
      </c>
      <c r="DG151" s="1060">
        <f t="shared" si="139"/>
        <v>0</v>
      </c>
      <c r="DH151" s="1060">
        <f t="shared" si="140"/>
        <v>1</v>
      </c>
    </row>
    <row r="152" spans="6:112" x14ac:dyDescent="0.25">
      <c r="AE152" s="373" t="s">
        <v>404</v>
      </c>
      <c r="AF152" s="504">
        <v>1692933100</v>
      </c>
      <c r="AG152" s="504">
        <v>1692932768</v>
      </c>
      <c r="AH152" s="504">
        <v>1692932768</v>
      </c>
      <c r="AI152" s="504">
        <v>332</v>
      </c>
      <c r="AJ152" s="504">
        <f t="shared" si="117"/>
        <v>1692933.1</v>
      </c>
      <c r="AK152" s="504">
        <f t="shared" si="118"/>
        <v>1692932.7679999999</v>
      </c>
      <c r="AL152" s="504">
        <f t="shared" si="119"/>
        <v>1692932.7679999999</v>
      </c>
      <c r="AM152" s="504">
        <f t="shared" si="120"/>
        <v>0.33200000000000002</v>
      </c>
      <c r="AT152" s="371" t="s">
        <v>954</v>
      </c>
      <c r="AU152" s="372">
        <v>207126000</v>
      </c>
      <c r="AV152" s="372">
        <v>0</v>
      </c>
      <c r="AW152" s="372">
        <v>0</v>
      </c>
      <c r="AX152" s="372">
        <v>207126000</v>
      </c>
      <c r="AY152" s="504">
        <f t="shared" si="141"/>
        <v>207126</v>
      </c>
      <c r="AZ152" s="504">
        <f t="shared" si="142"/>
        <v>0</v>
      </c>
      <c r="BA152" s="504">
        <f t="shared" si="143"/>
        <v>0</v>
      </c>
      <c r="BB152" s="504">
        <f t="shared" si="144"/>
        <v>207126</v>
      </c>
      <c r="BH152" s="782" t="s">
        <v>403</v>
      </c>
      <c r="BI152" s="644">
        <v>2528207000</v>
      </c>
      <c r="BJ152" s="644">
        <v>2352087609</v>
      </c>
      <c r="BK152" s="644">
        <v>2352087609</v>
      </c>
      <c r="BL152" s="644">
        <v>176119391</v>
      </c>
      <c r="BM152" s="548">
        <f t="shared" si="125"/>
        <v>2528207</v>
      </c>
      <c r="BN152" s="548">
        <f t="shared" si="126"/>
        <v>2352087.6090000002</v>
      </c>
      <c r="BO152" s="548">
        <f t="shared" si="127"/>
        <v>2352087.6090000002</v>
      </c>
      <c r="BP152" s="650">
        <f t="shared" si="128"/>
        <v>176119.391</v>
      </c>
      <c r="BW152" s="597" t="s">
        <v>579</v>
      </c>
      <c r="BX152" s="597">
        <v>201128000</v>
      </c>
      <c r="BY152" s="597">
        <v>3702044</v>
      </c>
      <c r="BZ152" s="597">
        <v>197425956</v>
      </c>
      <c r="CA152" s="597">
        <v>0</v>
      </c>
      <c r="CB152" s="597">
        <f t="shared" si="149"/>
        <v>201128</v>
      </c>
      <c r="CC152" s="597">
        <f t="shared" si="150"/>
        <v>3702.0439999999999</v>
      </c>
      <c r="CD152" s="597">
        <f t="shared" si="151"/>
        <v>197425.95600000001</v>
      </c>
      <c r="CE152" s="597">
        <f t="shared" si="152"/>
        <v>0</v>
      </c>
      <c r="CK152" s="371" t="s">
        <v>768</v>
      </c>
      <c r="CL152" s="372">
        <v>26050000</v>
      </c>
      <c r="CM152" s="372">
        <v>25191001</v>
      </c>
      <c r="CN152" s="372">
        <v>25191001</v>
      </c>
      <c r="CO152" s="372">
        <v>858999</v>
      </c>
      <c r="CP152" s="597">
        <f t="shared" si="133"/>
        <v>26050</v>
      </c>
      <c r="CQ152" s="597">
        <f t="shared" si="134"/>
        <v>25191.001</v>
      </c>
      <c r="CR152" s="597">
        <f t="shared" si="135"/>
        <v>25191.001</v>
      </c>
      <c r="CS152" s="597">
        <f t="shared" si="136"/>
        <v>858.99900000000002</v>
      </c>
      <c r="CU152" s="548"/>
      <c r="CZ152" s="1059" t="s">
        <v>577</v>
      </c>
      <c r="DA152" s="1060">
        <v>227178000</v>
      </c>
      <c r="DB152" s="1060">
        <v>66778897</v>
      </c>
      <c r="DC152" s="1060">
        <v>67159697</v>
      </c>
      <c r="DD152" s="1060">
        <v>160018303</v>
      </c>
      <c r="DE152" s="1060">
        <f t="shared" ref="DE152:DE164" si="153">+DA152/$DG$1*$DH$1</f>
        <v>227178</v>
      </c>
      <c r="DF152" s="1060">
        <f t="shared" ref="DF152:DF164" si="154">+DB152/$DG$1*$DH$1</f>
        <v>66778.896999999997</v>
      </c>
      <c r="DG152" s="1060">
        <f t="shared" ref="DG152:DG164" si="155">+DC152/$DG$1*$DH$1</f>
        <v>67159.697</v>
      </c>
      <c r="DH152" s="1060">
        <f t="shared" ref="DH152:DH164" si="156">+DD152/$DG$1*$DH$1</f>
        <v>160018.30300000001</v>
      </c>
    </row>
    <row r="153" spans="6:112" x14ac:dyDescent="0.25">
      <c r="AE153" s="373" t="s">
        <v>1057</v>
      </c>
      <c r="AJ153" s="504">
        <f>+AJ3+AJ64+AJ123+AJ128+AJ144+AJ148+AJ137</f>
        <v>44025528.100000001</v>
      </c>
      <c r="AK153" s="504">
        <f t="shared" ref="AK153:AM153" si="157">+AK3+AK64+AK123+AK128+AK144+AK148+AK137</f>
        <v>18605571.221000001</v>
      </c>
      <c r="AL153" s="504">
        <f t="shared" si="157"/>
        <v>20814662.563999999</v>
      </c>
      <c r="AM153" s="504">
        <f t="shared" si="157"/>
        <v>23210865.536000002</v>
      </c>
      <c r="AT153" s="371" t="s">
        <v>404</v>
      </c>
      <c r="AU153" s="372">
        <v>1692933100</v>
      </c>
      <c r="AV153" s="372">
        <v>1689332768</v>
      </c>
      <c r="AW153" s="372">
        <v>1689332768</v>
      </c>
      <c r="AX153" s="372">
        <v>3600332</v>
      </c>
      <c r="AY153" s="504">
        <f t="shared" si="141"/>
        <v>1692933.1</v>
      </c>
      <c r="AZ153" s="504">
        <f t="shared" si="142"/>
        <v>1689332.7679999999</v>
      </c>
      <c r="BA153" s="504">
        <f t="shared" si="143"/>
        <v>1689332.7679999999</v>
      </c>
      <c r="BB153" s="504">
        <f t="shared" si="144"/>
        <v>3600.3319999999999</v>
      </c>
      <c r="BH153" s="782" t="s">
        <v>580</v>
      </c>
      <c r="BI153" s="644">
        <v>2528207000</v>
      </c>
      <c r="BJ153" s="644">
        <v>2352087609</v>
      </c>
      <c r="BK153" s="644">
        <v>2352087609</v>
      </c>
      <c r="BL153" s="644">
        <v>176119391</v>
      </c>
      <c r="BM153" s="548">
        <f t="shared" si="125"/>
        <v>2528207</v>
      </c>
      <c r="BN153" s="548">
        <f t="shared" si="126"/>
        <v>2352087.6090000002</v>
      </c>
      <c r="BO153" s="548">
        <f t="shared" si="127"/>
        <v>2352087.6090000002</v>
      </c>
      <c r="BP153" s="650">
        <f t="shared" si="128"/>
        <v>176119.391</v>
      </c>
      <c r="BW153" s="597" t="s">
        <v>399</v>
      </c>
      <c r="BX153" s="597">
        <v>18144732100</v>
      </c>
      <c r="BY153" s="597">
        <v>13064080864</v>
      </c>
      <c r="BZ153" s="597">
        <v>5080651236</v>
      </c>
      <c r="CA153" s="597">
        <v>13064080864</v>
      </c>
      <c r="CB153" s="597">
        <f t="shared" si="149"/>
        <v>18144732.100000001</v>
      </c>
      <c r="CC153" s="597">
        <f t="shared" si="150"/>
        <v>13064080.864</v>
      </c>
      <c r="CD153" s="597">
        <f t="shared" si="151"/>
        <v>5080651.2359999996</v>
      </c>
      <c r="CE153" s="597">
        <f t="shared" si="152"/>
        <v>13064080.864</v>
      </c>
      <c r="CK153" s="371" t="s">
        <v>398</v>
      </c>
      <c r="CL153" s="372">
        <v>201128000</v>
      </c>
      <c r="CM153" s="372">
        <v>3321244</v>
      </c>
      <c r="CN153" s="372">
        <v>17464216</v>
      </c>
      <c r="CO153" s="372">
        <v>183663784</v>
      </c>
      <c r="CP153" s="597">
        <f t="shared" si="133"/>
        <v>201128</v>
      </c>
      <c r="CQ153" s="597">
        <f t="shared" si="134"/>
        <v>3321.2440000000001</v>
      </c>
      <c r="CR153" s="597">
        <f t="shared" si="135"/>
        <v>17464.216</v>
      </c>
      <c r="CS153" s="597">
        <f t="shared" si="136"/>
        <v>183663.78400000001</v>
      </c>
      <c r="CU153" s="548"/>
      <c r="CZ153" s="1059" t="s">
        <v>768</v>
      </c>
      <c r="DA153" s="1060">
        <v>26050000</v>
      </c>
      <c r="DB153" s="1060">
        <v>25191001</v>
      </c>
      <c r="DC153" s="1060">
        <v>25191001</v>
      </c>
      <c r="DD153" s="1060">
        <v>858999</v>
      </c>
      <c r="DE153" s="1060">
        <f t="shared" si="153"/>
        <v>26050</v>
      </c>
      <c r="DF153" s="1060">
        <f t="shared" si="154"/>
        <v>25191.001</v>
      </c>
      <c r="DG153" s="1060">
        <f t="shared" si="155"/>
        <v>25191.001</v>
      </c>
      <c r="DH153" s="1060">
        <f t="shared" si="156"/>
        <v>858.99900000000002</v>
      </c>
    </row>
    <row r="154" spans="6:112" x14ac:dyDescent="0.25">
      <c r="AE154" s="373" t="s">
        <v>1058</v>
      </c>
      <c r="AJ154" s="602">
        <f>+AJ153-'Prog 01'!J9</f>
        <v>-406513</v>
      </c>
      <c r="AK154" s="602">
        <f ca="1">+AK153-'Prog 01'!K9</f>
        <v>-10326673.265999999</v>
      </c>
      <c r="AL154" s="602">
        <f>+AL153-'Prog 01'!M9</f>
        <v>-10330378.391999997</v>
      </c>
      <c r="AM154" s="602">
        <f>+AM153-'Prog 01'!O9</f>
        <v>9923865.3919999991</v>
      </c>
      <c r="BH154" s="782" t="s">
        <v>954</v>
      </c>
      <c r="BI154" s="644">
        <v>207126000</v>
      </c>
      <c r="BJ154" s="644">
        <v>0</v>
      </c>
      <c r="BK154" s="644">
        <v>0</v>
      </c>
      <c r="BL154" s="644">
        <v>207126000</v>
      </c>
      <c r="BM154" s="548">
        <f t="shared" si="125"/>
        <v>207126</v>
      </c>
      <c r="BN154" s="548">
        <f t="shared" si="126"/>
        <v>0</v>
      </c>
      <c r="BO154" s="548">
        <f t="shared" si="127"/>
        <v>0</v>
      </c>
      <c r="BP154" s="650">
        <f t="shared" si="128"/>
        <v>207126</v>
      </c>
      <c r="BW154" s="597" t="s">
        <v>400</v>
      </c>
      <c r="BX154" s="597">
        <v>13716466000</v>
      </c>
      <c r="BY154" s="597">
        <v>9000105017</v>
      </c>
      <c r="BZ154" s="597">
        <v>4716360983</v>
      </c>
      <c r="CA154" s="597">
        <v>9000105017</v>
      </c>
      <c r="CB154" s="597">
        <f t="shared" si="149"/>
        <v>13716466</v>
      </c>
      <c r="CC154" s="597">
        <f t="shared" si="150"/>
        <v>9000105.0170000009</v>
      </c>
      <c r="CD154" s="597">
        <f t="shared" si="151"/>
        <v>4716360.983</v>
      </c>
      <c r="CE154" s="597">
        <f t="shared" si="152"/>
        <v>9000105.0170000009</v>
      </c>
      <c r="CK154" s="371" t="s">
        <v>579</v>
      </c>
      <c r="CL154" s="372">
        <v>201128000</v>
      </c>
      <c r="CM154" s="372">
        <v>3321244</v>
      </c>
      <c r="CN154" s="372">
        <v>17464216</v>
      </c>
      <c r="CO154" s="372">
        <v>183663784</v>
      </c>
      <c r="CP154" s="597">
        <f t="shared" si="133"/>
        <v>201128</v>
      </c>
      <c r="CQ154" s="597">
        <f t="shared" si="134"/>
        <v>3321.2440000000001</v>
      </c>
      <c r="CR154" s="597">
        <f t="shared" si="135"/>
        <v>17464.216</v>
      </c>
      <c r="CS154" s="597">
        <f t="shared" si="136"/>
        <v>183663.78400000001</v>
      </c>
      <c r="CU154" s="548"/>
      <c r="CZ154" s="1059" t="s">
        <v>398</v>
      </c>
      <c r="DA154" s="1060">
        <v>201128000</v>
      </c>
      <c r="DB154" s="1060">
        <v>41587896</v>
      </c>
      <c r="DC154" s="1060">
        <v>41968696</v>
      </c>
      <c r="DD154" s="1060">
        <v>159159304</v>
      </c>
      <c r="DE154" s="1060">
        <f t="shared" si="153"/>
        <v>201128</v>
      </c>
      <c r="DF154" s="1060">
        <f t="shared" si="154"/>
        <v>41587.896000000001</v>
      </c>
      <c r="DG154" s="1060">
        <f t="shared" si="155"/>
        <v>41968.696000000004</v>
      </c>
      <c r="DH154" s="1060">
        <f t="shared" si="156"/>
        <v>159159.304</v>
      </c>
    </row>
    <row r="155" spans="6:112" x14ac:dyDescent="0.25">
      <c r="AJ155" s="602"/>
      <c r="AK155" s="602"/>
      <c r="AL155" s="602"/>
      <c r="AM155" s="602"/>
      <c r="BH155" s="782" t="s">
        <v>1090</v>
      </c>
      <c r="BI155" s="644">
        <v>207126000</v>
      </c>
      <c r="BJ155" s="644">
        <v>0</v>
      </c>
      <c r="BK155" s="644">
        <v>0</v>
      </c>
      <c r="BL155" s="644">
        <v>207126000</v>
      </c>
      <c r="BM155" s="548">
        <f t="shared" si="125"/>
        <v>207126</v>
      </c>
      <c r="BN155" s="548">
        <f t="shared" si="126"/>
        <v>0</v>
      </c>
      <c r="BO155" s="548">
        <f t="shared" si="127"/>
        <v>0</v>
      </c>
      <c r="BP155" s="650">
        <f t="shared" si="128"/>
        <v>207126</v>
      </c>
      <c r="BW155" s="597" t="s">
        <v>402</v>
      </c>
      <c r="BX155" s="597">
        <v>2528207000</v>
      </c>
      <c r="BY155" s="597">
        <v>2374643079</v>
      </c>
      <c r="BZ155" s="597">
        <v>153563921</v>
      </c>
      <c r="CA155" s="597">
        <v>2374643079</v>
      </c>
      <c r="CB155" s="597">
        <f t="shared" ref="CB155:CE157" si="158">+BX155/$CD$1*$CE$1</f>
        <v>2528207</v>
      </c>
      <c r="CC155" s="597">
        <f t="shared" si="158"/>
        <v>2374643.0789999999</v>
      </c>
      <c r="CD155" s="597">
        <f t="shared" si="158"/>
        <v>153563.921</v>
      </c>
      <c r="CE155" s="597">
        <f t="shared" si="158"/>
        <v>2374643.0789999999</v>
      </c>
      <c r="CK155" s="371" t="s">
        <v>399</v>
      </c>
      <c r="CL155" s="372">
        <v>18144732100</v>
      </c>
      <c r="CM155" s="372">
        <v>13217644785</v>
      </c>
      <c r="CN155" s="372">
        <v>13217644785</v>
      </c>
      <c r="CO155" s="372">
        <v>4927087315</v>
      </c>
      <c r="CP155" s="597">
        <f t="shared" si="133"/>
        <v>18144732.100000001</v>
      </c>
      <c r="CQ155" s="597">
        <f t="shared" si="134"/>
        <v>13217644.785</v>
      </c>
      <c r="CR155" s="597">
        <f t="shared" si="135"/>
        <v>13217644.785</v>
      </c>
      <c r="CS155" s="597">
        <f t="shared" si="136"/>
        <v>4927087.3150000004</v>
      </c>
      <c r="CU155" s="548"/>
      <c r="CZ155" s="1059" t="s">
        <v>579</v>
      </c>
      <c r="DA155" s="1060">
        <v>201128000</v>
      </c>
      <c r="DB155" s="1060">
        <v>41587896</v>
      </c>
      <c r="DC155" s="1060">
        <v>41968696</v>
      </c>
      <c r="DD155" s="1060">
        <v>159159304</v>
      </c>
      <c r="DE155" s="1060">
        <f t="shared" si="153"/>
        <v>201128</v>
      </c>
      <c r="DF155" s="1060">
        <f t="shared" si="154"/>
        <v>41587.896000000001</v>
      </c>
      <c r="DG155" s="1060">
        <f t="shared" si="155"/>
        <v>41968.696000000004</v>
      </c>
      <c r="DH155" s="1060">
        <f t="shared" si="156"/>
        <v>159159.304</v>
      </c>
    </row>
    <row r="156" spans="6:112" x14ac:dyDescent="0.25">
      <c r="AJ156" s="548"/>
      <c r="AK156" s="548"/>
      <c r="AL156" s="602"/>
      <c r="AM156" s="602"/>
      <c r="AT156" s="371"/>
      <c r="AU156" s="372"/>
      <c r="AV156" s="372"/>
      <c r="AW156" s="372"/>
      <c r="AX156" s="372"/>
      <c r="AY156" s="504"/>
      <c r="AZ156" s="504"/>
      <c r="BA156" s="504"/>
      <c r="BB156" s="504"/>
      <c r="BH156" s="783" t="s">
        <v>404</v>
      </c>
      <c r="BI156" s="645">
        <v>1692933100</v>
      </c>
      <c r="BJ156" s="645">
        <v>1689332768</v>
      </c>
      <c r="BK156" s="645">
        <v>1689332768</v>
      </c>
      <c r="BL156" s="645">
        <v>3600332</v>
      </c>
      <c r="BM156" s="651">
        <f t="shared" si="125"/>
        <v>1692933.1</v>
      </c>
      <c r="BN156" s="651">
        <f t="shared" si="126"/>
        <v>1689332.7679999999</v>
      </c>
      <c r="BO156" s="651">
        <f t="shared" si="127"/>
        <v>1689332.7679999999</v>
      </c>
      <c r="BP156" s="652">
        <f t="shared" si="128"/>
        <v>3600.3319999999999</v>
      </c>
      <c r="BW156" s="597" t="s">
        <v>954</v>
      </c>
      <c r="BX156" s="597">
        <v>207126000</v>
      </c>
      <c r="BY156" s="597">
        <v>0</v>
      </c>
      <c r="BZ156" s="597">
        <v>207126000</v>
      </c>
      <c r="CA156" s="597">
        <v>0</v>
      </c>
      <c r="CB156" s="597">
        <f t="shared" si="158"/>
        <v>207126</v>
      </c>
      <c r="CC156" s="597">
        <f t="shared" si="158"/>
        <v>0</v>
      </c>
      <c r="CD156" s="597">
        <f t="shared" si="158"/>
        <v>207126</v>
      </c>
      <c r="CE156" s="597">
        <f t="shared" si="158"/>
        <v>0</v>
      </c>
      <c r="CK156" s="371" t="s">
        <v>400</v>
      </c>
      <c r="CL156" s="372">
        <v>13716466000</v>
      </c>
      <c r="CM156" s="372">
        <v>9000105017</v>
      </c>
      <c r="CN156" s="372">
        <v>9000105017</v>
      </c>
      <c r="CO156" s="372">
        <v>4716360983</v>
      </c>
      <c r="CP156" s="597">
        <f t="shared" si="133"/>
        <v>13716466</v>
      </c>
      <c r="CQ156" s="597">
        <f t="shared" si="134"/>
        <v>9000105.0170000009</v>
      </c>
      <c r="CR156" s="597">
        <f t="shared" si="135"/>
        <v>9000105.0170000009</v>
      </c>
      <c r="CS156" s="597">
        <f t="shared" si="136"/>
        <v>4716360.983</v>
      </c>
      <c r="CU156" s="548"/>
      <c r="CZ156" s="1059" t="s">
        <v>399</v>
      </c>
      <c r="DA156" s="1060">
        <v>18144732100</v>
      </c>
      <c r="DB156" s="1060">
        <v>13217644785</v>
      </c>
      <c r="DC156" s="1060">
        <v>13217644785</v>
      </c>
      <c r="DD156" s="1060">
        <v>4927087315</v>
      </c>
      <c r="DE156" s="1060">
        <f t="shared" si="153"/>
        <v>18144732.100000001</v>
      </c>
      <c r="DF156" s="1060">
        <f t="shared" si="154"/>
        <v>13217644.785</v>
      </c>
      <c r="DG156" s="1060">
        <f t="shared" si="155"/>
        <v>13217644.785</v>
      </c>
      <c r="DH156" s="1060">
        <f t="shared" si="156"/>
        <v>4927087.3150000004</v>
      </c>
    </row>
    <row r="157" spans="6:112" x14ac:dyDescent="0.25">
      <c r="AJ157" s="504"/>
      <c r="AK157" s="504"/>
      <c r="AL157" s="504"/>
      <c r="AM157" s="504"/>
      <c r="AU157" s="373"/>
      <c r="AV157" s="373"/>
      <c r="AW157" s="373"/>
      <c r="AX157" s="373"/>
      <c r="BH157" s="646"/>
      <c r="BI157" s="647"/>
      <c r="BJ157" s="647"/>
      <c r="BK157" s="647"/>
      <c r="BL157" s="647"/>
      <c r="BM157" s="649">
        <f>SUM(BM3:BM156)</f>
        <v>152612680.11900005</v>
      </c>
      <c r="BN157" s="649">
        <f t="shared" ref="BN157:BP157" si="159">SUM(BN3:BN156)</f>
        <v>74183080.510000005</v>
      </c>
      <c r="BO157" s="649">
        <f t="shared" si="159"/>
        <v>80825472.762999982</v>
      </c>
      <c r="BP157" s="648">
        <f t="shared" si="159"/>
        <v>71787207.356000036</v>
      </c>
      <c r="BW157" s="597" t="s">
        <v>404</v>
      </c>
      <c r="BX157" s="597">
        <v>1692933100</v>
      </c>
      <c r="BY157" s="597">
        <v>1689332768</v>
      </c>
      <c r="BZ157" s="597">
        <v>3600332</v>
      </c>
      <c r="CA157" s="597">
        <v>1689332768</v>
      </c>
      <c r="CB157" s="597">
        <f t="shared" si="158"/>
        <v>1692933.1</v>
      </c>
      <c r="CC157" s="597">
        <f t="shared" si="158"/>
        <v>1689332.7679999999</v>
      </c>
      <c r="CD157" s="597">
        <f t="shared" si="158"/>
        <v>3600.3319999999999</v>
      </c>
      <c r="CE157" s="597">
        <f t="shared" si="158"/>
        <v>1689332.7679999999</v>
      </c>
      <c r="CK157" s="371" t="s">
        <v>402</v>
      </c>
      <c r="CL157" s="372">
        <v>2528207000</v>
      </c>
      <c r="CM157" s="372">
        <v>2528207000</v>
      </c>
      <c r="CN157" s="372">
        <v>2528207000</v>
      </c>
      <c r="CO157" s="372">
        <v>0</v>
      </c>
      <c r="CP157" s="597">
        <f t="shared" si="133"/>
        <v>2528207</v>
      </c>
      <c r="CQ157" s="597">
        <f t="shared" si="134"/>
        <v>2528207</v>
      </c>
      <c r="CR157" s="597">
        <f t="shared" si="135"/>
        <v>2528207</v>
      </c>
      <c r="CS157" s="597">
        <f t="shared" si="136"/>
        <v>0</v>
      </c>
      <c r="CU157" s="548"/>
      <c r="CZ157" s="1059" t="s">
        <v>400</v>
      </c>
      <c r="DA157" s="1060">
        <v>13716466000</v>
      </c>
      <c r="DB157" s="1060">
        <v>9000105017</v>
      </c>
      <c r="DC157" s="1060">
        <v>9000105017</v>
      </c>
      <c r="DD157" s="1060">
        <v>4716360983</v>
      </c>
      <c r="DE157" s="1060">
        <f t="shared" si="153"/>
        <v>13716466</v>
      </c>
      <c r="DF157" s="1060">
        <f t="shared" si="154"/>
        <v>9000105.0170000009</v>
      </c>
      <c r="DG157" s="1060">
        <f t="shared" si="155"/>
        <v>9000105.0170000009</v>
      </c>
      <c r="DH157" s="1060">
        <f t="shared" si="156"/>
        <v>4716360.983</v>
      </c>
    </row>
    <row r="158" spans="6:112" x14ac:dyDescent="0.25">
      <c r="AT158" s="371"/>
      <c r="AU158" s="372"/>
      <c r="AV158" s="372"/>
      <c r="AW158" s="372"/>
      <c r="AX158" s="372"/>
      <c r="AY158" s="504"/>
      <c r="AZ158" s="504"/>
      <c r="BA158" s="504"/>
      <c r="BB158" s="504"/>
      <c r="BW158" s="597"/>
      <c r="BX158" s="597"/>
      <c r="BY158" s="597"/>
      <c r="BZ158" s="597"/>
      <c r="CA158" s="597"/>
      <c r="CB158" s="597"/>
      <c r="CC158" s="597"/>
      <c r="CD158" s="597"/>
      <c r="CE158" s="597"/>
      <c r="CK158" s="371" t="s">
        <v>954</v>
      </c>
      <c r="CL158" s="372">
        <v>207126000</v>
      </c>
      <c r="CM158" s="372">
        <v>0</v>
      </c>
      <c r="CN158" s="372">
        <v>0</v>
      </c>
      <c r="CO158" s="372">
        <v>207126000</v>
      </c>
      <c r="CP158" s="597">
        <f t="shared" si="133"/>
        <v>207126</v>
      </c>
      <c r="CQ158" s="597">
        <f t="shared" si="134"/>
        <v>0</v>
      </c>
      <c r="CR158" s="597">
        <f t="shared" si="135"/>
        <v>0</v>
      </c>
      <c r="CS158" s="597">
        <f t="shared" si="136"/>
        <v>207126</v>
      </c>
      <c r="CU158" s="548"/>
      <c r="CZ158" s="1059" t="s">
        <v>401</v>
      </c>
      <c r="DA158" s="1060">
        <v>13716466000</v>
      </c>
      <c r="DB158" s="1060">
        <v>9000105017</v>
      </c>
      <c r="DC158" s="1060">
        <v>9000105017</v>
      </c>
      <c r="DD158" s="1060">
        <v>4716360983</v>
      </c>
      <c r="DE158" s="1060">
        <f t="shared" si="153"/>
        <v>13716466</v>
      </c>
      <c r="DF158" s="1060">
        <f t="shared" si="154"/>
        <v>9000105.0170000009</v>
      </c>
      <c r="DG158" s="1060">
        <f t="shared" si="155"/>
        <v>9000105.0170000009</v>
      </c>
      <c r="DH158" s="1060">
        <f t="shared" si="156"/>
        <v>4716360.983</v>
      </c>
    </row>
    <row r="159" spans="6:112" x14ac:dyDescent="0.25">
      <c r="AU159" s="373"/>
      <c r="AV159" s="373"/>
      <c r="AW159" s="373"/>
      <c r="AX159" s="373"/>
      <c r="CK159" s="371" t="s">
        <v>404</v>
      </c>
      <c r="CL159" s="372">
        <v>1692933100</v>
      </c>
      <c r="CM159" s="372">
        <v>1689332768</v>
      </c>
      <c r="CN159" s="372">
        <v>1689332768</v>
      </c>
      <c r="CO159" s="372">
        <v>3600332</v>
      </c>
      <c r="CP159" s="597">
        <f t="shared" si="133"/>
        <v>1692933.1</v>
      </c>
      <c r="CQ159" s="597">
        <f t="shared" si="134"/>
        <v>1689332.7679999999</v>
      </c>
      <c r="CR159" s="597">
        <f t="shared" si="135"/>
        <v>1689332.7679999999</v>
      </c>
      <c r="CS159" s="597">
        <f t="shared" si="136"/>
        <v>3600.3319999999999</v>
      </c>
      <c r="CU159" s="548"/>
      <c r="CZ159" s="1059" t="s">
        <v>402</v>
      </c>
      <c r="DA159" s="1060">
        <v>2528207000</v>
      </c>
      <c r="DB159" s="1060">
        <v>2528207000</v>
      </c>
      <c r="DC159" s="1060">
        <v>2528207000</v>
      </c>
      <c r="DD159" s="1060">
        <v>0</v>
      </c>
      <c r="DE159" s="1060">
        <f t="shared" si="153"/>
        <v>2528207</v>
      </c>
      <c r="DF159" s="1060">
        <f t="shared" si="154"/>
        <v>2528207</v>
      </c>
      <c r="DG159" s="1060">
        <f t="shared" si="155"/>
        <v>2528207</v>
      </c>
      <c r="DH159" s="1060">
        <f t="shared" si="156"/>
        <v>0</v>
      </c>
    </row>
    <row r="160" spans="6:112" x14ac:dyDescent="0.25">
      <c r="BW160" s="597"/>
      <c r="BX160" s="597"/>
      <c r="BY160" s="597"/>
      <c r="BZ160" s="597"/>
      <c r="CA160" s="597"/>
      <c r="CB160" s="597"/>
      <c r="CC160" s="597"/>
      <c r="CD160" s="597"/>
      <c r="CE160" s="597"/>
      <c r="CK160" s="371"/>
      <c r="CL160" s="372"/>
      <c r="CM160" s="372"/>
      <c r="CN160" s="372"/>
      <c r="CO160" s="372"/>
      <c r="CP160" s="597"/>
      <c r="CQ160" s="597"/>
      <c r="CR160" s="597"/>
      <c r="CS160" s="597"/>
      <c r="CU160" s="548"/>
      <c r="CZ160" s="1059" t="s">
        <v>403</v>
      </c>
      <c r="DA160" s="1060">
        <v>2528207000</v>
      </c>
      <c r="DB160" s="1060">
        <v>2528207000</v>
      </c>
      <c r="DC160" s="1060">
        <v>2528207000</v>
      </c>
      <c r="DD160" s="1060">
        <v>0</v>
      </c>
      <c r="DE160" s="1060">
        <f t="shared" si="153"/>
        <v>2528207</v>
      </c>
      <c r="DF160" s="1060">
        <f t="shared" si="154"/>
        <v>2528207</v>
      </c>
      <c r="DG160" s="1060">
        <f t="shared" si="155"/>
        <v>2528207</v>
      </c>
      <c r="DH160" s="1060">
        <f t="shared" si="156"/>
        <v>0</v>
      </c>
    </row>
    <row r="161" spans="80:112" x14ac:dyDescent="0.25">
      <c r="CP161" s="597"/>
      <c r="CQ161" s="597"/>
      <c r="CR161" s="597"/>
      <c r="CS161" s="597"/>
      <c r="CU161" s="548"/>
      <c r="CZ161" s="1059" t="s">
        <v>580</v>
      </c>
      <c r="DA161" s="1060">
        <v>2528207000</v>
      </c>
      <c r="DB161" s="1060">
        <v>2528207000</v>
      </c>
      <c r="DC161" s="1060">
        <v>2528207000</v>
      </c>
      <c r="DD161" s="1060">
        <v>0</v>
      </c>
      <c r="DE161" s="1060">
        <f t="shared" si="153"/>
        <v>2528207</v>
      </c>
      <c r="DF161" s="1060">
        <f t="shared" si="154"/>
        <v>2528207</v>
      </c>
      <c r="DG161" s="1060">
        <f t="shared" si="155"/>
        <v>2528207</v>
      </c>
      <c r="DH161" s="1060">
        <f t="shared" si="156"/>
        <v>0</v>
      </c>
    </row>
    <row r="162" spans="80:112" x14ac:dyDescent="0.25">
      <c r="CB162" s="597"/>
      <c r="CC162" s="597"/>
      <c r="CD162" s="597"/>
      <c r="CE162" s="597"/>
      <c r="CK162" s="371"/>
      <c r="CL162" s="372"/>
      <c r="CM162" s="372"/>
      <c r="CN162" s="372"/>
      <c r="CO162" s="372"/>
      <c r="CP162" s="597"/>
      <c r="CQ162" s="597"/>
      <c r="CR162" s="597"/>
      <c r="CS162" s="597"/>
      <c r="CU162" s="548"/>
      <c r="CZ162" s="1059" t="s">
        <v>954</v>
      </c>
      <c r="DA162" s="1060">
        <v>207126000</v>
      </c>
      <c r="DB162" s="1060">
        <v>0</v>
      </c>
      <c r="DC162" s="1060">
        <v>0</v>
      </c>
      <c r="DD162" s="1060">
        <v>207126000</v>
      </c>
      <c r="DE162" s="1060">
        <f t="shared" si="153"/>
        <v>207126</v>
      </c>
      <c r="DF162" s="1060">
        <f t="shared" si="154"/>
        <v>0</v>
      </c>
      <c r="DG162" s="1060">
        <f t="shared" si="155"/>
        <v>0</v>
      </c>
      <c r="DH162" s="1060">
        <f t="shared" si="156"/>
        <v>207126</v>
      </c>
    </row>
    <row r="163" spans="80:112" x14ac:dyDescent="0.25">
      <c r="CB163" s="597"/>
      <c r="CC163" s="597"/>
      <c r="CD163" s="597"/>
      <c r="CE163" s="597"/>
      <c r="CP163" s="597"/>
      <c r="CQ163" s="597"/>
      <c r="CR163" s="597"/>
      <c r="CS163" s="597"/>
      <c r="CU163" s="548"/>
      <c r="CZ163" s="1059" t="s">
        <v>1090</v>
      </c>
      <c r="DA163" s="1060">
        <v>207126000</v>
      </c>
      <c r="DB163" s="1060">
        <v>0</v>
      </c>
      <c r="DC163" s="1060">
        <v>0</v>
      </c>
      <c r="DD163" s="1060">
        <v>207126000</v>
      </c>
      <c r="DE163" s="1060">
        <f t="shared" si="153"/>
        <v>207126</v>
      </c>
      <c r="DF163" s="1060">
        <f t="shared" si="154"/>
        <v>0</v>
      </c>
      <c r="DG163" s="1060">
        <f t="shared" si="155"/>
        <v>0</v>
      </c>
      <c r="DH163" s="1060">
        <f t="shared" si="156"/>
        <v>207126</v>
      </c>
    </row>
    <row r="164" spans="80:112" x14ac:dyDescent="0.25">
      <c r="CB164" s="597"/>
      <c r="CC164" s="597"/>
      <c r="CD164" s="597"/>
      <c r="CE164" s="597"/>
      <c r="CM164" s="373"/>
      <c r="CP164" s="597"/>
      <c r="CQ164" s="597"/>
      <c r="CR164" s="597"/>
      <c r="CS164" s="597"/>
      <c r="CU164" s="548"/>
      <c r="CZ164" s="1059" t="s">
        <v>404</v>
      </c>
      <c r="DA164" s="1060">
        <v>1692933100</v>
      </c>
      <c r="DB164" s="1060">
        <v>1689332768</v>
      </c>
      <c r="DC164" s="1060">
        <v>1689332768</v>
      </c>
      <c r="DD164" s="1060">
        <v>3600332</v>
      </c>
      <c r="DE164" s="1060">
        <f t="shared" si="153"/>
        <v>1692933.1</v>
      </c>
      <c r="DF164" s="1060">
        <f t="shared" si="154"/>
        <v>1689332.7679999999</v>
      </c>
      <c r="DG164" s="1060">
        <f t="shared" si="155"/>
        <v>1689332.7679999999</v>
      </c>
      <c r="DH164" s="1060">
        <f t="shared" si="156"/>
        <v>3600.3319999999999</v>
      </c>
    </row>
    <row r="165" spans="80:112" x14ac:dyDescent="0.25">
      <c r="CB165" s="597"/>
      <c r="CC165" s="597"/>
      <c r="CD165" s="597"/>
      <c r="CE165" s="597"/>
      <c r="CP165" s="597"/>
      <c r="CQ165" s="597"/>
      <c r="CR165" s="597"/>
      <c r="CS165" s="597"/>
      <c r="CU165" s="548"/>
      <c r="DE165" s="1060"/>
      <c r="DF165" s="1060"/>
      <c r="DG165" s="1060"/>
      <c r="DH165" s="1060"/>
    </row>
    <row r="166" spans="80:112" x14ac:dyDescent="0.25">
      <c r="CP166" s="597"/>
      <c r="CQ166" s="597"/>
      <c r="CR166" s="597"/>
      <c r="CS166" s="597"/>
      <c r="DE166" s="1060"/>
      <c r="DF166" s="1060"/>
      <c r="DG166" s="1060"/>
      <c r="DH166" s="1060"/>
    </row>
    <row r="167" spans="80:112" x14ac:dyDescent="0.25">
      <c r="CM167" s="373"/>
      <c r="CP167" s="597"/>
      <c r="CQ167" s="597"/>
      <c r="CR167" s="597"/>
      <c r="CS167" s="597"/>
    </row>
    <row r="168" spans="80:112" x14ac:dyDescent="0.25">
      <c r="CM168" s="373"/>
      <c r="CP168" s="597"/>
      <c r="CQ168" s="597"/>
      <c r="CR168" s="597"/>
      <c r="CS168" s="597"/>
    </row>
    <row r="169" spans="80:112" x14ac:dyDescent="0.25">
      <c r="CP169" s="597"/>
      <c r="CQ169" s="597"/>
      <c r="CR169" s="597"/>
      <c r="CS169" s="597"/>
    </row>
  </sheetData>
  <mergeCells count="3">
    <mergeCell ref="A1:G1"/>
    <mergeCell ref="BW1:CC1"/>
    <mergeCell ref="CK1:CQ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tabColor rgb="FF00B050"/>
    <pageSetUpPr fitToPage="1"/>
  </sheetPr>
  <dimension ref="A1:AV82"/>
  <sheetViews>
    <sheetView showGridLines="0" zoomScale="80" zoomScaleNormal="80" zoomScaleSheetLayoutView="50" workbookViewId="0">
      <selection activeCell="M9" sqref="M9"/>
    </sheetView>
  </sheetViews>
  <sheetFormatPr baseColWidth="10" defaultColWidth="11.42578125" defaultRowHeight="12.75" customHeight="1" x14ac:dyDescent="0.2"/>
  <cols>
    <col min="1" max="1" width="3.7109375" style="10" customWidth="1"/>
    <col min="2" max="2" width="6.7109375" style="426" customWidth="1"/>
    <col min="3" max="3" width="6.7109375" style="427" customWidth="1"/>
    <col min="4" max="4" width="6.7109375" style="173" customWidth="1"/>
    <col min="5" max="5" width="6.5703125" style="174" hidden="1" customWidth="1"/>
    <col min="6" max="6" width="15.140625" style="13" hidden="1" customWidth="1"/>
    <col min="7" max="7" width="60.7109375" style="10" customWidth="1"/>
    <col min="8" max="10" width="21.28515625" style="9" customWidth="1"/>
    <col min="11" max="11" width="21.28515625" style="515" customWidth="1"/>
    <col min="12" max="12" width="21.28515625" style="9" customWidth="1"/>
    <col min="13" max="13" width="21.28515625" style="515" customWidth="1"/>
    <col min="14" max="14" width="21.28515625" style="9" customWidth="1"/>
    <col min="15" max="15" width="21.28515625" style="515" customWidth="1"/>
    <col min="16" max="17" width="20.7109375" style="9" customWidth="1"/>
    <col min="18" max="18" width="20.7109375" style="515" customWidth="1"/>
    <col min="19" max="19" width="23.7109375" style="134" hidden="1" customWidth="1"/>
    <col min="20" max="21" width="21.5703125" style="134" hidden="1" customWidth="1"/>
    <col min="22" max="23" width="21.5703125" style="127" hidden="1" customWidth="1"/>
    <col min="24" max="28" width="21.5703125" style="9" hidden="1" customWidth="1"/>
    <col min="29" max="29" width="23.140625" style="9" hidden="1" customWidth="1"/>
    <col min="30" max="31" width="23.140625" style="17" hidden="1" customWidth="1"/>
    <col min="32" max="38" width="21.5703125" style="9" hidden="1" customWidth="1"/>
    <col min="39" max="39" width="5.85546875" style="276" customWidth="1"/>
    <col min="40" max="40" width="16.7109375" style="897" customWidth="1"/>
    <col min="41" max="41" width="44.7109375" style="897" customWidth="1"/>
    <col min="42" max="42" width="13.42578125" style="1097" hidden="1" customWidth="1"/>
    <col min="43" max="43" width="38" style="276" hidden="1" customWidth="1"/>
    <col min="44" max="44" width="16.42578125" style="1099" customWidth="1"/>
    <col min="45" max="46" width="13.42578125" style="1099" customWidth="1"/>
    <col min="47" max="16384" width="11.42578125" style="10"/>
  </cols>
  <sheetData>
    <row r="1" spans="2:48" s="834" customFormat="1" ht="15" customHeight="1" x14ac:dyDescent="0.2">
      <c r="B1" s="928"/>
      <c r="C1" s="928"/>
      <c r="D1" s="928"/>
      <c r="E1" s="928"/>
      <c r="I1" s="928"/>
      <c r="J1" s="928"/>
      <c r="K1" s="924"/>
      <c r="L1" s="928"/>
      <c r="M1" s="929"/>
      <c r="O1" s="929"/>
      <c r="R1" s="924"/>
      <c r="Y1" s="838"/>
      <c r="AN1" s="898"/>
      <c r="AO1" s="898"/>
      <c r="AP1" s="928"/>
      <c r="AR1" s="1095"/>
      <c r="AS1" s="1095"/>
      <c r="AT1" s="1095"/>
    </row>
    <row r="2" spans="2:48" s="74" customFormat="1" ht="21" customHeight="1" x14ac:dyDescent="0.25">
      <c r="B2" s="1235" t="s">
        <v>275</v>
      </c>
      <c r="C2" s="1235"/>
      <c r="D2" s="1235"/>
      <c r="E2" s="1235"/>
      <c r="F2" s="1235"/>
      <c r="G2" s="1235"/>
      <c r="H2" s="1235"/>
      <c r="I2" s="1235"/>
      <c r="J2" s="1235"/>
      <c r="K2" s="1235"/>
      <c r="L2" s="1235"/>
      <c r="M2" s="1235"/>
      <c r="N2" s="1235"/>
      <c r="O2" s="1235"/>
      <c r="P2" s="1235"/>
      <c r="Q2" s="1235"/>
      <c r="R2" s="1235"/>
      <c r="S2" s="1235"/>
      <c r="T2" s="1235"/>
      <c r="U2" s="1235"/>
      <c r="V2" s="1235"/>
      <c r="W2" s="1235"/>
      <c r="X2" s="1235"/>
      <c r="Y2" s="1235"/>
      <c r="Z2" s="1235"/>
      <c r="AA2" s="1235"/>
      <c r="AB2" s="1235"/>
      <c r="AC2" s="1235"/>
      <c r="AD2" s="1235"/>
      <c r="AE2" s="1235"/>
      <c r="AF2" s="1235"/>
      <c r="AG2" s="1235"/>
      <c r="AH2" s="1235"/>
      <c r="AI2" s="1235"/>
      <c r="AJ2" s="1235"/>
      <c r="AK2" s="1235"/>
      <c r="AL2" s="1235"/>
      <c r="AM2" s="243"/>
      <c r="AN2" s="900"/>
      <c r="AO2" s="900"/>
      <c r="AP2" s="244"/>
      <c r="AQ2" s="243"/>
      <c r="AR2" s="616"/>
      <c r="AS2" s="616"/>
      <c r="AT2" s="616"/>
    </row>
    <row r="3" spans="2:48" s="74" customFormat="1" ht="27" hidden="1" customHeight="1" x14ac:dyDescent="0.25">
      <c r="B3" s="605"/>
      <c r="C3" s="606"/>
      <c r="D3" s="607"/>
      <c r="E3" s="607"/>
      <c r="F3" s="608"/>
      <c r="G3" s="609"/>
      <c r="H3" s="610"/>
      <c r="I3" s="610"/>
      <c r="J3" s="610"/>
      <c r="K3" s="611"/>
      <c r="L3" s="610"/>
      <c r="M3" s="611"/>
      <c r="N3" s="610"/>
      <c r="O3" s="611"/>
      <c r="P3" s="610"/>
      <c r="Q3" s="610"/>
      <c r="R3" s="611"/>
      <c r="S3" s="612" t="s">
        <v>264</v>
      </c>
      <c r="T3" s="612" t="s">
        <v>126</v>
      </c>
      <c r="U3" s="612" t="s">
        <v>264</v>
      </c>
      <c r="V3" s="612" t="s">
        <v>126</v>
      </c>
      <c r="W3" s="612" t="s">
        <v>264</v>
      </c>
      <c r="X3" s="612" t="s">
        <v>126</v>
      </c>
      <c r="Y3" s="612" t="s">
        <v>264</v>
      </c>
      <c r="Z3" s="612" t="s">
        <v>126</v>
      </c>
      <c r="AA3" s="612" t="s">
        <v>264</v>
      </c>
      <c r="AB3" s="612" t="s">
        <v>126</v>
      </c>
      <c r="AC3" s="612" t="s">
        <v>264</v>
      </c>
      <c r="AD3" s="612" t="s">
        <v>126</v>
      </c>
      <c r="AE3" s="612" t="s">
        <v>264</v>
      </c>
      <c r="AF3" s="612" t="s">
        <v>126</v>
      </c>
      <c r="AG3" s="612" t="s">
        <v>264</v>
      </c>
      <c r="AH3" s="612" t="s">
        <v>126</v>
      </c>
      <c r="AI3" s="612"/>
      <c r="AJ3" s="612"/>
      <c r="AK3" s="612"/>
      <c r="AL3" s="612"/>
      <c r="AM3" s="243"/>
      <c r="AN3" s="900"/>
      <c r="AO3" s="900"/>
      <c r="AP3" s="244"/>
      <c r="AQ3" s="243"/>
      <c r="AR3" s="616"/>
      <c r="AS3" s="616"/>
      <c r="AT3" s="616"/>
    </row>
    <row r="4" spans="2:48" s="74" customFormat="1" ht="27" hidden="1" customHeight="1" x14ac:dyDescent="0.25">
      <c r="B4" s="605"/>
      <c r="C4" s="606"/>
      <c r="D4" s="607"/>
      <c r="E4" s="607"/>
      <c r="F4" s="608"/>
      <c r="G4" s="609"/>
      <c r="H4" s="610"/>
      <c r="I4" s="610"/>
      <c r="J4" s="610"/>
      <c r="K4" s="611"/>
      <c r="L4" s="610"/>
      <c r="M4" s="611"/>
      <c r="N4" s="610"/>
      <c r="O4" s="611"/>
      <c r="P4" s="610"/>
      <c r="Q4" s="610"/>
      <c r="R4" s="611"/>
      <c r="S4" s="613"/>
      <c r="T4" s="613"/>
      <c r="U4" s="613"/>
      <c r="V4" s="614"/>
      <c r="W4" s="614"/>
      <c r="X4" s="615"/>
      <c r="Y4" s="615"/>
      <c r="Z4" s="615"/>
      <c r="AA4" s="615"/>
      <c r="AB4" s="615"/>
      <c r="AC4" s="615"/>
      <c r="AD4" s="616"/>
      <c r="AE4" s="616"/>
      <c r="AF4" s="617"/>
      <c r="AG4" s="617"/>
      <c r="AH4" s="617"/>
      <c r="AI4" s="617"/>
      <c r="AJ4" s="617"/>
      <c r="AK4" s="617"/>
      <c r="AL4" s="617"/>
      <c r="AM4" s="243"/>
      <c r="AN4" s="900"/>
      <c r="AO4" s="900"/>
      <c r="AP4" s="244"/>
      <c r="AQ4" s="243"/>
      <c r="AR4" s="616"/>
      <c r="AS4" s="616"/>
      <c r="AT4" s="616"/>
    </row>
    <row r="5" spans="2:48" s="74" customFormat="1" ht="27" customHeight="1" x14ac:dyDescent="0.25">
      <c r="B5" s="1245" t="s">
        <v>1088</v>
      </c>
      <c r="C5" s="1245"/>
      <c r="D5" s="1245"/>
      <c r="E5" s="1245"/>
      <c r="F5" s="1245"/>
      <c r="G5" s="1245"/>
      <c r="H5" s="1245"/>
      <c r="I5" s="1245"/>
      <c r="J5" s="1245"/>
      <c r="K5" s="1245"/>
      <c r="L5" s="1245"/>
      <c r="M5" s="1245"/>
      <c r="N5" s="1245"/>
      <c r="O5" s="1245"/>
      <c r="P5" s="1245"/>
      <c r="Q5" s="1245"/>
      <c r="R5" s="1245"/>
      <c r="S5" s="1245"/>
      <c r="T5" s="1245"/>
      <c r="U5" s="1245"/>
      <c r="V5" s="1245"/>
      <c r="W5" s="1245"/>
      <c r="X5" s="1245"/>
      <c r="Y5" s="1245"/>
      <c r="Z5" s="1245"/>
      <c r="AA5" s="1245"/>
      <c r="AB5" s="1245"/>
      <c r="AC5" s="1245"/>
      <c r="AD5" s="1245"/>
      <c r="AE5" s="1245"/>
      <c r="AF5" s="1245"/>
      <c r="AG5" s="1245"/>
      <c r="AH5" s="1245"/>
      <c r="AI5" s="1245"/>
      <c r="AJ5" s="1245"/>
      <c r="AK5" s="1245"/>
      <c r="AL5" s="1245"/>
      <c r="AM5" s="243"/>
      <c r="AN5" s="900"/>
      <c r="AO5" s="900"/>
      <c r="AP5" s="244"/>
      <c r="AQ5" s="243"/>
      <c r="AR5" s="616"/>
      <c r="AS5" s="616"/>
      <c r="AT5" s="616"/>
    </row>
    <row r="6" spans="2:48" s="74" customFormat="1" ht="30" customHeight="1" x14ac:dyDescent="0.25">
      <c r="B6" s="1246" t="s">
        <v>274</v>
      </c>
      <c r="C6" s="1246"/>
      <c r="D6" s="1246"/>
      <c r="E6" s="1246"/>
      <c r="F6" s="1246"/>
      <c r="G6" s="1246"/>
      <c r="H6" s="1225" t="s">
        <v>1000</v>
      </c>
      <c r="I6" s="1225"/>
      <c r="J6" s="1225"/>
      <c r="K6" s="1225"/>
      <c r="L6" s="1225"/>
      <c r="M6" s="1225"/>
      <c r="N6" s="1225"/>
      <c r="O6" s="1225"/>
      <c r="P6" s="1218" t="s">
        <v>870</v>
      </c>
      <c r="Q6" s="1218"/>
      <c r="R6" s="1218"/>
      <c r="S6" s="1234" t="s">
        <v>0</v>
      </c>
      <c r="T6" s="1234"/>
      <c r="U6" s="1234" t="s">
        <v>135</v>
      </c>
      <c r="V6" s="1234"/>
      <c r="W6" s="1240" t="s">
        <v>6</v>
      </c>
      <c r="X6" s="1241"/>
      <c r="Y6" s="1240" t="s">
        <v>7</v>
      </c>
      <c r="Z6" s="1241"/>
      <c r="AA6" s="1240" t="s">
        <v>8</v>
      </c>
      <c r="AB6" s="1241"/>
      <c r="AC6" s="1240" t="s">
        <v>9</v>
      </c>
      <c r="AD6" s="1241"/>
      <c r="AE6" s="1240" t="s">
        <v>79</v>
      </c>
      <c r="AF6" s="1241"/>
      <c r="AG6" s="1240" t="s">
        <v>10</v>
      </c>
      <c r="AH6" s="1241"/>
      <c r="AI6" s="370" t="s">
        <v>11</v>
      </c>
      <c r="AJ6" s="370" t="s">
        <v>12</v>
      </c>
      <c r="AK6" s="370" t="s">
        <v>13</v>
      </c>
      <c r="AL6" s="370" t="s">
        <v>14</v>
      </c>
      <c r="AM6" s="243"/>
      <c r="AN6" s="900"/>
      <c r="AO6" s="900"/>
      <c r="AP6" s="244"/>
      <c r="AQ6" s="243"/>
      <c r="AR6" s="616"/>
      <c r="AS6" s="616"/>
      <c r="AT6" s="616"/>
    </row>
    <row r="7" spans="2:48" ht="15.75" hidden="1" customHeight="1" x14ac:dyDescent="0.2">
      <c r="B7" s="1246"/>
      <c r="C7" s="1246"/>
      <c r="D7" s="1246"/>
      <c r="E7" s="1246"/>
      <c r="F7" s="1246"/>
      <c r="G7" s="1246"/>
      <c r="H7" s="839" t="s">
        <v>129</v>
      </c>
      <c r="I7" s="839" t="s">
        <v>130</v>
      </c>
      <c r="J7" s="839" t="s">
        <v>131</v>
      </c>
      <c r="K7" s="872" t="s">
        <v>132</v>
      </c>
      <c r="L7" s="839" t="s">
        <v>702</v>
      </c>
      <c r="M7" s="872" t="s">
        <v>704</v>
      </c>
      <c r="N7" s="839" t="s">
        <v>703</v>
      </c>
      <c r="O7" s="872" t="s">
        <v>705</v>
      </c>
      <c r="P7" s="873" t="s">
        <v>870</v>
      </c>
      <c r="Q7" s="840" t="s">
        <v>130</v>
      </c>
      <c r="R7" s="874" t="s">
        <v>133</v>
      </c>
      <c r="S7" s="1234" t="s">
        <v>0</v>
      </c>
      <c r="T7" s="1234"/>
      <c r="U7" s="1247" t="s">
        <v>135</v>
      </c>
      <c r="V7" s="1247"/>
      <c r="W7" s="1242" t="s">
        <v>6</v>
      </c>
      <c r="X7" s="1243"/>
      <c r="Y7" s="1242" t="s">
        <v>7</v>
      </c>
      <c r="Z7" s="1243"/>
      <c r="AA7" s="1242" t="s">
        <v>8</v>
      </c>
      <c r="AB7" s="1243"/>
      <c r="AC7" s="1242" t="s">
        <v>9</v>
      </c>
      <c r="AD7" s="1243"/>
      <c r="AE7" s="988"/>
      <c r="AF7" s="408" t="s">
        <v>79</v>
      </c>
      <c r="AG7" s="408"/>
      <c r="AH7" s="408" t="s">
        <v>10</v>
      </c>
      <c r="AI7" s="408" t="s">
        <v>11</v>
      </c>
      <c r="AJ7" s="408" t="s">
        <v>12</v>
      </c>
      <c r="AK7" s="408" t="s">
        <v>13</v>
      </c>
      <c r="AL7" s="408" t="s">
        <v>14</v>
      </c>
    </row>
    <row r="8" spans="2:48" s="15" customFormat="1" ht="39.950000000000003" customHeight="1" x14ac:dyDescent="0.25">
      <c r="B8" s="1246"/>
      <c r="C8" s="1246"/>
      <c r="D8" s="1246"/>
      <c r="E8" s="1246"/>
      <c r="F8" s="1246"/>
      <c r="G8" s="1246"/>
      <c r="H8" s="845" t="s">
        <v>993</v>
      </c>
      <c r="I8" s="845" t="s">
        <v>994</v>
      </c>
      <c r="J8" s="845" t="s">
        <v>1143</v>
      </c>
      <c r="K8" s="875" t="s">
        <v>1144</v>
      </c>
      <c r="L8" s="845" t="s">
        <v>715</v>
      </c>
      <c r="M8" s="875" t="s">
        <v>714</v>
      </c>
      <c r="N8" s="845" t="s">
        <v>712</v>
      </c>
      <c r="O8" s="875" t="s">
        <v>713</v>
      </c>
      <c r="P8" s="847" t="s">
        <v>1145</v>
      </c>
      <c r="Q8" s="847" t="s">
        <v>1146</v>
      </c>
      <c r="R8" s="876" t="s">
        <v>1147</v>
      </c>
      <c r="S8" s="409" t="s">
        <v>1001</v>
      </c>
      <c r="T8" s="409" t="s">
        <v>871</v>
      </c>
      <c r="U8" s="409" t="s">
        <v>1001</v>
      </c>
      <c r="V8" s="409" t="s">
        <v>871</v>
      </c>
      <c r="W8" s="409" t="s">
        <v>1001</v>
      </c>
      <c r="X8" s="409" t="s">
        <v>871</v>
      </c>
      <c r="Y8" s="409" t="s">
        <v>1001</v>
      </c>
      <c r="Z8" s="409" t="s">
        <v>871</v>
      </c>
      <c r="AA8" s="409" t="s">
        <v>1001</v>
      </c>
      <c r="AB8" s="409" t="s">
        <v>871</v>
      </c>
      <c r="AC8" s="409" t="s">
        <v>1001</v>
      </c>
      <c r="AD8" s="409" t="s">
        <v>871</v>
      </c>
      <c r="AE8" s="409" t="s">
        <v>1001</v>
      </c>
      <c r="AF8" s="409" t="s">
        <v>871</v>
      </c>
      <c r="AG8" s="409" t="s">
        <v>1001</v>
      </c>
      <c r="AH8" s="409" t="s">
        <v>871</v>
      </c>
      <c r="AI8" s="409" t="s">
        <v>871</v>
      </c>
      <c r="AJ8" s="409" t="s">
        <v>871</v>
      </c>
      <c r="AK8" s="409" t="s">
        <v>871</v>
      </c>
      <c r="AL8" s="409" t="s">
        <v>871</v>
      </c>
      <c r="AM8" s="244"/>
      <c r="AN8" s="901"/>
      <c r="AO8" s="900"/>
      <c r="AP8" s="244"/>
      <c r="AQ8" s="244"/>
      <c r="AR8" s="616"/>
      <c r="AS8" s="616"/>
      <c r="AT8" s="616"/>
    </row>
    <row r="9" spans="2:48" s="171" customFormat="1" ht="39.950000000000003" customHeight="1" x14ac:dyDescent="0.25">
      <c r="B9" s="421" t="s">
        <v>91</v>
      </c>
      <c r="C9" s="424" t="s">
        <v>92</v>
      </c>
      <c r="D9" s="419" t="s">
        <v>93</v>
      </c>
      <c r="E9" s="419" t="s">
        <v>94</v>
      </c>
      <c r="F9" s="420" t="s">
        <v>214</v>
      </c>
      <c r="G9" s="421" t="s">
        <v>136</v>
      </c>
      <c r="H9" s="229">
        <f>+H10+H53+H61+H63+H46</f>
        <v>6445274</v>
      </c>
      <c r="I9" s="229">
        <f>+I10+I53+I63+I61+I46</f>
        <v>7784837</v>
      </c>
      <c r="J9" s="229">
        <f ca="1">+J10+J53+J63+J61+J46</f>
        <v>3115503.5069999998</v>
      </c>
      <c r="K9" s="513">
        <f ca="1">IFERROR(J9/I9,0)</f>
        <v>0.40020150800845283</v>
      </c>
      <c r="L9" s="230">
        <f>+L10+L53+L63+L61+L46</f>
        <v>5060873.6679999996</v>
      </c>
      <c r="M9" s="513">
        <f t="shared" ref="M9" si="0">IFERROR(+L9/I9,0)</f>
        <v>0.65009372296427015</v>
      </c>
      <c r="N9" s="229">
        <f>+I9-L9</f>
        <v>2723963.3320000004</v>
      </c>
      <c r="O9" s="513">
        <f t="shared" ref="O9" si="1">+IFERROR(N9/I9,0)</f>
        <v>0.34990627703572991</v>
      </c>
      <c r="P9" s="404">
        <f>+P10+P46+P53+P61</f>
        <v>8215744.9682</v>
      </c>
      <c r="Q9" s="404">
        <f>+Q10+Q46+Q53+Q61</f>
        <v>3810378.3997800006</v>
      </c>
      <c r="R9" s="513">
        <f>IFERROR(Q9/P9,"0,00%")</f>
        <v>0.46378976155278856</v>
      </c>
      <c r="S9" s="535">
        <f>+S10+S53+S63+S61+S46</f>
        <v>1410532.5089999998</v>
      </c>
      <c r="T9" s="535">
        <f>+T10+T53+T63+T61+T46</f>
        <v>789654.60551399994</v>
      </c>
      <c r="U9" s="410">
        <f>+U10+U53+U63+U61+U46</f>
        <v>118142.27899999999</v>
      </c>
      <c r="V9" s="410">
        <f>+V10+V53+V63+V61</f>
        <v>301669.49710799998</v>
      </c>
      <c r="W9" s="410">
        <f>+W10+W46+W53+W61+W63</f>
        <v>40166.908000000003</v>
      </c>
      <c r="X9" s="410">
        <f>+X10+X46+X53+X61+X63</f>
        <v>375137.20654599997</v>
      </c>
      <c r="Y9" s="410">
        <f>+Y10+Y53+Y63+Y61+Y46</f>
        <v>119048.29500000001</v>
      </c>
      <c r="Z9" s="410">
        <f>+Z10+Z53+Z63+Z61</f>
        <v>656271.96797400003</v>
      </c>
      <c r="AA9" s="410">
        <f>AA10+AA46+AA53</f>
        <v>77272.67300000001</v>
      </c>
      <c r="AB9" s="410">
        <f t="shared" ref="AB9:AI9" si="2">+AB10+AB46+AB53</f>
        <v>701183.03387600009</v>
      </c>
      <c r="AC9" s="410">
        <f t="shared" si="2"/>
        <v>687013.86100000003</v>
      </c>
      <c r="AD9" s="410">
        <f t="shared" si="2"/>
        <v>274315.27155599999</v>
      </c>
      <c r="AE9" s="410">
        <f>+AE10+AE46+AE53</f>
        <v>498176.11499999999</v>
      </c>
      <c r="AF9" s="410">
        <f t="shared" si="2"/>
        <v>331651.57997199998</v>
      </c>
      <c r="AG9" s="410">
        <f t="shared" si="2"/>
        <v>151930.22600000002</v>
      </c>
      <c r="AH9" s="410">
        <f t="shared" si="2"/>
        <v>380495.237234</v>
      </c>
      <c r="AI9" s="410">
        <f t="shared" si="2"/>
        <v>244290.62400000001</v>
      </c>
      <c r="AJ9" s="410">
        <f>AJ10+AJ46+AJ53</f>
        <v>203623.549</v>
      </c>
      <c r="AK9" s="410">
        <f>+AK10+AK46+AK53</f>
        <v>840480.97100000014</v>
      </c>
      <c r="AL9" s="410">
        <f>+AL10+AL46+AL53</f>
        <v>2372175.5350000001</v>
      </c>
      <c r="AM9" s="346"/>
      <c r="AN9" s="1100"/>
      <c r="AO9" s="1100"/>
      <c r="AP9" s="1100"/>
      <c r="AQ9" s="1100"/>
      <c r="AR9" s="1101"/>
      <c r="AS9" s="1101"/>
      <c r="AT9" s="1101"/>
      <c r="AU9" s="1072"/>
      <c r="AV9" s="1072"/>
    </row>
    <row r="10" spans="2:48" s="74" customFormat="1" ht="15" customHeight="1" x14ac:dyDescent="0.25">
      <c r="B10" s="508">
        <v>24</v>
      </c>
      <c r="C10" s="172" t="s">
        <v>2</v>
      </c>
      <c r="D10" s="38"/>
      <c r="E10" s="38"/>
      <c r="F10" s="90"/>
      <c r="G10" s="403" t="s">
        <v>145</v>
      </c>
      <c r="H10" s="145">
        <f>+H11+H20+H13+H44</f>
        <v>5026053</v>
      </c>
      <c r="I10" s="145">
        <f t="shared" ref="I10:N10" si="3">+I11+I20+I13+I44</f>
        <v>5026053</v>
      </c>
      <c r="J10" s="145">
        <f t="shared" ca="1" si="3"/>
        <v>1412168.727</v>
      </c>
      <c r="K10" s="514">
        <f ca="1">IFERROR(J10/I10,0)</f>
        <v>0.28096972455324287</v>
      </c>
      <c r="L10" s="145">
        <f t="shared" si="3"/>
        <v>2589826.1379999998</v>
      </c>
      <c r="M10" s="514">
        <f>IFERROR(+L10/I10,0)</f>
        <v>0.51528030802699454</v>
      </c>
      <c r="N10" s="145">
        <f t="shared" si="3"/>
        <v>2436226.8619999997</v>
      </c>
      <c r="O10" s="514">
        <f>+IFERROR(N10/I10,0)</f>
        <v>0.48471969197300541</v>
      </c>
      <c r="P10" s="88">
        <f>+P20+P11</f>
        <v>6230504.5819999995</v>
      </c>
      <c r="Q10" s="88">
        <f>+Q20+Q11</f>
        <v>2647318.2698060004</v>
      </c>
      <c r="R10" s="514">
        <f>IFERROR(Q10/P10,"0,00%")</f>
        <v>0.42489628808782742</v>
      </c>
      <c r="S10" s="405">
        <f t="shared" ref="S10:AL10" si="4">+S20</f>
        <v>0</v>
      </c>
      <c r="T10" s="405">
        <f t="shared" si="4"/>
        <v>123503.655402</v>
      </c>
      <c r="U10" s="411">
        <f>+U20++U11+U13+U44</f>
        <v>113636.14499999999</v>
      </c>
      <c r="V10" s="411">
        <f>+V20++V11+V13</f>
        <v>155290.06234</v>
      </c>
      <c r="W10" s="411">
        <f>+W20+W11+W13+W44</f>
        <v>16574.987000000001</v>
      </c>
      <c r="X10" s="411">
        <f t="shared" si="4"/>
        <v>358524.49842999998</v>
      </c>
      <c r="Y10" s="411">
        <f>+Y11+Y13+Y20+Y44</f>
        <v>96299.224000000002</v>
      </c>
      <c r="Z10" s="411">
        <f>+Z11+Z13+Z20+Z44</f>
        <v>571785.013714</v>
      </c>
      <c r="AA10" s="411">
        <f>AA11+AA13+AA20+AA44</f>
        <v>66126.339000000007</v>
      </c>
      <c r="AB10" s="411">
        <f>+AB20</f>
        <v>646696.99142000009</v>
      </c>
      <c r="AC10" s="411">
        <f>+AC11+AC13+AC20</f>
        <v>666943.39100000006</v>
      </c>
      <c r="AD10" s="411">
        <f>+AD11+AD13+AD20</f>
        <v>230965.04975599999</v>
      </c>
      <c r="AE10" s="411">
        <f>+AE20+AE11+AE13</f>
        <v>346748.50699999998</v>
      </c>
      <c r="AF10" s="411">
        <f t="shared" si="4"/>
        <v>257763.34017399998</v>
      </c>
      <c r="AG10" s="411">
        <f>+AG20+AG11+AG13</f>
        <v>92619.493000000002</v>
      </c>
      <c r="AH10" s="411">
        <f>+AH20</f>
        <v>302789.65857000003</v>
      </c>
      <c r="AI10" s="411">
        <f>+AI20</f>
        <v>197302.51500000001</v>
      </c>
      <c r="AJ10" s="411">
        <f>AJ11+AJ20</f>
        <v>133855.99300000002</v>
      </c>
      <c r="AK10" s="411">
        <f>+AK20</f>
        <v>790069.5340000001</v>
      </c>
      <c r="AL10" s="88">
        <f t="shared" si="4"/>
        <v>1963623.1230000001</v>
      </c>
      <c r="AM10" s="346"/>
      <c r="AN10" s="1072"/>
      <c r="AO10" s="1093"/>
      <c r="AP10" s="1096"/>
      <c r="AQ10" s="1093"/>
      <c r="AR10" s="1092"/>
      <c r="AS10" s="1092"/>
      <c r="AT10" s="1092"/>
    </row>
    <row r="11" spans="2:48" s="74" customFormat="1" ht="15" hidden="1" customHeight="1" x14ac:dyDescent="0.25">
      <c r="B11" s="508"/>
      <c r="C11" s="172">
        <v>2</v>
      </c>
      <c r="D11" s="38"/>
      <c r="E11" s="38"/>
      <c r="F11" s="90"/>
      <c r="G11" s="403" t="s">
        <v>86</v>
      </c>
      <c r="H11" s="145">
        <f>+H12</f>
        <v>0</v>
      </c>
      <c r="I11" s="145">
        <f>+I12</f>
        <v>0</v>
      </c>
      <c r="J11" s="145">
        <f ca="1">+J12</f>
        <v>0</v>
      </c>
      <c r="K11" s="514">
        <f ca="1">IFERROR(J11/I11,0)</f>
        <v>0</v>
      </c>
      <c r="L11" s="145">
        <f>+L12</f>
        <v>0</v>
      </c>
      <c r="M11" s="514">
        <f>IFERROR(+L11/I11,0)</f>
        <v>0</v>
      </c>
      <c r="N11" s="145">
        <f t="shared" ref="N11:N32" si="5">+I11-L11</f>
        <v>0</v>
      </c>
      <c r="O11" s="514">
        <f>+IFERROR(N11/I11,0)</f>
        <v>0</v>
      </c>
      <c r="P11" s="88">
        <f>+P12</f>
        <v>0</v>
      </c>
      <c r="Q11" s="88">
        <f>+Q12</f>
        <v>0</v>
      </c>
      <c r="R11" s="514" t="str">
        <f t="shared" ref="R11" si="6">IFERROR(Q11/P11,"0,00%")</f>
        <v>0,00%</v>
      </c>
      <c r="S11" s="405">
        <v>0</v>
      </c>
      <c r="T11" s="405">
        <v>0</v>
      </c>
      <c r="U11" s="405">
        <f>+U12</f>
        <v>0</v>
      </c>
      <c r="V11" s="405">
        <v>0</v>
      </c>
      <c r="W11" s="405">
        <v>0</v>
      </c>
      <c r="X11" s="405">
        <v>0</v>
      </c>
      <c r="Y11" s="405">
        <f>+Y12</f>
        <v>0</v>
      </c>
      <c r="Z11" s="405">
        <f>+Z12</f>
        <v>0</v>
      </c>
      <c r="AA11" s="405">
        <f>AA12</f>
        <v>0</v>
      </c>
      <c r="AB11" s="405">
        <v>0</v>
      </c>
      <c r="AC11" s="405">
        <v>0</v>
      </c>
      <c r="AD11" s="405">
        <v>0</v>
      </c>
      <c r="AE11" s="405">
        <v>0</v>
      </c>
      <c r="AF11" s="405">
        <v>0</v>
      </c>
      <c r="AG11" s="405">
        <v>0</v>
      </c>
      <c r="AH11" s="405">
        <v>0</v>
      </c>
      <c r="AI11" s="405">
        <f>+AI12</f>
        <v>0</v>
      </c>
      <c r="AJ11" s="405">
        <f>AJ12</f>
        <v>0</v>
      </c>
      <c r="AK11" s="405">
        <v>0</v>
      </c>
      <c r="AL11" s="405">
        <v>0</v>
      </c>
      <c r="AM11" s="346"/>
      <c r="AN11" s="1072"/>
      <c r="AO11" s="1093"/>
      <c r="AP11" s="1096"/>
      <c r="AQ11" s="1093"/>
      <c r="AR11" s="1092"/>
      <c r="AS11" s="1092"/>
      <c r="AT11" s="1092"/>
    </row>
    <row r="12" spans="2:48" s="243" customFormat="1" ht="15" hidden="1" customHeight="1" x14ac:dyDescent="0.25">
      <c r="B12" s="375"/>
      <c r="C12" s="393"/>
      <c r="D12" s="254">
        <v>500</v>
      </c>
      <c r="E12" s="254"/>
      <c r="F12" s="255"/>
      <c r="G12" s="422" t="s">
        <v>938</v>
      </c>
      <c r="H12" s="246">
        <v>0</v>
      </c>
      <c r="I12" s="246">
        <v>0</v>
      </c>
      <c r="J12" s="246">
        <f ca="1">+SUMIF(S$3:$AL5,"ok",S12:AL12)</f>
        <v>0</v>
      </c>
      <c r="K12" s="516">
        <f ca="1">IFERROR(J12/I12,0)</f>
        <v>0</v>
      </c>
      <c r="L12" s="246">
        <v>0</v>
      </c>
      <c r="M12" s="516">
        <f>IFERROR(+L12/I12,0)</f>
        <v>0</v>
      </c>
      <c r="N12" s="246">
        <f t="shared" si="5"/>
        <v>0</v>
      </c>
      <c r="O12" s="516">
        <f>+IFERROR(N12/I12,0)</f>
        <v>0</v>
      </c>
      <c r="P12" s="251">
        <v>0</v>
      </c>
      <c r="Q12" s="252">
        <f>SUMIF($S$3:$AL$3,"SI",S12:AL12)</f>
        <v>0</v>
      </c>
      <c r="R12" s="516" t="str">
        <f>IFERROR(Q12/P12,"0,00%")</f>
        <v>0,00%</v>
      </c>
      <c r="S12" s="406">
        <v>0</v>
      </c>
      <c r="T12" s="406">
        <v>0</v>
      </c>
      <c r="U12" s="406">
        <v>0</v>
      </c>
      <c r="V12" s="429">
        <v>0</v>
      </c>
      <c r="W12" s="429">
        <v>0</v>
      </c>
      <c r="X12" s="429">
        <v>0</v>
      </c>
      <c r="Y12" s="429">
        <v>0</v>
      </c>
      <c r="Z12" s="429">
        <v>0</v>
      </c>
      <c r="AA12" s="429">
        <v>0</v>
      </c>
      <c r="AB12" s="429">
        <v>0</v>
      </c>
      <c r="AC12" s="429">
        <v>0</v>
      </c>
      <c r="AD12" s="429">
        <v>0</v>
      </c>
      <c r="AE12" s="429">
        <v>0</v>
      </c>
      <c r="AF12" s="429">
        <v>0</v>
      </c>
      <c r="AG12" s="429">
        <v>0</v>
      </c>
      <c r="AH12" s="429">
        <v>0</v>
      </c>
      <c r="AI12" s="429">
        <v>0</v>
      </c>
      <c r="AJ12" s="429">
        <v>0</v>
      </c>
      <c r="AK12" s="429">
        <v>0</v>
      </c>
      <c r="AL12" s="429">
        <v>0</v>
      </c>
      <c r="AM12" s="346"/>
      <c r="AN12" s="1072"/>
      <c r="AO12" s="1093"/>
      <c r="AP12" s="1096"/>
      <c r="AQ12" s="1093"/>
      <c r="AR12" s="1092"/>
      <c r="AS12" s="1092"/>
      <c r="AT12" s="1092"/>
    </row>
    <row r="13" spans="2:48" s="1077" customFormat="1" ht="15" customHeight="1" x14ac:dyDescent="0.25">
      <c r="B13" s="497"/>
      <c r="C13" s="794">
        <v>1</v>
      </c>
      <c r="D13" s="33"/>
      <c r="E13" s="33"/>
      <c r="F13" s="1019"/>
      <c r="G13" s="990" t="s">
        <v>298</v>
      </c>
      <c r="H13" s="991">
        <f>+H14</f>
        <v>2681203</v>
      </c>
      <c r="I13" s="991">
        <f t="shared" ref="I13" si="7">+I14</f>
        <v>2681203</v>
      </c>
      <c r="J13" s="991">
        <f t="shared" ref="J13:J19" si="8">SUMIF($S$3:$AL$3,"ok",S13:AL13)</f>
        <v>861901.32700000005</v>
      </c>
      <c r="K13" s="902">
        <f t="shared" ref="K13:K63" si="9">IFERROR(J13/I13,0)</f>
        <v>0.32146067530134798</v>
      </c>
      <c r="L13" s="991">
        <f>+L14</f>
        <v>1091682.5870000001</v>
      </c>
      <c r="M13" s="902">
        <f t="shared" ref="M13:M63" si="10">IFERROR(+L13/I13,0)</f>
        <v>0.40716148199147922</v>
      </c>
      <c r="N13" s="991">
        <f t="shared" ref="N13" si="11">+N14</f>
        <v>1589520.4129999997</v>
      </c>
      <c r="O13" s="902">
        <f t="shared" ref="O13:O63" si="12">+IFERROR(N13/I13,0)</f>
        <v>0.59283851800852072</v>
      </c>
      <c r="P13" s="949">
        <f>+P14</f>
        <v>0</v>
      </c>
      <c r="Q13" s="1020">
        <f>+Q14</f>
        <v>0</v>
      </c>
      <c r="R13" s="902" t="str">
        <f t="shared" ref="R13:R63" si="13">IFERROR(Q13/P13,"0,00%")</f>
        <v>0,00%</v>
      </c>
      <c r="S13" s="1016">
        <f>+S14</f>
        <v>13220.641000000001</v>
      </c>
      <c r="T13" s="1016">
        <f>+T14</f>
        <v>0</v>
      </c>
      <c r="U13" s="537">
        <f>+U14</f>
        <v>2558.3020000000001</v>
      </c>
      <c r="V13" s="537">
        <f>+V14</f>
        <v>0</v>
      </c>
      <c r="W13" s="537">
        <f>+W14</f>
        <v>2223.7800000000002</v>
      </c>
      <c r="X13" s="537">
        <v>0</v>
      </c>
      <c r="Y13" s="537">
        <f>+Y14</f>
        <v>92491.224000000002</v>
      </c>
      <c r="Z13" s="537">
        <v>0</v>
      </c>
      <c r="AA13" s="537">
        <f>AA14</f>
        <v>35346.339</v>
      </c>
      <c r="AB13" s="537">
        <f>SUM(AB14:AB19)</f>
        <v>0</v>
      </c>
      <c r="AC13" s="537">
        <f>+AC14</f>
        <v>320543.391</v>
      </c>
      <c r="AD13" s="537">
        <v>0</v>
      </c>
      <c r="AE13" s="537">
        <f>+AE14</f>
        <v>334190.65700000001</v>
      </c>
      <c r="AF13" s="537">
        <v>0</v>
      </c>
      <c r="AG13" s="537">
        <f>+AG14</f>
        <v>61326.993000000002</v>
      </c>
      <c r="AH13" s="537">
        <v>0</v>
      </c>
      <c r="AI13" s="537">
        <v>0</v>
      </c>
      <c r="AJ13" s="537">
        <v>0</v>
      </c>
      <c r="AK13" s="537">
        <v>0</v>
      </c>
      <c r="AL13" s="537">
        <v>0</v>
      </c>
      <c r="AM13" s="1104"/>
      <c r="AN13" s="1105"/>
      <c r="AO13" s="1094"/>
      <c r="AP13" s="1102"/>
      <c r="AQ13" s="1094"/>
      <c r="AR13" s="1103"/>
      <c r="AS13" s="1103"/>
      <c r="AT13" s="1103"/>
    </row>
    <row r="14" spans="2:48" s="243" customFormat="1" ht="15" customHeight="1" x14ac:dyDescent="0.25">
      <c r="B14" s="375"/>
      <c r="C14" s="393"/>
      <c r="D14" s="254">
        <v>30</v>
      </c>
      <c r="E14" s="254"/>
      <c r="F14" s="254" t="s">
        <v>1020</v>
      </c>
      <c r="G14" s="422" t="s">
        <v>297</v>
      </c>
      <c r="H14" s="246">
        <f>SUM(H15:H19)</f>
        <v>2681203</v>
      </c>
      <c r="I14" s="246">
        <f>SUM(I15:I19)</f>
        <v>2681203</v>
      </c>
      <c r="J14" s="246">
        <f t="shared" si="8"/>
        <v>861901.32700000005</v>
      </c>
      <c r="K14" s="516">
        <f t="shared" si="9"/>
        <v>0.32146067530134798</v>
      </c>
      <c r="L14" s="246">
        <f>SUM(L15:L19)</f>
        <v>1091682.5870000001</v>
      </c>
      <c r="M14" s="516">
        <f t="shared" si="10"/>
        <v>0.40716148199147922</v>
      </c>
      <c r="N14" s="246">
        <f>SUM(N15:N19)</f>
        <v>1589520.4129999997</v>
      </c>
      <c r="O14" s="516">
        <f t="shared" si="12"/>
        <v>0.59283851800852072</v>
      </c>
      <c r="P14" s="251">
        <f>SUM(P15:P19)</f>
        <v>0</v>
      </c>
      <c r="Q14" s="251">
        <f>SUM(Q15:Q19)</f>
        <v>0</v>
      </c>
      <c r="R14" s="516" t="str">
        <f t="shared" si="13"/>
        <v>0,00%</v>
      </c>
      <c r="S14" s="406">
        <f>SUM(S15:S19)</f>
        <v>13220.641000000001</v>
      </c>
      <c r="T14" s="406">
        <f>SUM(T15:T19)</f>
        <v>0</v>
      </c>
      <c r="U14" s="429">
        <f>SUM(U15:U19)</f>
        <v>2558.3020000000001</v>
      </c>
      <c r="V14" s="429">
        <f>SUM(V15:V19)</f>
        <v>0</v>
      </c>
      <c r="W14" s="429">
        <f>SUM(W15:W19)</f>
        <v>2223.7800000000002</v>
      </c>
      <c r="X14" s="429">
        <v>0</v>
      </c>
      <c r="Y14" s="429">
        <f>SUM(Y15:Y19)</f>
        <v>92491.224000000002</v>
      </c>
      <c r="Z14" s="429">
        <v>0</v>
      </c>
      <c r="AA14" s="429">
        <f>SUM(AA15:AA19)</f>
        <v>35346.339</v>
      </c>
      <c r="AB14" s="429">
        <v>0</v>
      </c>
      <c r="AC14" s="429">
        <f>+AC15+AC16+AC17+AC18+AC19</f>
        <v>320543.391</v>
      </c>
      <c r="AD14" s="429">
        <v>0</v>
      </c>
      <c r="AE14" s="429">
        <f>+AE15+AE16+AE17+AE18+AE19</f>
        <v>334190.65700000001</v>
      </c>
      <c r="AF14" s="429">
        <v>0</v>
      </c>
      <c r="AG14" s="429">
        <f>+AG15+AG16+AG17+AG18+AG19</f>
        <v>61326.993000000002</v>
      </c>
      <c r="AH14" s="429">
        <v>0</v>
      </c>
      <c r="AI14" s="429">
        <v>0</v>
      </c>
      <c r="AJ14" s="429">
        <v>0</v>
      </c>
      <c r="AK14" s="429">
        <v>0</v>
      </c>
      <c r="AL14" s="429">
        <v>0</v>
      </c>
      <c r="AM14" s="346"/>
      <c r="AN14" s="1072"/>
      <c r="AO14" s="1093"/>
      <c r="AP14" s="1096"/>
      <c r="AQ14" s="1093"/>
      <c r="AR14" s="1092"/>
      <c r="AS14" s="1092"/>
      <c r="AT14" s="1092"/>
    </row>
    <row r="15" spans="2:48" s="243" customFormat="1" ht="15" hidden="1" customHeight="1" x14ac:dyDescent="0.25">
      <c r="B15" s="375"/>
      <c r="C15" s="393"/>
      <c r="D15" s="254"/>
      <c r="E15" s="254">
        <v>1</v>
      </c>
      <c r="F15" s="255"/>
      <c r="G15" s="422" t="s">
        <v>317</v>
      </c>
      <c r="H15" s="246">
        <f>+'P02 2025'!H3</f>
        <v>2375000</v>
      </c>
      <c r="I15" s="246">
        <f>'P02 2025'!EE3</f>
        <v>2375000</v>
      </c>
      <c r="J15" s="246">
        <f t="shared" si="8"/>
        <v>820606.18499999994</v>
      </c>
      <c r="K15" s="516">
        <f t="shared" si="9"/>
        <v>0.3455183936842105</v>
      </c>
      <c r="L15" s="246">
        <f>'P02 2025'!EF12</f>
        <v>991459.60800000001</v>
      </c>
      <c r="M15" s="516">
        <f t="shared" si="10"/>
        <v>0.41745667705263156</v>
      </c>
      <c r="N15" s="246">
        <f>+I15-L15</f>
        <v>1383540.392</v>
      </c>
      <c r="O15" s="516">
        <f t="shared" si="12"/>
        <v>0.58254332294736844</v>
      </c>
      <c r="P15" s="251">
        <v>0</v>
      </c>
      <c r="Q15" s="252">
        <v>0</v>
      </c>
      <c r="R15" s="516" t="str">
        <f t="shared" si="13"/>
        <v>0,00%</v>
      </c>
      <c r="S15" s="406">
        <v>0</v>
      </c>
      <c r="T15" s="406"/>
      <c r="U15" s="406">
        <v>0</v>
      </c>
      <c r="V15" s="429">
        <v>0</v>
      </c>
      <c r="W15" s="429">
        <v>0</v>
      </c>
      <c r="X15" s="429">
        <v>0</v>
      </c>
      <c r="Y15" s="429">
        <f>+'P02 2025'!BB3</f>
        <v>90267.444000000003</v>
      </c>
      <c r="Z15" s="429">
        <v>0</v>
      </c>
      <c r="AA15" s="429">
        <f>'P02 2025'!BT3</f>
        <v>27584.400000000001</v>
      </c>
      <c r="AB15" s="429">
        <v>0</v>
      </c>
      <c r="AC15" s="429">
        <f>+'P02 2025'!CL4</f>
        <v>314684.25099999999</v>
      </c>
      <c r="AD15" s="429">
        <v>0</v>
      </c>
      <c r="AE15" s="429">
        <f>+'P02 2025'!DD4</f>
        <v>330466.87699999998</v>
      </c>
      <c r="AF15" s="429">
        <v>0</v>
      </c>
      <c r="AG15" s="429">
        <f>+'P02 2025'!DV3</f>
        <v>57603.213000000003</v>
      </c>
      <c r="AH15" s="429">
        <v>0</v>
      </c>
      <c r="AI15" s="429">
        <v>0</v>
      </c>
      <c r="AJ15" s="429">
        <v>0</v>
      </c>
      <c r="AK15" s="429">
        <v>0</v>
      </c>
      <c r="AL15" s="429">
        <v>0</v>
      </c>
      <c r="AM15" s="346"/>
      <c r="AN15" s="1072"/>
      <c r="AO15" s="1093"/>
      <c r="AP15" s="1096"/>
      <c r="AQ15" s="1093"/>
      <c r="AR15" s="1092"/>
      <c r="AS15" s="1092"/>
      <c r="AT15" s="1092"/>
    </row>
    <row r="16" spans="2:48" s="243" customFormat="1" ht="15" hidden="1" customHeight="1" x14ac:dyDescent="0.25">
      <c r="B16" s="375"/>
      <c r="C16" s="393"/>
      <c r="D16" s="254"/>
      <c r="E16" s="254">
        <v>2</v>
      </c>
      <c r="F16" s="255"/>
      <c r="G16" s="422" t="s">
        <v>327</v>
      </c>
      <c r="H16" s="246">
        <f>+'P02 2025'!H4</f>
        <v>204765</v>
      </c>
      <c r="I16" s="246">
        <f>'P02 2025'!EE4</f>
        <v>204765</v>
      </c>
      <c r="J16" s="246">
        <f t="shared" si="8"/>
        <v>11331.383000000002</v>
      </c>
      <c r="K16" s="516">
        <f t="shared" si="9"/>
        <v>5.5338475813737707E-2</v>
      </c>
      <c r="L16" s="246">
        <f>'P02 2025'!EF8</f>
        <v>51794.1</v>
      </c>
      <c r="M16" s="516">
        <f t="shared" si="10"/>
        <v>0.25294410665885281</v>
      </c>
      <c r="N16" s="246">
        <f>+I16-L16</f>
        <v>152970.9</v>
      </c>
      <c r="O16" s="516">
        <f t="shared" si="12"/>
        <v>0.74705589334114719</v>
      </c>
      <c r="P16" s="251">
        <v>0</v>
      </c>
      <c r="Q16" s="252">
        <v>0</v>
      </c>
      <c r="R16" s="516" t="str">
        <f t="shared" si="13"/>
        <v>0,00%</v>
      </c>
      <c r="S16" s="406">
        <f>+'P02 2025'!I8</f>
        <v>10996.861000000001</v>
      </c>
      <c r="T16" s="406">
        <v>0</v>
      </c>
      <c r="U16" s="406">
        <f>+'P02 2025'!R4</f>
        <v>334.52199999999999</v>
      </c>
      <c r="V16" s="429">
        <v>0</v>
      </c>
      <c r="W16" s="429">
        <v>0</v>
      </c>
      <c r="X16" s="429">
        <v>0</v>
      </c>
      <c r="Y16" s="429">
        <v>0</v>
      </c>
      <c r="Z16" s="429">
        <v>0</v>
      </c>
      <c r="AA16" s="429">
        <v>0</v>
      </c>
      <c r="AB16" s="429">
        <v>0</v>
      </c>
      <c r="AC16" s="429"/>
      <c r="AD16" s="429">
        <v>0</v>
      </c>
      <c r="AE16" s="429">
        <v>0</v>
      </c>
      <c r="AF16" s="429">
        <v>0</v>
      </c>
      <c r="AG16" s="429"/>
      <c r="AH16" s="429">
        <v>0</v>
      </c>
      <c r="AI16" s="429">
        <v>0</v>
      </c>
      <c r="AJ16" s="429">
        <v>0</v>
      </c>
      <c r="AK16" s="429">
        <v>0</v>
      </c>
      <c r="AL16" s="429">
        <v>0</v>
      </c>
      <c r="AM16" s="346"/>
      <c r="AN16" s="1072"/>
      <c r="AO16" s="1093"/>
      <c r="AP16" s="1096"/>
      <c r="AQ16" s="1093"/>
      <c r="AR16" s="1092"/>
      <c r="AS16" s="1092"/>
      <c r="AT16" s="1092"/>
    </row>
    <row r="17" spans="2:46" s="243" customFormat="1" ht="15" hidden="1" customHeight="1" x14ac:dyDescent="0.25">
      <c r="B17" s="375"/>
      <c r="C17" s="393"/>
      <c r="D17" s="254"/>
      <c r="E17" s="254">
        <v>5</v>
      </c>
      <c r="F17" s="255"/>
      <c r="G17" s="422" t="s">
        <v>320</v>
      </c>
      <c r="H17" s="246">
        <f>+'P02 2025'!H5</f>
        <v>69510</v>
      </c>
      <c r="I17" s="246">
        <f>'P02 2025'!EE5</f>
        <v>54510</v>
      </c>
      <c r="J17" s="246">
        <f t="shared" si="8"/>
        <v>5423.5189999999993</v>
      </c>
      <c r="K17" s="516">
        <f t="shared" si="9"/>
        <v>9.9495853971748288E-2</v>
      </c>
      <c r="L17" s="246">
        <f>'P02 2025'!EF7</f>
        <v>8993.5190000000002</v>
      </c>
      <c r="M17" s="516">
        <f t="shared" si="10"/>
        <v>0.1649884241423592</v>
      </c>
      <c r="N17" s="246">
        <f>+I17-L17</f>
        <v>45516.481</v>
      </c>
      <c r="O17" s="516">
        <f t="shared" si="12"/>
        <v>0.83501157585764074</v>
      </c>
      <c r="P17" s="251">
        <v>0</v>
      </c>
      <c r="Q17" s="252">
        <v>0</v>
      </c>
      <c r="R17" s="516" t="str">
        <f t="shared" si="13"/>
        <v>0,00%</v>
      </c>
      <c r="S17" s="406">
        <v>0</v>
      </c>
      <c r="T17" s="406">
        <v>0</v>
      </c>
      <c r="U17" s="406">
        <v>0</v>
      </c>
      <c r="V17" s="429">
        <v>0</v>
      </c>
      <c r="W17" s="429">
        <v>0</v>
      </c>
      <c r="X17" s="429">
        <v>0</v>
      </c>
      <c r="Y17" s="429"/>
      <c r="Z17" s="429">
        <v>0</v>
      </c>
      <c r="AA17" s="429">
        <f>'P02 2025'!BT4</f>
        <v>4538.1589999999997</v>
      </c>
      <c r="AB17" s="429">
        <v>0</v>
      </c>
      <c r="AC17" s="429">
        <f>+'P02 2025'!CL5</f>
        <v>885.36</v>
      </c>
      <c r="AD17" s="429">
        <v>0</v>
      </c>
      <c r="AE17" s="429">
        <v>0</v>
      </c>
      <c r="AF17" s="429">
        <v>0</v>
      </c>
      <c r="AG17" s="429"/>
      <c r="AH17" s="429">
        <v>0</v>
      </c>
      <c r="AI17" s="429">
        <v>0</v>
      </c>
      <c r="AJ17" s="429">
        <v>0</v>
      </c>
      <c r="AK17" s="429">
        <v>0</v>
      </c>
      <c r="AL17" s="429">
        <v>0</v>
      </c>
      <c r="AM17" s="346"/>
      <c r="AN17" s="1072"/>
      <c r="AO17" s="1093"/>
      <c r="AP17" s="1096"/>
      <c r="AQ17" s="1093"/>
      <c r="AR17" s="1092"/>
      <c r="AS17" s="1092"/>
      <c r="AT17" s="1092"/>
    </row>
    <row r="18" spans="2:46" s="243" customFormat="1" ht="15" hidden="1" customHeight="1" x14ac:dyDescent="0.25">
      <c r="B18" s="375"/>
      <c r="C18" s="393"/>
      <c r="D18" s="254"/>
      <c r="E18" s="254">
        <v>3</v>
      </c>
      <c r="F18" s="255"/>
      <c r="G18" s="422" t="s">
        <v>318</v>
      </c>
      <c r="H18" s="246">
        <f>+'P02 2025'!H6</f>
        <v>30520</v>
      </c>
      <c r="I18" s="246">
        <f>'P02 2025'!EE6</f>
        <v>46928</v>
      </c>
      <c r="J18" s="246">
        <f t="shared" si="8"/>
        <v>24540.239999999998</v>
      </c>
      <c r="K18" s="516">
        <f t="shared" si="9"/>
        <v>0.52293385612001364</v>
      </c>
      <c r="L18" s="246">
        <f>'P02 2025'!EF9</f>
        <v>39435.360000000001</v>
      </c>
      <c r="M18" s="516">
        <f t="shared" si="10"/>
        <v>0.8403375383566315</v>
      </c>
      <c r="N18" s="246">
        <f>+I18-L18</f>
        <v>7492.6399999999994</v>
      </c>
      <c r="O18" s="516">
        <f t="shared" si="12"/>
        <v>0.15966246164336856</v>
      </c>
      <c r="P18" s="251">
        <v>0</v>
      </c>
      <c r="Q18" s="252">
        <v>0</v>
      </c>
      <c r="R18" s="516" t="str">
        <f t="shared" si="13"/>
        <v>0,00%</v>
      </c>
      <c r="S18" s="406">
        <f>+'P02 2025'!I9</f>
        <v>2223.7800000000002</v>
      </c>
      <c r="T18" s="406"/>
      <c r="U18" s="406">
        <f>+'P02 2025'!R3</f>
        <v>2223.7800000000002</v>
      </c>
      <c r="V18" s="429">
        <v>0</v>
      </c>
      <c r="W18" s="429">
        <f>+'P02 2025'!AJ3</f>
        <v>2223.7800000000002</v>
      </c>
      <c r="X18" s="429">
        <v>0</v>
      </c>
      <c r="Y18" s="429">
        <f>+'P02 2025'!BB4</f>
        <v>2223.7800000000002</v>
      </c>
      <c r="Z18" s="429">
        <v>0</v>
      </c>
      <c r="AA18" s="429">
        <f>'P02 2025'!BT5</f>
        <v>3223.78</v>
      </c>
      <c r="AB18" s="429">
        <v>0</v>
      </c>
      <c r="AC18" s="429">
        <f>+'P02 2025'!CL3</f>
        <v>4973.78</v>
      </c>
      <c r="AD18" s="429">
        <v>0</v>
      </c>
      <c r="AE18" s="429">
        <f>+'P02 2025'!DD3</f>
        <v>3723.78</v>
      </c>
      <c r="AF18" s="429">
        <v>0</v>
      </c>
      <c r="AG18" s="429">
        <f>+'P02 2025'!DV4</f>
        <v>3723.78</v>
      </c>
      <c r="AH18" s="429">
        <v>0</v>
      </c>
      <c r="AI18" s="429">
        <v>0</v>
      </c>
      <c r="AJ18" s="429">
        <v>0</v>
      </c>
      <c r="AK18" s="429">
        <v>0</v>
      </c>
      <c r="AL18" s="429">
        <v>0</v>
      </c>
      <c r="AM18" s="346"/>
      <c r="AN18" s="1072"/>
      <c r="AO18" s="1093"/>
      <c r="AP18" s="1096"/>
      <c r="AQ18" s="1093"/>
      <c r="AR18" s="1092"/>
      <c r="AS18" s="1092"/>
      <c r="AT18" s="1092"/>
    </row>
    <row r="19" spans="2:46" s="243" customFormat="1" ht="15" hidden="1" customHeight="1" x14ac:dyDescent="0.25">
      <c r="B19" s="375"/>
      <c r="C19" s="393"/>
      <c r="D19" s="254"/>
      <c r="E19" s="254">
        <v>4</v>
      </c>
      <c r="F19" s="255"/>
      <c r="G19" s="422" t="s">
        <v>319</v>
      </c>
      <c r="H19" s="246">
        <f>+'P02 2025'!H7</f>
        <v>1408</v>
      </c>
      <c r="I19" s="246">
        <f>'P02 2025'!EE7</f>
        <v>0</v>
      </c>
      <c r="J19" s="246">
        <f t="shared" si="8"/>
        <v>0</v>
      </c>
      <c r="K19" s="516">
        <f t="shared" si="9"/>
        <v>0</v>
      </c>
      <c r="L19" s="246">
        <v>0</v>
      </c>
      <c r="M19" s="516">
        <f t="shared" si="10"/>
        <v>0</v>
      </c>
      <c r="N19" s="246">
        <f>+I19-L19</f>
        <v>0</v>
      </c>
      <c r="O19" s="516">
        <f t="shared" si="12"/>
        <v>0</v>
      </c>
      <c r="P19" s="251">
        <v>0</v>
      </c>
      <c r="Q19" s="252">
        <v>0</v>
      </c>
      <c r="R19" s="516" t="str">
        <f t="shared" si="13"/>
        <v>0,00%</v>
      </c>
      <c r="S19" s="406">
        <v>0</v>
      </c>
      <c r="T19" s="406">
        <v>0</v>
      </c>
      <c r="U19" s="406">
        <v>0</v>
      </c>
      <c r="V19" s="429">
        <v>0</v>
      </c>
      <c r="W19" s="429">
        <v>0</v>
      </c>
      <c r="X19" s="429">
        <v>0</v>
      </c>
      <c r="Y19" s="429">
        <v>0</v>
      </c>
      <c r="Z19" s="429">
        <v>0</v>
      </c>
      <c r="AA19" s="429">
        <v>0</v>
      </c>
      <c r="AB19" s="429">
        <v>0</v>
      </c>
      <c r="AC19" s="429"/>
      <c r="AD19" s="429">
        <v>0</v>
      </c>
      <c r="AE19" s="429">
        <v>0</v>
      </c>
      <c r="AF19" s="429">
        <v>0</v>
      </c>
      <c r="AG19" s="429"/>
      <c r="AH19" s="429">
        <v>0</v>
      </c>
      <c r="AI19" s="429">
        <v>0</v>
      </c>
      <c r="AJ19" s="429">
        <v>0</v>
      </c>
      <c r="AK19" s="429">
        <v>0</v>
      </c>
      <c r="AL19" s="429">
        <v>0</v>
      </c>
      <c r="AM19" s="346"/>
      <c r="AN19" s="1072"/>
      <c r="AO19" s="1093"/>
      <c r="AP19" s="1096"/>
      <c r="AQ19" s="1093"/>
      <c r="AR19" s="1092"/>
      <c r="AS19" s="1092"/>
      <c r="AT19" s="1092"/>
    </row>
    <row r="20" spans="2:46" s="1077" customFormat="1" ht="15" customHeight="1" x14ac:dyDescent="0.25">
      <c r="B20" s="497" t="s">
        <v>2</v>
      </c>
      <c r="C20" s="794">
        <v>3</v>
      </c>
      <c r="D20" s="33"/>
      <c r="E20" s="33"/>
      <c r="F20" s="33"/>
      <c r="G20" s="990" t="s">
        <v>303</v>
      </c>
      <c r="H20" s="991">
        <f>+H21+H27+H33+H35+H37</f>
        <v>2313590</v>
      </c>
      <c r="I20" s="991">
        <f>+I21+I27+I33+I35+I37</f>
        <v>2313590</v>
      </c>
      <c r="J20" s="991">
        <f ca="1">SUMIF($S$3:$AL$14,"ok",S20:AL20)</f>
        <v>533996.19299999997</v>
      </c>
      <c r="K20" s="902">
        <f t="shared" ca="1" si="9"/>
        <v>0.23080848075933938</v>
      </c>
      <c r="L20" s="991">
        <f>+L21+L27+L33+L37+L35</f>
        <v>1472372.344</v>
      </c>
      <c r="M20" s="902">
        <f t="shared" si="10"/>
        <v>0.63640158541487468</v>
      </c>
      <c r="N20" s="1020">
        <f t="shared" si="5"/>
        <v>841217.65599999996</v>
      </c>
      <c r="O20" s="902">
        <f t="shared" si="12"/>
        <v>0.36359841458512526</v>
      </c>
      <c r="P20" s="998">
        <f>+P21+P27+P33+P35+P37</f>
        <v>6230504.5819999995</v>
      </c>
      <c r="Q20" s="998">
        <f>+Q21+Q27+Q33+Q35+Q37</f>
        <v>2647318.2698060004</v>
      </c>
      <c r="R20" s="902">
        <f t="shared" si="13"/>
        <v>0.42489628808782742</v>
      </c>
      <c r="S20" s="997">
        <f>+S21+S27+S35+S37</f>
        <v>0</v>
      </c>
      <c r="T20" s="997">
        <f>+T21+T27+T35+T37</f>
        <v>123503.655402</v>
      </c>
      <c r="U20" s="997">
        <f>+U21+U27+U33+U37</f>
        <v>108377.84299999999</v>
      </c>
      <c r="V20" s="997">
        <f>+V21+V27+V33+V37</f>
        <v>155290.06234</v>
      </c>
      <c r="W20" s="997">
        <f>+W21+W27+W33+W35+W37</f>
        <v>780</v>
      </c>
      <c r="X20" s="997">
        <f>+X21+X27+X33+X35+X37</f>
        <v>358524.49842999998</v>
      </c>
      <c r="Y20" s="997">
        <f>+Y21+Y27+Y37+Y33+Y36</f>
        <v>3808</v>
      </c>
      <c r="Z20" s="997">
        <f>+Z21+Z27+Z37+Z33+Z36</f>
        <v>571785.013714</v>
      </c>
      <c r="AA20" s="997">
        <f>AA21+AA27+AA33+AA35+AA37</f>
        <v>30780</v>
      </c>
      <c r="AB20" s="998">
        <f>+AB21+AB27+AB33+AB37</f>
        <v>646696.99142000009</v>
      </c>
      <c r="AC20" s="998">
        <f>+AC21+AC27+AC33+AC35+AC37</f>
        <v>346400</v>
      </c>
      <c r="AD20" s="998">
        <f>+AD21+AD27+AD33+AD35+AD37</f>
        <v>230965.04975599999</v>
      </c>
      <c r="AE20" s="1021">
        <f>+AE21+AE27+AE33+AE35+AE37</f>
        <v>12557.85</v>
      </c>
      <c r="AF20" s="1021">
        <f>+AF21+AF27+AF33+AF35+AF37</f>
        <v>257763.34017399998</v>
      </c>
      <c r="AG20" s="1021">
        <f>+AG21+AG27+AG33+AG35+AG37</f>
        <v>31292.5</v>
      </c>
      <c r="AH20" s="1021">
        <f t="shared" ref="AH20:AI20" si="14">+AH21+AH27+AH33+AH35+AH37</f>
        <v>302789.65857000003</v>
      </c>
      <c r="AI20" s="1021">
        <f t="shared" si="14"/>
        <v>197302.51500000001</v>
      </c>
      <c r="AJ20" s="1021">
        <f>AJ21+AJ27+AJ33+AJ35+AJ37</f>
        <v>133855.99300000002</v>
      </c>
      <c r="AK20" s="1021">
        <f>+AK21+AK27+AK33+AK37+AK35</f>
        <v>790069.5340000001</v>
      </c>
      <c r="AL20" s="1021">
        <f>+AL21+AL27+AL33+AL37+AL35</f>
        <v>1963623.1230000001</v>
      </c>
      <c r="AM20" s="1104"/>
      <c r="AN20" s="1105"/>
      <c r="AO20" s="1094"/>
      <c r="AP20" s="1102"/>
      <c r="AQ20" s="1094"/>
      <c r="AR20" s="1103"/>
      <c r="AS20" s="1103"/>
      <c r="AT20" s="1103"/>
    </row>
    <row r="21" spans="2:46" s="244" customFormat="1" ht="15" customHeight="1" x14ac:dyDescent="0.25">
      <c r="B21" s="375" t="s">
        <v>2</v>
      </c>
      <c r="C21" s="393"/>
      <c r="D21" s="254">
        <v>26</v>
      </c>
      <c r="E21" s="254"/>
      <c r="F21" s="254" t="s">
        <v>213</v>
      </c>
      <c r="G21" s="384" t="s">
        <v>137</v>
      </c>
      <c r="H21" s="246">
        <f>SUM(H22:H26)</f>
        <v>1572691</v>
      </c>
      <c r="I21" s="246">
        <f>SUM(I22:I26)</f>
        <v>1572691</v>
      </c>
      <c r="J21" s="246">
        <f ca="1">SUMIF($S$3:$AL$14,"ok",S21:AL21)</f>
        <v>64871.498999999996</v>
      </c>
      <c r="K21" s="516">
        <f t="shared" ca="1" si="9"/>
        <v>4.1248725274068455E-2</v>
      </c>
      <c r="L21" s="246">
        <f>SUM(L22:L26)</f>
        <v>905864</v>
      </c>
      <c r="M21" s="516">
        <f t="shared" si="10"/>
        <v>0.57599617470946296</v>
      </c>
      <c r="N21" s="252">
        <f t="shared" ref="N21:N26" si="15">+I21-L21</f>
        <v>666827</v>
      </c>
      <c r="O21" s="516">
        <f t="shared" si="12"/>
        <v>0.42400382529053704</v>
      </c>
      <c r="P21" s="251">
        <f>SUM(P22:P26)</f>
        <v>1613016</v>
      </c>
      <c r="Q21" s="251">
        <f>SUM(Q22:Q26)</f>
        <v>735934.07565200003</v>
      </c>
      <c r="R21" s="516">
        <f t="shared" si="13"/>
        <v>0.45624722609819124</v>
      </c>
      <c r="S21" s="406">
        <f>SUM(S22:S26)</f>
        <v>0</v>
      </c>
      <c r="T21" s="406">
        <f>SUM(T22:T26)</f>
        <v>106440.3</v>
      </c>
      <c r="U21" s="175">
        <f>+SUM(U22:U26)</f>
        <v>18558.999</v>
      </c>
      <c r="V21" s="175">
        <f>+SUM(V22:V26)</f>
        <v>83460.022622000004</v>
      </c>
      <c r="W21" s="175">
        <f>SUM(W22:W26)</f>
        <v>0</v>
      </c>
      <c r="X21" s="175">
        <f>SUM(X22:X26)</f>
        <v>147066.19612799998</v>
      </c>
      <c r="Y21" s="175">
        <f>+SUM(Y23:Y26)</f>
        <v>0</v>
      </c>
      <c r="Z21" s="175">
        <f>+SUM(Z22:Z26)</f>
        <v>58945.94</v>
      </c>
      <c r="AA21" s="175">
        <f>SUM(AA22:AA25)</f>
        <v>0</v>
      </c>
      <c r="AB21" s="175">
        <f>SUM(AB22:AB26)</f>
        <v>9721.86</v>
      </c>
      <c r="AC21" s="430">
        <f>+SUM(AC22:AC26)</f>
        <v>10400</v>
      </c>
      <c r="AD21" s="430">
        <f>+SUM(AD22:AD26)</f>
        <v>10763.86</v>
      </c>
      <c r="AE21" s="430">
        <f>+AE22+AE23+AE24+AE25+AE26</f>
        <v>5400</v>
      </c>
      <c r="AF21" s="430">
        <f t="shared" ref="AF21:AL21" si="16">SUM(AF22:AF26)</f>
        <v>71486.41</v>
      </c>
      <c r="AG21" s="412">
        <f t="shared" si="16"/>
        <v>30512.5</v>
      </c>
      <c r="AH21" s="412">
        <f t="shared" si="16"/>
        <v>248049.486902</v>
      </c>
      <c r="AI21" s="175">
        <f>SUM(AI22:AI26)</f>
        <v>59542.5</v>
      </c>
      <c r="AJ21" s="175">
        <f>SUM(AJ22:AJ26)</f>
        <v>26364.222999999998</v>
      </c>
      <c r="AK21" s="175">
        <f t="shared" si="16"/>
        <v>87761.25</v>
      </c>
      <c r="AL21" s="175">
        <f t="shared" si="16"/>
        <v>610251.19800000009</v>
      </c>
      <c r="AM21" s="346"/>
      <c r="AN21" s="1072"/>
      <c r="AO21" s="1093"/>
      <c r="AP21" s="1096"/>
      <c r="AQ21" s="1093"/>
      <c r="AR21" s="1092"/>
      <c r="AS21" s="1092"/>
      <c r="AT21" s="1092"/>
    </row>
    <row r="22" spans="2:46" s="243" customFormat="1" ht="15" hidden="1" customHeight="1" x14ac:dyDescent="0.2">
      <c r="B22" s="388"/>
      <c r="C22" s="349"/>
      <c r="D22" s="331"/>
      <c r="E22" s="254">
        <v>1</v>
      </c>
      <c r="F22" s="301"/>
      <c r="G22" s="384" t="s">
        <v>265</v>
      </c>
      <c r="H22" s="974">
        <f>+'P02 2025'!H12</f>
        <v>1120879</v>
      </c>
      <c r="I22" s="247">
        <f>+'P02 2025'!EE13</f>
        <v>1154879</v>
      </c>
      <c r="J22" s="246">
        <f>SUMIF(S$3:$AL3,"ok",S22:AL22)</f>
        <v>39662.5</v>
      </c>
      <c r="K22" s="516">
        <f t="shared" si="9"/>
        <v>3.4343424722416804E-2</v>
      </c>
      <c r="L22" s="247">
        <f>'P02 2025'!EF18</f>
        <v>877955</v>
      </c>
      <c r="M22" s="516">
        <f t="shared" si="10"/>
        <v>0.76021384058416508</v>
      </c>
      <c r="N22" s="248">
        <f t="shared" si="15"/>
        <v>276924</v>
      </c>
      <c r="O22" s="516">
        <f t="shared" si="12"/>
        <v>0.23978615941583489</v>
      </c>
      <c r="P22" s="251">
        <f>+'P02 2024'!ED3</f>
        <v>1239024.486</v>
      </c>
      <c r="Q22" s="251">
        <f>SUMIF($S$3:$AL$3,"SI",S22:AL22)</f>
        <v>709394.90250000008</v>
      </c>
      <c r="R22" s="516">
        <f t="shared" si="13"/>
        <v>0.57254308572235924</v>
      </c>
      <c r="S22" s="406">
        <v>0</v>
      </c>
      <c r="T22" s="406">
        <f>+'P02 2024'!J9</f>
        <v>106440.3</v>
      </c>
      <c r="U22" s="406">
        <f>+'P02 2025'!R6</f>
        <v>14550</v>
      </c>
      <c r="V22" s="538">
        <f>+'P02 2024'!Q4</f>
        <v>79990.162622000003</v>
      </c>
      <c r="W22" s="538">
        <v>0</v>
      </c>
      <c r="X22" s="412">
        <f>+'P02 2024'!AI4</f>
        <v>143596.336128</v>
      </c>
      <c r="Y22" s="243">
        <v>0</v>
      </c>
      <c r="Z22" s="412">
        <f>+'P02 2024'!BA4</f>
        <v>55476.08</v>
      </c>
      <c r="AA22" s="412">
        <v>0</v>
      </c>
      <c r="AB22" s="412">
        <f>+'P02 2024'!BS4</f>
        <v>6252</v>
      </c>
      <c r="AC22" s="412">
        <v>0</v>
      </c>
      <c r="AD22" s="413">
        <f>+'P02 2024'!CK3</f>
        <v>7294</v>
      </c>
      <c r="AE22" s="413">
        <v>0</v>
      </c>
      <c r="AF22" s="412">
        <f>+'P02 2024'!DC4</f>
        <v>68016.55</v>
      </c>
      <c r="AG22" s="412">
        <f>+'P02 2025'!DV5</f>
        <v>25112.5</v>
      </c>
      <c r="AH22" s="412">
        <f>+'P02 2024'!DU3</f>
        <v>242329.47375</v>
      </c>
      <c r="AI22" s="412">
        <f>+'P02 2024'!EM3</f>
        <v>56212.5</v>
      </c>
      <c r="AJ22" s="412">
        <v>21000</v>
      </c>
      <c r="AK22" s="249">
        <f>+'P02 2024'!FZ3</f>
        <v>87761.25</v>
      </c>
      <c r="AL22" s="249">
        <f>+'P02 2024'!GR6</f>
        <v>312975</v>
      </c>
      <c r="AM22" s="346"/>
      <c r="AN22" s="1072"/>
      <c r="AO22" s="1093"/>
      <c r="AP22" s="1096"/>
      <c r="AQ22" s="1093"/>
      <c r="AR22" s="1092"/>
      <c r="AS22" s="1092"/>
      <c r="AT22" s="1092"/>
    </row>
    <row r="23" spans="2:46" s="243" customFormat="1" ht="15" hidden="1" customHeight="1" x14ac:dyDescent="0.2">
      <c r="B23" s="388"/>
      <c r="C23" s="349"/>
      <c r="D23" s="331"/>
      <c r="E23" s="254">
        <v>2</v>
      </c>
      <c r="F23" s="301"/>
      <c r="G23" s="384" t="s">
        <v>289</v>
      </c>
      <c r="H23" s="974">
        <f>+'P02 2025'!H14</f>
        <v>140000</v>
      </c>
      <c r="I23" s="247">
        <f>+'P02 2025'!EE16</f>
        <v>5000</v>
      </c>
      <c r="J23" s="246">
        <f ca="1">SUMIF(S$3:$AL4,"ok",S23:AL23)</f>
        <v>5000</v>
      </c>
      <c r="K23" s="516">
        <f t="shared" ca="1" si="9"/>
        <v>1</v>
      </c>
      <c r="L23" s="247">
        <f>'P02 2025'!EF20</f>
        <v>5000</v>
      </c>
      <c r="M23" s="516">
        <f t="shared" si="10"/>
        <v>1</v>
      </c>
      <c r="N23" s="248">
        <f>+I23-L23</f>
        <v>0</v>
      </c>
      <c r="O23" s="516">
        <f t="shared" si="12"/>
        <v>0</v>
      </c>
      <c r="P23" s="251">
        <f>+'P02 2024'!ED6</f>
        <v>52100</v>
      </c>
      <c r="Q23" s="251">
        <f>SUMIF($S$3:$AL$3,"SI",S23:AL23)</f>
        <v>0</v>
      </c>
      <c r="R23" s="516">
        <f t="shared" si="13"/>
        <v>0</v>
      </c>
      <c r="S23" s="406">
        <v>0</v>
      </c>
      <c r="T23" s="406">
        <v>0</v>
      </c>
      <c r="U23" s="406">
        <v>0</v>
      </c>
      <c r="V23" s="538">
        <v>0</v>
      </c>
      <c r="W23" s="538">
        <v>0</v>
      </c>
      <c r="X23" s="412">
        <v>0</v>
      </c>
      <c r="Y23" s="412">
        <v>0</v>
      </c>
      <c r="Z23" s="412">
        <v>0</v>
      </c>
      <c r="AA23" s="412">
        <v>0</v>
      </c>
      <c r="AB23" s="412">
        <v>0</v>
      </c>
      <c r="AC23" s="412">
        <f>+'P02 2025'!CL6</f>
        <v>5000</v>
      </c>
      <c r="AD23" s="413">
        <v>0</v>
      </c>
      <c r="AE23" s="413">
        <v>0</v>
      </c>
      <c r="AF23" s="412">
        <v>0</v>
      </c>
      <c r="AG23" s="412">
        <v>0</v>
      </c>
      <c r="AH23" s="412">
        <v>0</v>
      </c>
      <c r="AI23" s="412">
        <v>0</v>
      </c>
      <c r="AJ23" s="412">
        <v>0</v>
      </c>
      <c r="AK23" s="175">
        <v>0</v>
      </c>
      <c r="AL23" s="249">
        <f>+'P02 2024'!GR5</f>
        <v>45000</v>
      </c>
      <c r="AM23" s="346"/>
      <c r="AN23" s="1072"/>
      <c r="AO23" s="1093"/>
      <c r="AP23" s="1096"/>
      <c r="AQ23" s="1093"/>
      <c r="AR23" s="1092"/>
      <c r="AS23" s="1092"/>
      <c r="AT23" s="1092"/>
    </row>
    <row r="24" spans="2:46" s="243" customFormat="1" ht="15" hidden="1" customHeight="1" x14ac:dyDescent="0.2">
      <c r="B24" s="388"/>
      <c r="C24" s="349"/>
      <c r="D24" s="331"/>
      <c r="E24" s="254">
        <v>3</v>
      </c>
      <c r="F24" s="301"/>
      <c r="G24" s="384" t="s">
        <v>266</v>
      </c>
      <c r="H24" s="974">
        <f>+'P02 2025'!H13</f>
        <v>240000</v>
      </c>
      <c r="I24" s="247">
        <f>+'P02 2025'!EE14</f>
        <v>341000</v>
      </c>
      <c r="J24" s="246">
        <f ca="1">SUMIF(S$3:$AL5,"ok",S24:AL24)</f>
        <v>0</v>
      </c>
      <c r="K24" s="516">
        <f t="shared" ca="1" si="9"/>
        <v>0</v>
      </c>
      <c r="L24" s="247">
        <v>0</v>
      </c>
      <c r="M24" s="516">
        <f t="shared" si="10"/>
        <v>0</v>
      </c>
      <c r="N24" s="248">
        <f t="shared" si="15"/>
        <v>341000</v>
      </c>
      <c r="O24" s="516">
        <f t="shared" si="12"/>
        <v>1</v>
      </c>
      <c r="P24" s="251">
        <f>+'P02 2024'!ED4</f>
        <v>250080</v>
      </c>
      <c r="Q24" s="251">
        <f>SUMIF($S$3:$AL$3,"SI",S24:AL24)</f>
        <v>0</v>
      </c>
      <c r="R24" s="516">
        <f t="shared" si="13"/>
        <v>0</v>
      </c>
      <c r="S24" s="406">
        <v>0</v>
      </c>
      <c r="T24" s="406">
        <v>0</v>
      </c>
      <c r="U24" s="406">
        <v>0</v>
      </c>
      <c r="V24" s="538">
        <v>0</v>
      </c>
      <c r="W24" s="538">
        <v>0</v>
      </c>
      <c r="X24" s="412">
        <v>0</v>
      </c>
      <c r="Y24" s="412">
        <v>0</v>
      </c>
      <c r="Z24" s="412">
        <v>0</v>
      </c>
      <c r="AA24" s="412">
        <v>0</v>
      </c>
      <c r="AB24" s="412">
        <v>0</v>
      </c>
      <c r="AC24" s="412">
        <v>0</v>
      </c>
      <c r="AD24" s="412">
        <v>0</v>
      </c>
      <c r="AE24" s="412">
        <v>0</v>
      </c>
      <c r="AF24" s="412">
        <v>0</v>
      </c>
      <c r="AG24" s="412">
        <v>0</v>
      </c>
      <c r="AH24" s="412">
        <v>0</v>
      </c>
      <c r="AI24" s="412">
        <v>0</v>
      </c>
      <c r="AJ24" s="412">
        <v>0</v>
      </c>
      <c r="AK24" s="175">
        <v>0</v>
      </c>
      <c r="AL24" s="249">
        <f>+'P02 2024'!GR4</f>
        <v>234751.47200000001</v>
      </c>
      <c r="AM24" s="346"/>
      <c r="AN24" s="1072"/>
      <c r="AO24" s="1093"/>
      <c r="AP24" s="1096"/>
      <c r="AQ24" s="1093"/>
      <c r="AR24" s="1092"/>
      <c r="AS24" s="1092"/>
      <c r="AT24" s="1092"/>
    </row>
    <row r="25" spans="2:46" s="243" customFormat="1" ht="15" hidden="1" customHeight="1" x14ac:dyDescent="0.25">
      <c r="B25" s="539"/>
      <c r="C25" s="425"/>
      <c r="D25" s="347"/>
      <c r="E25" s="254">
        <v>4</v>
      </c>
      <c r="F25" s="301"/>
      <c r="G25" s="384" t="s">
        <v>585</v>
      </c>
      <c r="H25" s="246">
        <v>0</v>
      </c>
      <c r="I25" s="246">
        <v>0</v>
      </c>
      <c r="J25" s="246">
        <f ca="1">SUMIF(S$3:$AL6,"ok",S25:AL25)</f>
        <v>0</v>
      </c>
      <c r="K25" s="516">
        <f t="shared" ca="1" si="9"/>
        <v>0</v>
      </c>
      <c r="L25" s="252">
        <v>0</v>
      </c>
      <c r="M25" s="516">
        <f t="shared" si="10"/>
        <v>0</v>
      </c>
      <c r="N25" s="248">
        <f t="shared" si="15"/>
        <v>0</v>
      </c>
      <c r="O25" s="516">
        <f t="shared" si="12"/>
        <v>0</v>
      </c>
      <c r="P25" s="251">
        <v>0</v>
      </c>
      <c r="Q25" s="251">
        <f>SUMIF($S$3:$AL$3,"SI",S25:AL25)</f>
        <v>0</v>
      </c>
      <c r="R25" s="516" t="str">
        <f t="shared" si="13"/>
        <v>0,00%</v>
      </c>
      <c r="S25" s="406">
        <v>0</v>
      </c>
      <c r="T25" s="406">
        <v>0</v>
      </c>
      <c r="U25" s="406">
        <v>0</v>
      </c>
      <c r="V25" s="538">
        <v>0</v>
      </c>
      <c r="W25" s="538">
        <v>0</v>
      </c>
      <c r="X25" s="412">
        <v>0</v>
      </c>
      <c r="Y25" s="412">
        <v>0</v>
      </c>
      <c r="Z25" s="412">
        <v>0</v>
      </c>
      <c r="AA25" s="412">
        <v>0</v>
      </c>
      <c r="AB25" s="412">
        <v>0</v>
      </c>
      <c r="AC25" s="412">
        <v>0</v>
      </c>
      <c r="AD25" s="412">
        <v>0</v>
      </c>
      <c r="AE25" s="412">
        <v>0</v>
      </c>
      <c r="AF25" s="412">
        <v>0</v>
      </c>
      <c r="AG25" s="412">
        <v>0</v>
      </c>
      <c r="AH25" s="412">
        <v>0</v>
      </c>
      <c r="AI25" s="412">
        <v>0</v>
      </c>
      <c r="AJ25" s="412">
        <v>0</v>
      </c>
      <c r="AK25" s="175">
        <v>0</v>
      </c>
      <c r="AL25" s="249">
        <v>0</v>
      </c>
      <c r="AM25" s="346"/>
      <c r="AN25" s="1072"/>
      <c r="AO25" s="1093"/>
      <c r="AP25" s="1096"/>
      <c r="AQ25" s="1093"/>
      <c r="AR25" s="1092"/>
      <c r="AS25" s="1092"/>
      <c r="AT25" s="1092"/>
    </row>
    <row r="26" spans="2:46" s="243" customFormat="1" ht="15" hidden="1" customHeight="1" x14ac:dyDescent="0.2">
      <c r="B26" s="539"/>
      <c r="C26" s="425"/>
      <c r="D26" s="347"/>
      <c r="E26" s="254">
        <v>5</v>
      </c>
      <c r="F26" s="301"/>
      <c r="G26" s="384" t="s">
        <v>637</v>
      </c>
      <c r="H26" s="974">
        <f>+'P02 2025'!H15</f>
        <v>71812</v>
      </c>
      <c r="I26" s="246">
        <f>+'P02 2025'!EE15</f>
        <v>71812</v>
      </c>
      <c r="J26" s="246">
        <f ca="1">SUMIF(S$3:$AL7,"ok",S26:AL26)</f>
        <v>20208.999</v>
      </c>
      <c r="K26" s="516">
        <f t="shared" ca="1" si="9"/>
        <v>0.28141534840973653</v>
      </c>
      <c r="L26" s="252">
        <f>'P02 2025'!EF17</f>
        <v>22909</v>
      </c>
      <c r="M26" s="516">
        <f t="shared" si="10"/>
        <v>0.31901353534228261</v>
      </c>
      <c r="N26" s="248">
        <f t="shared" si="15"/>
        <v>48903</v>
      </c>
      <c r="O26" s="516">
        <f t="shared" si="12"/>
        <v>0.68098646465771739</v>
      </c>
      <c r="P26" s="251">
        <f>+'P02 2024'!ED5</f>
        <v>71811.513999999996</v>
      </c>
      <c r="Q26" s="251">
        <f>SUMIF($S$3:$AL$3,"SI",S26:AL26)</f>
        <v>26539.173151999999</v>
      </c>
      <c r="R26" s="516">
        <f t="shared" si="13"/>
        <v>0.3695671024565782</v>
      </c>
      <c r="S26" s="406">
        <v>0</v>
      </c>
      <c r="T26" s="406">
        <v>0</v>
      </c>
      <c r="U26" s="406">
        <f>+'P02 2025'!R5</f>
        <v>4008.9989999999998</v>
      </c>
      <c r="V26" s="540">
        <f>+'P02 2024'!Q3</f>
        <v>3469.86</v>
      </c>
      <c r="W26" s="540">
        <v>0</v>
      </c>
      <c r="X26" s="412">
        <f>+'P02 2024'!AI3</f>
        <v>3469.86</v>
      </c>
      <c r="Y26" s="412">
        <v>0</v>
      </c>
      <c r="Z26" s="412">
        <f>+'P02 2024'!BA3</f>
        <v>3469.86</v>
      </c>
      <c r="AA26" s="412">
        <v>0</v>
      </c>
      <c r="AB26" s="412">
        <f>+'P02 2024'!BS3</f>
        <v>3469.86</v>
      </c>
      <c r="AC26" s="412">
        <f>+'P02 2025'!CL7</f>
        <v>5400</v>
      </c>
      <c r="AD26" s="412">
        <f>+'P02 2024'!CK4</f>
        <v>3469.86</v>
      </c>
      <c r="AE26" s="412">
        <f>+'P02 2025'!DD5</f>
        <v>5400</v>
      </c>
      <c r="AF26" s="412">
        <f>+'P02 2024'!DC3</f>
        <v>3469.86</v>
      </c>
      <c r="AG26" s="412">
        <f>+'P02 2025'!DV6</f>
        <v>5400</v>
      </c>
      <c r="AH26" s="412">
        <f>+'P02 2024'!DU4</f>
        <v>5720.0131520000004</v>
      </c>
      <c r="AI26" s="412">
        <f>+'P02 2024'!EM4</f>
        <v>3330</v>
      </c>
      <c r="AJ26" s="412">
        <v>5364.223</v>
      </c>
      <c r="AK26" s="175">
        <v>0</v>
      </c>
      <c r="AL26" s="249">
        <f>+'P02 2024'!GR3</f>
        <v>17524.725999999999</v>
      </c>
      <c r="AM26" s="346"/>
      <c r="AN26" s="1072"/>
      <c r="AO26" s="1093"/>
      <c r="AP26" s="1096"/>
      <c r="AQ26" s="1093"/>
      <c r="AR26" s="1092"/>
      <c r="AS26" s="1092"/>
      <c r="AT26" s="1092"/>
    </row>
    <row r="27" spans="2:46" s="243" customFormat="1" ht="15" hidden="1" customHeight="1" x14ac:dyDescent="0.25">
      <c r="B27" s="375"/>
      <c r="C27" s="393"/>
      <c r="D27" s="254">
        <v>33</v>
      </c>
      <c r="E27" s="254"/>
      <c r="F27" s="254" t="s">
        <v>295</v>
      </c>
      <c r="G27" s="384" t="s">
        <v>290</v>
      </c>
      <c r="H27" s="246">
        <f>SUM(H28:H32)</f>
        <v>0</v>
      </c>
      <c r="I27" s="246">
        <f>SUM(I28:I32)</f>
        <v>0</v>
      </c>
      <c r="J27" s="246">
        <f ca="1">SUMIF(S$3:$AL8,"ok",S27:AL27)</f>
        <v>0</v>
      </c>
      <c r="K27" s="516">
        <f t="shared" ca="1" si="9"/>
        <v>0</v>
      </c>
      <c r="L27" s="247">
        <f>SUM(L28:L32)</f>
        <v>0</v>
      </c>
      <c r="M27" s="516">
        <f t="shared" si="10"/>
        <v>0</v>
      </c>
      <c r="N27" s="247">
        <f t="shared" si="5"/>
        <v>0</v>
      </c>
      <c r="O27" s="516">
        <f t="shared" si="12"/>
        <v>0</v>
      </c>
      <c r="P27" s="251">
        <f>SUM(P28:P32)</f>
        <v>2749951.5780000002</v>
      </c>
      <c r="Q27" s="251">
        <f>SUM(Q28:Q32)</f>
        <v>1193787.4939600001</v>
      </c>
      <c r="R27" s="516">
        <f t="shared" si="13"/>
        <v>0.43411218710557237</v>
      </c>
      <c r="S27" s="406">
        <f>SUM(S28:S32)</f>
        <v>0</v>
      </c>
      <c r="T27" s="406">
        <f t="shared" ref="T27:Z27" si="17">SUM(T28:T32)</f>
        <v>17063.355402000001</v>
      </c>
      <c r="U27" s="252">
        <f t="shared" si="17"/>
        <v>0</v>
      </c>
      <c r="V27" s="252">
        <f t="shared" si="17"/>
        <v>3287.2797180000007</v>
      </c>
      <c r="W27" s="252">
        <f t="shared" si="17"/>
        <v>0</v>
      </c>
      <c r="X27" s="252">
        <f t="shared" si="17"/>
        <v>201038.302302</v>
      </c>
      <c r="Y27" s="249">
        <f t="shared" si="17"/>
        <v>0</v>
      </c>
      <c r="Z27" s="249">
        <f t="shared" si="17"/>
        <v>158559.073714</v>
      </c>
      <c r="AA27" s="249">
        <f>SUM(AA28:AA32)</f>
        <v>0</v>
      </c>
      <c r="AB27" s="249">
        <f>SUM(AB28:AB32)</f>
        <v>515098.95602000004</v>
      </c>
      <c r="AC27" s="249">
        <f>+SUM(AC28:AC32)</f>
        <v>0</v>
      </c>
      <c r="AD27" s="249">
        <f>+SUM(AD28:AD32)</f>
        <v>139174.76230200002</v>
      </c>
      <c r="AE27" s="249">
        <v>0</v>
      </c>
      <c r="AF27" s="249">
        <f t="shared" ref="AF27:AH27" si="18">+SUM(AF28:AF32)</f>
        <v>132239.14778199999</v>
      </c>
      <c r="AG27" s="249">
        <f>+SUM(AG28:AG32)</f>
        <v>0</v>
      </c>
      <c r="AH27" s="249">
        <f t="shared" si="18"/>
        <v>27326.616720000005</v>
      </c>
      <c r="AI27" s="249">
        <f>SUM(AI28:AI32)</f>
        <v>76546.014999999999</v>
      </c>
      <c r="AJ27" s="249">
        <f>SUM(AJ28:AJ32)</f>
        <v>62161.770000000004</v>
      </c>
      <c r="AK27" s="249">
        <f>+SUM(AK28:AK32)</f>
        <v>537198.2840000001</v>
      </c>
      <c r="AL27" s="249">
        <f>SUM(AL28:AL32)</f>
        <v>648574.09499999997</v>
      </c>
      <c r="AM27" s="346"/>
      <c r="AN27" s="1072"/>
      <c r="AO27" s="1093"/>
      <c r="AP27" s="1096"/>
      <c r="AQ27" s="1093"/>
      <c r="AR27" s="1092"/>
      <c r="AS27" s="1092"/>
      <c r="AT27" s="1092"/>
    </row>
    <row r="28" spans="2:46" s="243" customFormat="1" ht="15" hidden="1" customHeight="1" x14ac:dyDescent="0.2">
      <c r="B28" s="388"/>
      <c r="C28" s="349"/>
      <c r="D28" s="331"/>
      <c r="E28" s="254">
        <v>1</v>
      </c>
      <c r="F28" s="301"/>
      <c r="G28" s="384" t="s">
        <v>331</v>
      </c>
      <c r="H28" s="246">
        <v>0</v>
      </c>
      <c r="I28" s="246">
        <v>0</v>
      </c>
      <c r="J28" s="246">
        <f ca="1">SUMIF(S$3:$AL9,"ok",S28:AL28)</f>
        <v>0</v>
      </c>
      <c r="K28" s="516">
        <f t="shared" ca="1" si="9"/>
        <v>0</v>
      </c>
      <c r="L28" s="246">
        <v>0</v>
      </c>
      <c r="M28" s="516">
        <f t="shared" si="10"/>
        <v>0</v>
      </c>
      <c r="N28" s="247">
        <f t="shared" si="5"/>
        <v>0</v>
      </c>
      <c r="O28" s="516">
        <f t="shared" si="12"/>
        <v>0</v>
      </c>
      <c r="P28" s="251">
        <f>+'P02 2024'!ED11</f>
        <v>2439331.378</v>
      </c>
      <c r="Q28" s="251">
        <f>SUMIF($S$3:$AL$3,"SI",S28:AL28)</f>
        <v>1113895.9920660001</v>
      </c>
      <c r="R28" s="516">
        <f t="shared" si="13"/>
        <v>0.45663988177747294</v>
      </c>
      <c r="S28" s="406">
        <v>0</v>
      </c>
      <c r="T28" s="406">
        <v>0</v>
      </c>
      <c r="U28" s="406">
        <v>0</v>
      </c>
      <c r="V28" s="540">
        <v>0</v>
      </c>
      <c r="W28" s="540">
        <v>0</v>
      </c>
      <c r="X28" s="412">
        <f>+'P02 2024'!AI6</f>
        <v>197616.73379199998</v>
      </c>
      <c r="Y28" s="412">
        <v>0</v>
      </c>
      <c r="Z28" s="412">
        <f>+'P02 2024'!BA5</f>
        <v>115002.58593</v>
      </c>
      <c r="AA28" s="412">
        <v>0</v>
      </c>
      <c r="AB28" s="412">
        <f>+'P02 2024'!BS8</f>
        <v>509285.21080000006</v>
      </c>
      <c r="AC28" s="412">
        <v>0</v>
      </c>
      <c r="AD28" s="414">
        <f>+'P02 2024'!CK6</f>
        <v>136925.07388200003</v>
      </c>
      <c r="AE28" s="249">
        <v>0</v>
      </c>
      <c r="AF28" s="412">
        <f>+'P02 2024'!DC6</f>
        <v>129989.45936199999</v>
      </c>
      <c r="AG28" s="412">
        <v>0</v>
      </c>
      <c r="AH28" s="412">
        <f>+'P02 2024'!DU6</f>
        <v>25076.928300000003</v>
      </c>
      <c r="AI28" s="412">
        <f>+'P02 2024'!EM7</f>
        <v>46713.5</v>
      </c>
      <c r="AJ28" s="415">
        <v>56156.084999999999</v>
      </c>
      <c r="AK28" s="249">
        <f>+'P02 2024'!FZ7</f>
        <v>490132.32500000001</v>
      </c>
      <c r="AL28" s="249">
        <f>+'P02 2024'!GR9</f>
        <v>593034.51399999997</v>
      </c>
      <c r="AM28" s="346"/>
      <c r="AN28" s="1072"/>
      <c r="AO28" s="1093"/>
      <c r="AP28" s="1096"/>
      <c r="AQ28" s="1093"/>
      <c r="AR28" s="1092"/>
      <c r="AS28" s="1092"/>
      <c r="AT28" s="1092"/>
    </row>
    <row r="29" spans="2:46" s="243" customFormat="1" ht="15" hidden="1" customHeight="1" x14ac:dyDescent="0.25">
      <c r="B29" s="388"/>
      <c r="C29" s="349"/>
      <c r="D29" s="331"/>
      <c r="E29" s="254">
        <v>2</v>
      </c>
      <c r="F29" s="301"/>
      <c r="G29" s="384" t="s">
        <v>332</v>
      </c>
      <c r="H29" s="246">
        <v>0</v>
      </c>
      <c r="I29" s="246">
        <v>0</v>
      </c>
      <c r="J29" s="246">
        <f ca="1">SUMIF(S$3:$AL10,"ok",S29:AL29)</f>
        <v>0</v>
      </c>
      <c r="K29" s="516">
        <f t="shared" ca="1" si="9"/>
        <v>0</v>
      </c>
      <c r="L29" s="246">
        <v>0</v>
      </c>
      <c r="M29" s="516">
        <f t="shared" si="10"/>
        <v>0</v>
      </c>
      <c r="N29" s="247">
        <f t="shared" si="5"/>
        <v>0</v>
      </c>
      <c r="O29" s="516">
        <f t="shared" si="12"/>
        <v>0</v>
      </c>
      <c r="P29" s="251">
        <f>+'P02 2024'!ED12</f>
        <v>225764.93000000002</v>
      </c>
      <c r="Q29" s="251">
        <f>SUMIF($S$3:$AL$3,"SI",S29:AL29)</f>
        <v>56059.913642</v>
      </c>
      <c r="R29" s="516">
        <f t="shared" si="13"/>
        <v>0.24831099162301246</v>
      </c>
      <c r="S29" s="406">
        <v>0</v>
      </c>
      <c r="T29" s="406">
        <f>+'P02 2024'!J15</f>
        <v>14813.666982000001</v>
      </c>
      <c r="U29" s="406">
        <v>0</v>
      </c>
      <c r="V29" s="538">
        <v>0</v>
      </c>
      <c r="W29" s="538">
        <v>0</v>
      </c>
      <c r="X29" s="412">
        <f>+'P02 2024'!AI7</f>
        <v>930.08399000000009</v>
      </c>
      <c r="Y29" s="412">
        <v>0</v>
      </c>
      <c r="Z29" s="412">
        <f>+'P02 2024'!BA6</f>
        <v>40182.286509999998</v>
      </c>
      <c r="AA29" s="412">
        <v>0</v>
      </c>
      <c r="AB29" s="412">
        <f>+'P02 2024'!BS6</f>
        <v>133.87616</v>
      </c>
      <c r="AC29" s="412">
        <v>0</v>
      </c>
      <c r="AD29" s="412">
        <v>0</v>
      </c>
      <c r="AE29" s="249">
        <v>0</v>
      </c>
      <c r="AF29" s="412">
        <v>0</v>
      </c>
      <c r="AG29" s="412">
        <v>0</v>
      </c>
      <c r="AH29" s="412">
        <v>0</v>
      </c>
      <c r="AI29" s="412">
        <f>+'P02 2024'!EM6</f>
        <v>27673.505000000001</v>
      </c>
      <c r="AJ29" s="412">
        <v>0</v>
      </c>
      <c r="AK29" s="249">
        <f>+'P02 2024'!FZ5</f>
        <v>44168.22</v>
      </c>
      <c r="AL29" s="249">
        <f>+'P02 2024'!GR10</f>
        <v>51263.561000000002</v>
      </c>
      <c r="AM29" s="346"/>
      <c r="AN29" s="1072"/>
      <c r="AO29" s="1093"/>
      <c r="AP29" s="1096"/>
      <c r="AQ29" s="1093"/>
      <c r="AR29" s="1092"/>
      <c r="AS29" s="1092"/>
      <c r="AT29" s="1092"/>
    </row>
    <row r="30" spans="2:46" s="243" customFormat="1" ht="15" hidden="1" customHeight="1" x14ac:dyDescent="0.2">
      <c r="B30" s="388"/>
      <c r="C30" s="349"/>
      <c r="D30" s="331"/>
      <c r="E30" s="254">
        <v>3</v>
      </c>
      <c r="F30" s="301"/>
      <c r="G30" s="384" t="s">
        <v>291</v>
      </c>
      <c r="H30" s="246">
        <v>0</v>
      </c>
      <c r="I30" s="246">
        <v>0</v>
      </c>
      <c r="J30" s="246">
        <f ca="1">SUMIF(S$3:$AL11,"ok",S30:AL30)</f>
        <v>0</v>
      </c>
      <c r="K30" s="516">
        <f t="shared" ca="1" si="9"/>
        <v>0</v>
      </c>
      <c r="L30" s="246">
        <v>0</v>
      </c>
      <c r="M30" s="516">
        <f t="shared" si="10"/>
        <v>0</v>
      </c>
      <c r="N30" s="247">
        <f t="shared" si="5"/>
        <v>0</v>
      </c>
      <c r="O30" s="516">
        <f t="shared" si="12"/>
        <v>0</v>
      </c>
      <c r="P30" s="251">
        <f>+'P02 2024'!ED14</f>
        <v>31801.84</v>
      </c>
      <c r="Q30" s="251">
        <f>SUMIF($S$3:$AL$3,"SI",S30:AL30)</f>
        <v>17997.507360000003</v>
      </c>
      <c r="R30" s="516">
        <f t="shared" si="13"/>
        <v>0.56592660550458729</v>
      </c>
      <c r="S30" s="406">
        <v>0</v>
      </c>
      <c r="T30" s="406">
        <f>+'P02 2024'!J17</f>
        <v>2249.6884200000004</v>
      </c>
      <c r="U30" s="406">
        <v>0</v>
      </c>
      <c r="V30" s="540">
        <f>+'P02 2024'!Q6</f>
        <v>2249.6884200000004</v>
      </c>
      <c r="W30" s="540">
        <v>0</v>
      </c>
      <c r="X30" s="412">
        <f>+'P02 2024'!AI5</f>
        <v>2249.6884200000004</v>
      </c>
      <c r="Y30" s="412">
        <v>0</v>
      </c>
      <c r="Z30" s="412">
        <f>+'P02 2024'!BA7</f>
        <v>2249.6884200000004</v>
      </c>
      <c r="AA30" s="412">
        <v>0</v>
      </c>
      <c r="AB30" s="412">
        <f>+'P02 2024'!BS5</f>
        <v>2249.6884200000004</v>
      </c>
      <c r="AC30" s="412">
        <v>0</v>
      </c>
      <c r="AD30" s="414">
        <f>+'P02 2024'!CK5</f>
        <v>2249.6884200000004</v>
      </c>
      <c r="AE30" s="249">
        <v>0</v>
      </c>
      <c r="AF30" s="412">
        <f>+'P02 2024'!DC5</f>
        <v>2249.6884200000004</v>
      </c>
      <c r="AG30" s="412">
        <v>0</v>
      </c>
      <c r="AH30" s="412">
        <f>+'P02 2024'!DU5</f>
        <v>2249.6884200000004</v>
      </c>
      <c r="AI30" s="412">
        <f>+'P02 2024'!EM5</f>
        <v>2159.0100000000002</v>
      </c>
      <c r="AJ30" s="415">
        <v>2159.0100000000002</v>
      </c>
      <c r="AK30" s="249">
        <f>+'P02 2024'!FZ6</f>
        <v>2159.0100000000002</v>
      </c>
      <c r="AL30" s="249">
        <f>+'P02 2024'!GR7</f>
        <v>2159.0100000000002</v>
      </c>
      <c r="AM30" s="346"/>
      <c r="AN30" s="1072"/>
      <c r="AO30" s="1093"/>
      <c r="AP30" s="1096"/>
      <c r="AQ30" s="1093"/>
      <c r="AR30" s="1092"/>
      <c r="AS30" s="1092"/>
      <c r="AT30" s="1092"/>
    </row>
    <row r="31" spans="2:46" s="243" customFormat="1" ht="15" hidden="1" customHeight="1" x14ac:dyDescent="0.25">
      <c r="B31" s="388"/>
      <c r="C31" s="349"/>
      <c r="D31" s="331"/>
      <c r="E31" s="254">
        <v>4</v>
      </c>
      <c r="F31" s="301"/>
      <c r="G31" s="384" t="s">
        <v>292</v>
      </c>
      <c r="H31" s="246">
        <v>0</v>
      </c>
      <c r="I31" s="246">
        <v>0</v>
      </c>
      <c r="J31" s="246">
        <f ca="1">SUMIF(S$3:$AL12,"ok",S31:AL31)</f>
        <v>0</v>
      </c>
      <c r="K31" s="516">
        <f t="shared" ca="1" si="9"/>
        <v>0</v>
      </c>
      <c r="L31" s="246">
        <v>0</v>
      </c>
      <c r="M31" s="516">
        <f t="shared" si="10"/>
        <v>0</v>
      </c>
      <c r="N31" s="247">
        <f t="shared" si="5"/>
        <v>0</v>
      </c>
      <c r="O31" s="516">
        <f t="shared" si="12"/>
        <v>0</v>
      </c>
      <c r="P31" s="251">
        <f>+'P02 2024'!ED15</f>
        <v>8336</v>
      </c>
      <c r="Q31" s="251">
        <f>SUMIF($S$3:$AL$3,"SI",S31:AL31)</f>
        <v>0</v>
      </c>
      <c r="R31" s="516">
        <f t="shared" si="13"/>
        <v>0</v>
      </c>
      <c r="S31" s="406">
        <v>0</v>
      </c>
      <c r="T31" s="406">
        <v>0</v>
      </c>
      <c r="U31" s="406">
        <v>0</v>
      </c>
      <c r="V31" s="538">
        <v>0</v>
      </c>
      <c r="W31" s="538">
        <v>0</v>
      </c>
      <c r="X31" s="412">
        <v>0</v>
      </c>
      <c r="Y31" s="412">
        <v>0</v>
      </c>
      <c r="Z31" s="412">
        <v>0</v>
      </c>
      <c r="AA31" s="412">
        <v>0</v>
      </c>
      <c r="AB31" s="412">
        <v>0</v>
      </c>
      <c r="AC31" s="412">
        <v>0</v>
      </c>
      <c r="AD31" s="412">
        <v>0</v>
      </c>
      <c r="AE31" s="249">
        <v>0</v>
      </c>
      <c r="AF31" s="412">
        <v>0</v>
      </c>
      <c r="AG31" s="412">
        <v>0</v>
      </c>
      <c r="AH31" s="412">
        <v>0</v>
      </c>
      <c r="AI31" s="412">
        <v>0</v>
      </c>
      <c r="AJ31" s="412">
        <v>0</v>
      </c>
      <c r="AK31" s="249">
        <v>0</v>
      </c>
      <c r="AL31" s="249">
        <v>0</v>
      </c>
      <c r="AM31" s="346"/>
      <c r="AN31" s="1072"/>
      <c r="AO31" s="1093"/>
      <c r="AP31" s="1096"/>
      <c r="AQ31" s="1093"/>
      <c r="AR31" s="1092"/>
      <c r="AS31" s="1092"/>
      <c r="AT31" s="1092"/>
    </row>
    <row r="32" spans="2:46" s="243" customFormat="1" ht="15" hidden="1" customHeight="1" x14ac:dyDescent="0.2">
      <c r="B32" s="388"/>
      <c r="C32" s="349"/>
      <c r="D32" s="331"/>
      <c r="E32" s="254">
        <v>5</v>
      </c>
      <c r="F32" s="301"/>
      <c r="G32" s="384" t="s">
        <v>293</v>
      </c>
      <c r="H32" s="246">
        <v>0</v>
      </c>
      <c r="I32" s="246">
        <v>0</v>
      </c>
      <c r="J32" s="246">
        <f ca="1">SUMIF(S$3:$AL20,"ok",S32:AL32)</f>
        <v>0</v>
      </c>
      <c r="K32" s="516">
        <f t="shared" ca="1" si="9"/>
        <v>0</v>
      </c>
      <c r="L32" s="246">
        <v>0</v>
      </c>
      <c r="M32" s="516">
        <f t="shared" si="10"/>
        <v>0</v>
      </c>
      <c r="N32" s="247">
        <f t="shared" si="5"/>
        <v>0</v>
      </c>
      <c r="O32" s="516">
        <f t="shared" si="12"/>
        <v>0</v>
      </c>
      <c r="P32" s="251">
        <f>+'P02 2024'!ED13</f>
        <v>44717.43</v>
      </c>
      <c r="Q32" s="251">
        <f>SUMIF($S$3:$AL$3,"SI",S32:AL32)</f>
        <v>5834.0808919999999</v>
      </c>
      <c r="R32" s="516">
        <f t="shared" si="13"/>
        <v>0.1304654782710008</v>
      </c>
      <c r="S32" s="406">
        <v>0</v>
      </c>
      <c r="T32" s="406">
        <v>0</v>
      </c>
      <c r="U32" s="406">
        <v>0</v>
      </c>
      <c r="V32" s="540">
        <f>+'P02 2024'!Q5</f>
        <v>1037.5912980000001</v>
      </c>
      <c r="W32" s="540">
        <v>0</v>
      </c>
      <c r="X32" s="412">
        <f>+'P02 2024'!AI8</f>
        <v>241.79610000000002</v>
      </c>
      <c r="Y32" s="412">
        <v>0</v>
      </c>
      <c r="Z32" s="412">
        <f>+'P02 2024'!BA8</f>
        <v>1124.5128539999998</v>
      </c>
      <c r="AA32" s="412">
        <v>0</v>
      </c>
      <c r="AB32" s="412">
        <f>+'P02 2024'!BS7</f>
        <v>3430.18064</v>
      </c>
      <c r="AC32" s="412">
        <v>0</v>
      </c>
      <c r="AD32" s="414">
        <v>0</v>
      </c>
      <c r="AE32" s="249">
        <v>0</v>
      </c>
      <c r="AF32" s="412">
        <v>0</v>
      </c>
      <c r="AG32" s="412">
        <v>0</v>
      </c>
      <c r="AH32" s="412">
        <v>0</v>
      </c>
      <c r="AI32" s="412">
        <v>0</v>
      </c>
      <c r="AJ32" s="412">
        <v>3846.6750000000002</v>
      </c>
      <c r="AK32" s="249">
        <f>+'P02 2024'!FZ4</f>
        <v>738.72900000000004</v>
      </c>
      <c r="AL32" s="249">
        <f>+'P02 2024'!GR8</f>
        <v>2117.0100000000002</v>
      </c>
      <c r="AM32" s="346"/>
      <c r="AN32" s="1072"/>
      <c r="AO32" s="1093"/>
      <c r="AP32" s="1096"/>
      <c r="AQ32" s="1093"/>
      <c r="AR32" s="1092"/>
      <c r="AS32" s="1092"/>
      <c r="AT32" s="1092"/>
    </row>
    <row r="33" spans="1:46" s="243" customFormat="1" ht="15" hidden="1" customHeight="1" x14ac:dyDescent="0.25">
      <c r="B33" s="375"/>
      <c r="C33" s="393"/>
      <c r="D33" s="254">
        <v>34</v>
      </c>
      <c r="E33" s="254"/>
      <c r="F33" s="254" t="s">
        <v>497</v>
      </c>
      <c r="G33" s="384" t="s">
        <v>258</v>
      </c>
      <c r="H33" s="246">
        <f>+H34</f>
        <v>0</v>
      </c>
      <c r="I33" s="246">
        <f>+I34</f>
        <v>0</v>
      </c>
      <c r="J33" s="246">
        <f ca="1">SUMIF(S$3:$AL21,"ok",S33:AL33)</f>
        <v>0</v>
      </c>
      <c r="K33" s="516">
        <f t="shared" ca="1" si="9"/>
        <v>0</v>
      </c>
      <c r="L33" s="252">
        <f>+L34</f>
        <v>0</v>
      </c>
      <c r="M33" s="516">
        <f t="shared" si="10"/>
        <v>0</v>
      </c>
      <c r="N33" s="246">
        <f t="shared" ref="N33:N37" si="19">+I33-L33</f>
        <v>0</v>
      </c>
      <c r="O33" s="516">
        <f t="shared" si="12"/>
        <v>0</v>
      </c>
      <c r="P33" s="251">
        <f>+P34</f>
        <v>44217.270000000004</v>
      </c>
      <c r="Q33" s="251">
        <f>+Q34</f>
        <v>0</v>
      </c>
      <c r="R33" s="516">
        <f t="shared" si="13"/>
        <v>0</v>
      </c>
      <c r="S33" s="406">
        <f>+S34</f>
        <v>0</v>
      </c>
      <c r="T33" s="406">
        <f t="shared" ref="T33:X33" si="20">+T34</f>
        <v>0</v>
      </c>
      <c r="U33" s="281">
        <f t="shared" si="20"/>
        <v>0</v>
      </c>
      <c r="V33" s="281">
        <f t="shared" si="20"/>
        <v>0</v>
      </c>
      <c r="W33" s="281">
        <f t="shared" si="20"/>
        <v>0</v>
      </c>
      <c r="X33" s="281">
        <f t="shared" si="20"/>
        <v>0</v>
      </c>
      <c r="Y33" s="412">
        <f t="shared" ref="Y33:AD33" si="21">+Y34</f>
        <v>0</v>
      </c>
      <c r="Z33" s="412">
        <f t="shared" si="21"/>
        <v>0</v>
      </c>
      <c r="AA33" s="412">
        <f>AA34</f>
        <v>0</v>
      </c>
      <c r="AB33" s="412">
        <f t="shared" si="21"/>
        <v>0</v>
      </c>
      <c r="AC33" s="412">
        <f>+AC34</f>
        <v>0</v>
      </c>
      <c r="AD33" s="412">
        <f t="shared" si="21"/>
        <v>0</v>
      </c>
      <c r="AE33" s="249">
        <v>0</v>
      </c>
      <c r="AF33" s="412">
        <v>0</v>
      </c>
      <c r="AG33" s="412">
        <v>0</v>
      </c>
      <c r="AH33" s="412">
        <f>+AH34</f>
        <v>0</v>
      </c>
      <c r="AI33" s="249">
        <v>0</v>
      </c>
      <c r="AJ33" s="249">
        <f>AJ34</f>
        <v>0</v>
      </c>
      <c r="AK33" s="412">
        <f>+AK34</f>
        <v>0</v>
      </c>
      <c r="AL33" s="253">
        <f>+AL34</f>
        <v>17434.689999999999</v>
      </c>
      <c r="AM33" s="346"/>
      <c r="AN33" s="1072"/>
      <c r="AO33" s="1093"/>
      <c r="AP33" s="1096"/>
      <c r="AQ33" s="1093"/>
      <c r="AR33" s="1092"/>
      <c r="AS33" s="1092"/>
      <c r="AT33" s="1092"/>
    </row>
    <row r="34" spans="1:46" s="243" customFormat="1" ht="15" hidden="1" customHeight="1" x14ac:dyDescent="0.25">
      <c r="B34" s="388"/>
      <c r="C34" s="349"/>
      <c r="D34" s="331"/>
      <c r="E34" s="331">
        <v>1</v>
      </c>
      <c r="F34" s="348"/>
      <c r="G34" s="384" t="s">
        <v>496</v>
      </c>
      <c r="H34" s="246">
        <v>0</v>
      </c>
      <c r="I34" s="246">
        <v>0</v>
      </c>
      <c r="J34" s="246">
        <f ca="1">SUMIF(S$3:$AL22,"ok",S34:AL34)</f>
        <v>0</v>
      </c>
      <c r="K34" s="516">
        <f t="shared" ca="1" si="9"/>
        <v>0</v>
      </c>
      <c r="L34" s="252">
        <v>0</v>
      </c>
      <c r="M34" s="516">
        <f t="shared" si="10"/>
        <v>0</v>
      </c>
      <c r="N34" s="246">
        <f t="shared" si="19"/>
        <v>0</v>
      </c>
      <c r="O34" s="516">
        <f t="shared" si="12"/>
        <v>0</v>
      </c>
      <c r="P34" s="251">
        <f>+'P02 2024'!ED21</f>
        <v>44217.270000000004</v>
      </c>
      <c r="Q34" s="251">
        <f>SUMIF($S$3:$AL$3,"SI",S34:AL34)</f>
        <v>0</v>
      </c>
      <c r="R34" s="516">
        <f t="shared" si="13"/>
        <v>0</v>
      </c>
      <c r="S34" s="406">
        <v>0</v>
      </c>
      <c r="T34" s="406">
        <v>0</v>
      </c>
      <c r="U34" s="406">
        <v>0</v>
      </c>
      <c r="V34" s="538">
        <v>0</v>
      </c>
      <c r="W34" s="538">
        <v>0</v>
      </c>
      <c r="X34" s="412">
        <v>0</v>
      </c>
      <c r="Y34" s="412">
        <v>0</v>
      </c>
      <c r="Z34" s="412">
        <v>0</v>
      </c>
      <c r="AA34" s="412">
        <v>0</v>
      </c>
      <c r="AB34" s="412">
        <v>0</v>
      </c>
      <c r="AC34" s="412">
        <v>0</v>
      </c>
      <c r="AD34" s="412">
        <v>0</v>
      </c>
      <c r="AE34" s="249">
        <v>0</v>
      </c>
      <c r="AF34" s="412">
        <v>0</v>
      </c>
      <c r="AG34" s="412">
        <v>0</v>
      </c>
      <c r="AH34" s="412">
        <v>0</v>
      </c>
      <c r="AI34" s="412">
        <v>0</v>
      </c>
      <c r="AJ34" s="412">
        <v>0</v>
      </c>
      <c r="AK34" s="249">
        <v>0</v>
      </c>
      <c r="AL34" s="249">
        <f>+'P02 2024'!GR11</f>
        <v>17434.689999999999</v>
      </c>
      <c r="AM34" s="346"/>
      <c r="AN34" s="1072"/>
      <c r="AO34" s="1093"/>
      <c r="AP34" s="1096"/>
      <c r="AQ34" s="1093"/>
      <c r="AR34" s="1092"/>
      <c r="AS34" s="1092"/>
      <c r="AT34" s="1092"/>
    </row>
    <row r="35" spans="1:46" s="243" customFormat="1" ht="15" hidden="1" customHeight="1" x14ac:dyDescent="0.25">
      <c r="B35" s="375"/>
      <c r="C35" s="393"/>
      <c r="D35" s="254">
        <v>500</v>
      </c>
      <c r="E35" s="254"/>
      <c r="F35" s="301"/>
      <c r="G35" s="384" t="s">
        <v>312</v>
      </c>
      <c r="H35" s="246">
        <f>+H36</f>
        <v>0</v>
      </c>
      <c r="I35" s="246">
        <f>+I36</f>
        <v>0</v>
      </c>
      <c r="J35" s="246">
        <f ca="1">SUMIF(S$3:$AL23,"ok",S35:AL35)</f>
        <v>0</v>
      </c>
      <c r="K35" s="516">
        <f t="shared" ca="1" si="9"/>
        <v>0</v>
      </c>
      <c r="L35" s="252">
        <f>+L36</f>
        <v>0</v>
      </c>
      <c r="M35" s="516">
        <f t="shared" si="10"/>
        <v>0</v>
      </c>
      <c r="N35" s="246">
        <f t="shared" si="19"/>
        <v>0</v>
      </c>
      <c r="O35" s="516">
        <f t="shared" si="12"/>
        <v>0</v>
      </c>
      <c r="P35" s="251">
        <f>+P36</f>
        <v>0</v>
      </c>
      <c r="Q35" s="251">
        <f>+Q36</f>
        <v>0</v>
      </c>
      <c r="R35" s="516" t="str">
        <f t="shared" si="13"/>
        <v>0,00%</v>
      </c>
      <c r="S35" s="406">
        <f>+S36</f>
        <v>0</v>
      </c>
      <c r="T35" s="406">
        <f>+T36</f>
        <v>0</v>
      </c>
      <c r="U35" s="281">
        <f>+U36</f>
        <v>0</v>
      </c>
      <c r="V35" s="281">
        <v>0</v>
      </c>
      <c r="W35" s="281">
        <v>0</v>
      </c>
      <c r="X35" s="281">
        <v>0</v>
      </c>
      <c r="Y35" s="412">
        <f>+Y36</f>
        <v>0</v>
      </c>
      <c r="Z35" s="412">
        <f>+Z36</f>
        <v>0</v>
      </c>
      <c r="AA35" s="412">
        <f>AA36</f>
        <v>0</v>
      </c>
      <c r="AB35" s="281">
        <v>0</v>
      </c>
      <c r="AC35" s="281">
        <f>+AC36</f>
        <v>0</v>
      </c>
      <c r="AD35" s="412">
        <f>+AD36</f>
        <v>0</v>
      </c>
      <c r="AE35" s="249">
        <v>0</v>
      </c>
      <c r="AF35" s="412">
        <v>0</v>
      </c>
      <c r="AG35" s="412">
        <v>0</v>
      </c>
      <c r="AH35" s="412">
        <f>+AH36</f>
        <v>0</v>
      </c>
      <c r="AI35" s="412">
        <v>0</v>
      </c>
      <c r="AJ35" s="175">
        <f>AJ36</f>
        <v>0</v>
      </c>
      <c r="AK35" s="175">
        <f>+AK36</f>
        <v>0</v>
      </c>
      <c r="AL35" s="281">
        <f>+AL36</f>
        <v>0</v>
      </c>
      <c r="AM35" s="346"/>
      <c r="AN35" s="1072"/>
      <c r="AO35" s="1093"/>
      <c r="AP35" s="1096"/>
      <c r="AQ35" s="1093"/>
      <c r="AR35" s="1092"/>
      <c r="AS35" s="1092"/>
      <c r="AT35" s="1092"/>
    </row>
    <row r="36" spans="1:46" s="243" customFormat="1" ht="15" hidden="1" customHeight="1" x14ac:dyDescent="0.25">
      <c r="B36" s="388"/>
      <c r="C36" s="349"/>
      <c r="D36" s="331"/>
      <c r="E36" s="331">
        <v>1</v>
      </c>
      <c r="F36" s="348"/>
      <c r="G36" s="384" t="s">
        <v>312</v>
      </c>
      <c r="H36" s="248">
        <v>0</v>
      </c>
      <c r="I36" s="248">
        <v>0</v>
      </c>
      <c r="J36" s="246">
        <f ca="1">SUMIF(S$3:$AL24,"ok",S36:AL36)</f>
        <v>0</v>
      </c>
      <c r="K36" s="516">
        <f t="shared" ca="1" si="9"/>
        <v>0</v>
      </c>
      <c r="L36" s="253">
        <v>0</v>
      </c>
      <c r="M36" s="516">
        <f t="shared" si="10"/>
        <v>0</v>
      </c>
      <c r="N36" s="248">
        <f t="shared" si="19"/>
        <v>0</v>
      </c>
      <c r="O36" s="516">
        <f t="shared" si="12"/>
        <v>0</v>
      </c>
      <c r="P36" s="251">
        <v>0</v>
      </c>
      <c r="Q36" s="251">
        <f>SUMIF($S$3:$AL$3,"SI",S36:AL36)</f>
        <v>0</v>
      </c>
      <c r="R36" s="516" t="str">
        <f t="shared" si="13"/>
        <v>0,00%</v>
      </c>
      <c r="S36" s="406">
        <v>0</v>
      </c>
      <c r="T36" s="406">
        <v>0</v>
      </c>
      <c r="U36" s="406">
        <v>0</v>
      </c>
      <c r="V36" s="538">
        <v>0</v>
      </c>
      <c r="W36" s="538">
        <v>0</v>
      </c>
      <c r="X36" s="412">
        <v>0</v>
      </c>
      <c r="Y36" s="412">
        <v>0</v>
      </c>
      <c r="Z36" s="412">
        <v>0</v>
      </c>
      <c r="AA36" s="412">
        <v>0</v>
      </c>
      <c r="AB36" s="412"/>
      <c r="AC36" s="412">
        <v>0</v>
      </c>
      <c r="AD36" s="412">
        <v>0</v>
      </c>
      <c r="AE36" s="249">
        <v>0</v>
      </c>
      <c r="AF36" s="412">
        <v>0</v>
      </c>
      <c r="AG36" s="412">
        <v>0</v>
      </c>
      <c r="AH36" s="412">
        <v>0</v>
      </c>
      <c r="AI36" s="412">
        <v>0</v>
      </c>
      <c r="AJ36" s="412">
        <v>0</v>
      </c>
      <c r="AK36" s="249">
        <v>0</v>
      </c>
      <c r="AL36" s="249">
        <v>0</v>
      </c>
      <c r="AM36" s="346"/>
      <c r="AN36" s="1072"/>
      <c r="AO36" s="1093"/>
      <c r="AP36" s="1096"/>
      <c r="AQ36" s="1093"/>
      <c r="AR36" s="1092"/>
      <c r="AS36" s="1092"/>
      <c r="AT36" s="1092"/>
    </row>
    <row r="37" spans="1:46" s="243" customFormat="1" ht="15" customHeight="1" x14ac:dyDescent="0.25">
      <c r="B37" s="375"/>
      <c r="C37" s="393"/>
      <c r="D37" s="254">
        <v>602</v>
      </c>
      <c r="E37" s="254"/>
      <c r="F37" s="254" t="s">
        <v>915</v>
      </c>
      <c r="G37" s="384" t="s">
        <v>313</v>
      </c>
      <c r="H37" s="246">
        <f>SUM(H38:H43)</f>
        <v>740899</v>
      </c>
      <c r="I37" s="246">
        <f>SUM(I38:I43)</f>
        <v>740899</v>
      </c>
      <c r="J37" s="246">
        <f ca="1">SUMIF(S$3:$AL25,"ok",S37:AL37)</f>
        <v>469124.69399999996</v>
      </c>
      <c r="K37" s="516">
        <f t="shared" ca="1" si="9"/>
        <v>0.63318305733979929</v>
      </c>
      <c r="L37" s="247">
        <f>SUM(L38:L43)</f>
        <v>566508.34400000004</v>
      </c>
      <c r="M37" s="516">
        <f t="shared" si="10"/>
        <v>0.76462290271683464</v>
      </c>
      <c r="N37" s="247">
        <f t="shared" si="19"/>
        <v>174390.65599999996</v>
      </c>
      <c r="O37" s="516">
        <f t="shared" si="12"/>
        <v>0.23537709728316539</v>
      </c>
      <c r="P37" s="251">
        <f>SUM(P38:P43)</f>
        <v>1823319.7339999999</v>
      </c>
      <c r="Q37" s="251">
        <f>SUM(Q38:Q43)</f>
        <v>717596.70019400003</v>
      </c>
      <c r="R37" s="516">
        <f t="shared" si="13"/>
        <v>0.39356602509848121</v>
      </c>
      <c r="S37" s="406">
        <f>SUM(S38:S43)</f>
        <v>0</v>
      </c>
      <c r="T37" s="406">
        <f>SUM(T38:T43)</f>
        <v>0</v>
      </c>
      <c r="U37" s="281">
        <f>+SUM(U38:U43)</f>
        <v>89818.843999999997</v>
      </c>
      <c r="V37" s="281">
        <f>+SUM(V38:V43)</f>
        <v>68542.759999999995</v>
      </c>
      <c r="W37" s="281">
        <f t="shared" ref="W37:Z37" si="22">SUM(W38:W43)</f>
        <v>780</v>
      </c>
      <c r="X37" s="281">
        <f t="shared" si="22"/>
        <v>10420</v>
      </c>
      <c r="Y37" s="281">
        <f t="shared" si="22"/>
        <v>3808</v>
      </c>
      <c r="Z37" s="281">
        <f t="shared" si="22"/>
        <v>354280</v>
      </c>
      <c r="AA37" s="281">
        <f>SUM(AA38:AA43)</f>
        <v>30780</v>
      </c>
      <c r="AB37" s="281">
        <f>SUM(AB38:AB43)</f>
        <v>121876.17540000001</v>
      </c>
      <c r="AC37" s="412">
        <f>SUM(AC38:AC43)</f>
        <v>336000</v>
      </c>
      <c r="AD37" s="412">
        <f>SUM(AD38:AD43)</f>
        <v>81026.427454000004</v>
      </c>
      <c r="AE37" s="412">
        <f>+SUM(AE38:AE43)</f>
        <v>7157.85</v>
      </c>
      <c r="AF37" s="412">
        <f>+SUM(AF38:AF43)</f>
        <v>54037.782392000001</v>
      </c>
      <c r="AG37" s="412">
        <f>+SUM(AG38:AG43)</f>
        <v>780</v>
      </c>
      <c r="AH37" s="412">
        <f>+SUM(AH38:AH43)</f>
        <v>27413.554948000001</v>
      </c>
      <c r="AI37" s="412">
        <f>+SUM(AI38:AI42)</f>
        <v>61214</v>
      </c>
      <c r="AJ37" s="412">
        <f>SUM(AJ38:AJ43)</f>
        <v>45330</v>
      </c>
      <c r="AK37" s="281">
        <f>SUM(AK38:AK42)</f>
        <v>165110</v>
      </c>
      <c r="AL37" s="252">
        <f>SUM(AL38:AL43)</f>
        <v>687363.14</v>
      </c>
      <c r="AM37" s="346"/>
      <c r="AN37" s="1072"/>
      <c r="AO37" s="1093"/>
      <c r="AP37" s="1096"/>
      <c r="AQ37" s="1093"/>
      <c r="AR37" s="1092"/>
      <c r="AS37" s="1092"/>
      <c r="AT37" s="1092"/>
    </row>
    <row r="38" spans="1:46" s="243" customFormat="1" ht="15" hidden="1" customHeight="1" x14ac:dyDescent="0.2">
      <c r="A38" s="402"/>
      <c r="B38" s="388"/>
      <c r="C38" s="349"/>
      <c r="D38" s="331"/>
      <c r="E38" s="331">
        <v>1</v>
      </c>
      <c r="F38" s="348"/>
      <c r="G38" s="384" t="s">
        <v>587</v>
      </c>
      <c r="H38" s="250">
        <f>+'P02 2025'!H22</f>
        <v>14400.662</v>
      </c>
      <c r="I38" s="975">
        <f>+'P02 2025'!EE25</f>
        <v>14400.662</v>
      </c>
      <c r="J38" s="246">
        <f ca="1">SUMIF(S$3:$AL26,"ok",S38:AL38)</f>
        <v>2340</v>
      </c>
      <c r="K38" s="516">
        <f t="shared" ca="1" si="9"/>
        <v>0.16249252985730794</v>
      </c>
      <c r="L38" s="247">
        <f>+'P02 2025'!EF26</f>
        <v>2340</v>
      </c>
      <c r="M38" s="516">
        <f t="shared" si="10"/>
        <v>0.16249252985730794</v>
      </c>
      <c r="N38" s="247">
        <f>+I38-L38</f>
        <v>12060.662</v>
      </c>
      <c r="O38" s="516">
        <f t="shared" si="12"/>
        <v>0.837507470142692</v>
      </c>
      <c r="P38" s="251">
        <f>+'P02 2024'!ED25</f>
        <v>213610</v>
      </c>
      <c r="Q38" s="251">
        <f t="shared" ref="Q38:Q47" si="23">SUMIF($S$3:$AL$3,"SI",S38:AL38)</f>
        <v>28476.817999999999</v>
      </c>
      <c r="R38" s="516">
        <f t="shared" si="13"/>
        <v>0.13331219512195122</v>
      </c>
      <c r="S38" s="406">
        <v>0</v>
      </c>
      <c r="T38" s="406">
        <v>0</v>
      </c>
      <c r="U38" s="406">
        <v>0</v>
      </c>
      <c r="V38" s="538">
        <f>+'P02 2024'!Q7</f>
        <v>812.76</v>
      </c>
      <c r="W38" s="538">
        <f>+'P02 2025'!AJ4</f>
        <v>780</v>
      </c>
      <c r="X38" s="412">
        <v>0</v>
      </c>
      <c r="Y38" s="412">
        <v>0</v>
      </c>
      <c r="Z38" s="412">
        <v>0</v>
      </c>
      <c r="AA38" s="412">
        <f>'P02 2025'!BT7</f>
        <v>780</v>
      </c>
      <c r="AB38" s="412">
        <v>0</v>
      </c>
      <c r="AC38" s="412">
        <v>0</v>
      </c>
      <c r="AD38" s="414">
        <f>+'P02 2024'!CK8</f>
        <v>812.76</v>
      </c>
      <c r="AE38" s="249">
        <v>0</v>
      </c>
      <c r="AF38" s="412">
        <f>+'P02 2024'!DC7</f>
        <v>26038.538</v>
      </c>
      <c r="AG38" s="412">
        <f>+'P02 2025'!DV7</f>
        <v>780</v>
      </c>
      <c r="AH38" s="412">
        <f>+'P02 2024'!DU7</f>
        <v>812.76</v>
      </c>
      <c r="AI38" s="412">
        <v>0</v>
      </c>
      <c r="AJ38" s="412">
        <v>0</v>
      </c>
      <c r="AK38" s="249">
        <v>0</v>
      </c>
      <c r="AL38" s="249">
        <f>+'P02 2024'!GR14</f>
        <v>780</v>
      </c>
      <c r="AM38" s="346"/>
      <c r="AN38" s="1072"/>
      <c r="AO38" s="1093"/>
      <c r="AP38" s="1096"/>
      <c r="AQ38" s="1093"/>
      <c r="AR38" s="1092"/>
      <c r="AS38" s="1092"/>
      <c r="AT38" s="1092"/>
    </row>
    <row r="39" spans="1:46" s="243" customFormat="1" ht="15" hidden="1" customHeight="1" x14ac:dyDescent="0.2">
      <c r="A39" s="402"/>
      <c r="B39" s="388"/>
      <c r="C39" s="349"/>
      <c r="D39" s="331"/>
      <c r="E39" s="331">
        <v>2</v>
      </c>
      <c r="F39" s="348"/>
      <c r="G39" s="384" t="s">
        <v>588</v>
      </c>
      <c r="H39" s="250">
        <f>+'P02 2025'!H18</f>
        <v>305741.51400000002</v>
      </c>
      <c r="I39" s="247">
        <f>+'P02 2025'!EE21</f>
        <v>355520</v>
      </c>
      <c r="J39" s="246">
        <f ca="1">SUMIF(S$3:$AL27,"ok",S39:AL39)</f>
        <v>339808</v>
      </c>
      <c r="K39" s="516">
        <f t="shared" ca="1" si="9"/>
        <v>0.95580558055805576</v>
      </c>
      <c r="L39" s="252">
        <f>'P02 2025'!EF32</f>
        <v>345520</v>
      </c>
      <c r="M39" s="516">
        <f t="shared" si="10"/>
        <v>0.97187218721872182</v>
      </c>
      <c r="N39" s="247">
        <f>+I39-L39</f>
        <v>10000</v>
      </c>
      <c r="O39" s="516">
        <f t="shared" si="12"/>
        <v>2.8127812781278128E-2</v>
      </c>
      <c r="P39" s="251">
        <f>+'P02 2024'!ED22</f>
        <v>735198.73</v>
      </c>
      <c r="Q39" s="251">
        <f t="shared" si="23"/>
        <v>354280</v>
      </c>
      <c r="R39" s="516">
        <f t="shared" si="13"/>
        <v>0.48188331337297063</v>
      </c>
      <c r="S39" s="406">
        <v>0</v>
      </c>
      <c r="T39" s="406">
        <v>0</v>
      </c>
      <c r="U39" s="406">
        <v>0</v>
      </c>
      <c r="V39" s="538">
        <v>0</v>
      </c>
      <c r="W39" s="538">
        <v>0</v>
      </c>
      <c r="X39" s="412">
        <v>0</v>
      </c>
      <c r="Y39" s="245">
        <f>+'P02 2025'!BB5</f>
        <v>3808</v>
      </c>
      <c r="Z39" s="412">
        <f>+'P02 2024'!BA9</f>
        <v>354280</v>
      </c>
      <c r="AA39" s="412">
        <v>0</v>
      </c>
      <c r="AB39" s="412">
        <v>0</v>
      </c>
      <c r="AC39" s="412">
        <f>+'P02 2025'!CL8</f>
        <v>336000</v>
      </c>
      <c r="AD39" s="412">
        <v>0</v>
      </c>
      <c r="AE39" s="249">
        <v>0</v>
      </c>
      <c r="AF39" s="412">
        <v>0</v>
      </c>
      <c r="AG39" s="412">
        <v>0</v>
      </c>
      <c r="AH39" s="412">
        <v>0</v>
      </c>
      <c r="AI39" s="412">
        <f>+'P02 2024'!EM8</f>
        <v>50000</v>
      </c>
      <c r="AJ39" s="412">
        <v>0</v>
      </c>
      <c r="AK39" s="249">
        <f>+'P02 2024'!FZ9</f>
        <v>140000</v>
      </c>
      <c r="AL39" s="249">
        <f>+'P02 2024'!GR13</f>
        <v>264217.14</v>
      </c>
      <c r="AM39" s="346"/>
      <c r="AN39" s="1072"/>
      <c r="AO39" s="1093"/>
      <c r="AP39" s="1096"/>
      <c r="AQ39" s="1093"/>
      <c r="AR39" s="1092"/>
      <c r="AS39" s="1092"/>
      <c r="AT39" s="1092"/>
    </row>
    <row r="40" spans="1:46" s="243" customFormat="1" ht="15" hidden="1" customHeight="1" x14ac:dyDescent="0.2">
      <c r="A40" s="402"/>
      <c r="B40" s="388"/>
      <c r="C40" s="349"/>
      <c r="D40" s="331"/>
      <c r="E40" s="331">
        <v>3</v>
      </c>
      <c r="F40" s="348"/>
      <c r="G40" s="384" t="s">
        <v>589</v>
      </c>
      <c r="H40" s="250">
        <f>+'P02 2025'!H19</f>
        <v>221922.56200000001</v>
      </c>
      <c r="I40" s="247">
        <f>+'P02 2025'!EE22</f>
        <v>172144.076</v>
      </c>
      <c r="J40" s="246">
        <f ca="1">SUMIF(S$3:$AL28,"ok",S40:AL40)</f>
        <v>119818.844</v>
      </c>
      <c r="K40" s="516">
        <f t="shared" ca="1" si="9"/>
        <v>0.69603814888175408</v>
      </c>
      <c r="L40" s="252">
        <f>'P02 2025'!EF30</f>
        <v>119818.844</v>
      </c>
      <c r="M40" s="516">
        <f t="shared" si="10"/>
        <v>0.69603814888175408</v>
      </c>
      <c r="N40" s="247">
        <f>+I40-L40</f>
        <v>52325.232000000004</v>
      </c>
      <c r="O40" s="516">
        <f t="shared" si="12"/>
        <v>0.30396185111824586</v>
      </c>
      <c r="P40" s="251">
        <f>+'P02 2024'!ED26</f>
        <v>182565.44079400002</v>
      </c>
      <c r="Q40" s="251">
        <f t="shared" si="23"/>
        <v>84797.706793999998</v>
      </c>
      <c r="R40" s="516">
        <f t="shared" si="13"/>
        <v>0.46447841620628816</v>
      </c>
      <c r="S40" s="406">
        <v>0</v>
      </c>
      <c r="T40" s="406">
        <v>0</v>
      </c>
      <c r="U40" s="406">
        <f>+'P02 2025'!R7</f>
        <v>89818.843999999997</v>
      </c>
      <c r="V40" s="538">
        <v>0</v>
      </c>
      <c r="W40" s="538">
        <v>0</v>
      </c>
      <c r="X40" s="412">
        <v>0</v>
      </c>
      <c r="Y40" s="412">
        <v>0</v>
      </c>
      <c r="Z40" s="412">
        <v>0</v>
      </c>
      <c r="AA40" s="412">
        <f>'P02 2025'!BT6</f>
        <v>30000</v>
      </c>
      <c r="AB40" s="412">
        <v>0</v>
      </c>
      <c r="AC40" s="412">
        <v>0</v>
      </c>
      <c r="AD40" s="412">
        <f>+'P02 2024'!CK9</f>
        <v>30197.667454000002</v>
      </c>
      <c r="AE40" s="249">
        <v>0</v>
      </c>
      <c r="AF40" s="412">
        <f>+'P02 2024'!DC8</f>
        <v>27999.244392000001</v>
      </c>
      <c r="AG40" s="412">
        <v>0</v>
      </c>
      <c r="AH40" s="412">
        <f>+'P02 2024'!DU8</f>
        <v>26600.794948000002</v>
      </c>
      <c r="AI40" s="412">
        <v>0</v>
      </c>
      <c r="AJ40" s="412">
        <v>0</v>
      </c>
      <c r="AK40" s="249">
        <v>0</v>
      </c>
      <c r="AL40" s="249">
        <f>+'P02 2024'!GR12</f>
        <v>314520</v>
      </c>
      <c r="AM40" s="346"/>
      <c r="AN40" s="1072"/>
      <c r="AO40" s="1093"/>
      <c r="AP40" s="1096"/>
      <c r="AQ40" s="1093"/>
      <c r="AR40" s="1092"/>
      <c r="AS40" s="1092"/>
      <c r="AT40" s="1092"/>
    </row>
    <row r="41" spans="1:46" s="243" customFormat="1" ht="15" hidden="1" customHeight="1" x14ac:dyDescent="0.25">
      <c r="A41" s="402"/>
      <c r="B41" s="388"/>
      <c r="C41" s="349"/>
      <c r="D41" s="331"/>
      <c r="E41" s="331">
        <v>4</v>
      </c>
      <c r="F41" s="348"/>
      <c r="G41" s="384" t="s">
        <v>466</v>
      </c>
      <c r="H41" s="247">
        <v>0</v>
      </c>
      <c r="I41" s="247">
        <f>+'P02 2025'!EE32</f>
        <v>0</v>
      </c>
      <c r="J41" s="246">
        <f ca="1">SUMIF(S$3:$AL29,"ok",S41:AL41)</f>
        <v>0</v>
      </c>
      <c r="K41" s="516">
        <f t="shared" ca="1" si="9"/>
        <v>0</v>
      </c>
      <c r="L41" s="252">
        <v>0</v>
      </c>
      <c r="M41" s="516">
        <f t="shared" si="10"/>
        <v>0</v>
      </c>
      <c r="N41" s="247">
        <f t="shared" ref="N41:N46" si="24">+I41-L41</f>
        <v>0</v>
      </c>
      <c r="O41" s="516">
        <f t="shared" si="12"/>
        <v>0</v>
      </c>
      <c r="P41" s="251">
        <f>+'P02 2024'!ED24</f>
        <v>244870</v>
      </c>
      <c r="Q41" s="251">
        <f t="shared" si="23"/>
        <v>0</v>
      </c>
      <c r="R41" s="516">
        <f t="shared" si="13"/>
        <v>0</v>
      </c>
      <c r="S41" s="406">
        <v>0</v>
      </c>
      <c r="T41" s="406">
        <v>0</v>
      </c>
      <c r="U41" s="406">
        <v>0</v>
      </c>
      <c r="V41" s="538">
        <v>0</v>
      </c>
      <c r="W41" s="538">
        <v>0</v>
      </c>
      <c r="X41" s="412">
        <v>0</v>
      </c>
      <c r="Y41" s="412">
        <v>0</v>
      </c>
      <c r="Z41" s="412">
        <v>0</v>
      </c>
      <c r="AA41" s="412">
        <v>0</v>
      </c>
      <c r="AB41" s="416">
        <v>0</v>
      </c>
      <c r="AC41" s="416">
        <v>0</v>
      </c>
      <c r="AD41" s="412">
        <v>0</v>
      </c>
      <c r="AE41" s="249">
        <v>0</v>
      </c>
      <c r="AF41" s="412">
        <v>0</v>
      </c>
      <c r="AG41" s="412">
        <v>0</v>
      </c>
      <c r="AH41" s="412">
        <v>0</v>
      </c>
      <c r="AI41" s="412">
        <v>0</v>
      </c>
      <c r="AJ41" s="412">
        <v>0</v>
      </c>
      <c r="AK41" s="249">
        <v>0</v>
      </c>
      <c r="AL41" s="249">
        <v>0</v>
      </c>
      <c r="AM41" s="346"/>
      <c r="AN41" s="1072"/>
      <c r="AO41" s="1093"/>
      <c r="AP41" s="1096"/>
      <c r="AQ41" s="1093"/>
      <c r="AR41" s="1092"/>
      <c r="AS41" s="1092"/>
      <c r="AT41" s="1092"/>
    </row>
    <row r="42" spans="1:46" s="243" customFormat="1" ht="15" hidden="1" customHeight="1" x14ac:dyDescent="0.2">
      <c r="B42" s="388"/>
      <c r="C42" s="349"/>
      <c r="D42" s="331"/>
      <c r="E42" s="331">
        <v>5</v>
      </c>
      <c r="F42" s="348"/>
      <c r="G42" s="384" t="s">
        <v>590</v>
      </c>
      <c r="H42" s="247">
        <f>+'P02 2025'!H20</f>
        <v>114543.46400000001</v>
      </c>
      <c r="I42" s="247">
        <f>+'P02 2025'!EE23</f>
        <v>114543.46400000001</v>
      </c>
      <c r="J42" s="246">
        <f ca="1">SUMIF(S$3:$AL30,"ok",S42:AL42)</f>
        <v>7157.85</v>
      </c>
      <c r="K42" s="516">
        <f t="shared" ca="1" si="9"/>
        <v>6.2490252608389772E-2</v>
      </c>
      <c r="L42" s="252">
        <f>'P02 2025'!EF29</f>
        <v>98829.5</v>
      </c>
      <c r="M42" s="516">
        <f t="shared" si="10"/>
        <v>0.86281221598117541</v>
      </c>
      <c r="N42" s="247">
        <f>+I42-L42</f>
        <v>15713.964000000007</v>
      </c>
      <c r="O42" s="516">
        <f t="shared" si="12"/>
        <v>0.13718778401882456</v>
      </c>
      <c r="P42" s="251">
        <f>+'P02 2024'!ED23</f>
        <v>280355.56320600002</v>
      </c>
      <c r="Q42" s="251">
        <f t="shared" si="23"/>
        <v>83360</v>
      </c>
      <c r="R42" s="516">
        <f t="shared" si="13"/>
        <v>0.29733670716834903</v>
      </c>
      <c r="S42" s="406">
        <v>0</v>
      </c>
      <c r="T42" s="406">
        <v>0</v>
      </c>
      <c r="U42" s="406">
        <v>0</v>
      </c>
      <c r="V42" s="540">
        <f>+'P02 2024'!Q8</f>
        <v>67730</v>
      </c>
      <c r="W42" s="540">
        <v>0</v>
      </c>
      <c r="X42" s="412">
        <f>+'P02 2024'!AI9</f>
        <v>10420</v>
      </c>
      <c r="Y42" s="412">
        <v>0</v>
      </c>
      <c r="Z42" s="412">
        <v>0</v>
      </c>
      <c r="AA42" s="412">
        <v>0</v>
      </c>
      <c r="AB42" s="412">
        <f>+'P02 2024'!BS10</f>
        <v>5210</v>
      </c>
      <c r="AC42" s="412">
        <v>0</v>
      </c>
      <c r="AD42" s="412">
        <v>0</v>
      </c>
      <c r="AE42" s="412">
        <f>+'P02 2025'!DD6</f>
        <v>7157.85</v>
      </c>
      <c r="AF42" s="412">
        <v>0</v>
      </c>
      <c r="AG42" s="412">
        <v>0</v>
      </c>
      <c r="AH42" s="412">
        <v>0</v>
      </c>
      <c r="AI42" s="412">
        <f>+'P02 2024'!EM9</f>
        <v>11214</v>
      </c>
      <c r="AJ42" s="415">
        <v>45330</v>
      </c>
      <c r="AK42" s="249">
        <f>+'P02 2024'!FZ8</f>
        <v>25110</v>
      </c>
      <c r="AL42" s="249">
        <f>+'P02 2024'!GR15</f>
        <v>107846</v>
      </c>
      <c r="AM42" s="346"/>
      <c r="AN42" s="1072"/>
      <c r="AO42" s="1093"/>
      <c r="AP42" s="1096"/>
      <c r="AQ42" s="1093"/>
      <c r="AR42" s="1092"/>
      <c r="AS42" s="1092"/>
      <c r="AT42" s="1092"/>
    </row>
    <row r="43" spans="1:46" s="243" customFormat="1" ht="15" hidden="1" customHeight="1" x14ac:dyDescent="0.25">
      <c r="B43" s="388"/>
      <c r="C43" s="349"/>
      <c r="D43" s="331"/>
      <c r="E43" s="331">
        <v>6</v>
      </c>
      <c r="F43" s="348"/>
      <c r="G43" s="384" t="s">
        <v>467</v>
      </c>
      <c r="H43" s="247">
        <f>+'P02 2025'!H21</f>
        <v>84290.797999999995</v>
      </c>
      <c r="I43" s="247">
        <f>+'P02 2025'!EE24</f>
        <v>84290.797999999995</v>
      </c>
      <c r="J43" s="246">
        <f ca="1">SUMIF(S$3:$AL31,"ok",S43:AL43)</f>
        <v>0</v>
      </c>
      <c r="K43" s="516">
        <f t="shared" ca="1" si="9"/>
        <v>0</v>
      </c>
      <c r="L43" s="252">
        <f>'P02 2025'!EF36</f>
        <v>0</v>
      </c>
      <c r="M43" s="516">
        <f t="shared" si="10"/>
        <v>0</v>
      </c>
      <c r="N43" s="247">
        <f t="shared" si="24"/>
        <v>84290.797999999995</v>
      </c>
      <c r="O43" s="516">
        <f t="shared" si="12"/>
        <v>1</v>
      </c>
      <c r="P43" s="251">
        <f>+'P02 2024'!ED27</f>
        <v>166720</v>
      </c>
      <c r="Q43" s="251">
        <f t="shared" si="23"/>
        <v>166682.17540000001</v>
      </c>
      <c r="R43" s="516">
        <f t="shared" si="13"/>
        <v>0.99977312500000004</v>
      </c>
      <c r="S43" s="406">
        <v>0</v>
      </c>
      <c r="T43" s="406">
        <v>0</v>
      </c>
      <c r="U43" s="406">
        <v>0</v>
      </c>
      <c r="V43" s="538">
        <v>0</v>
      </c>
      <c r="W43" s="538">
        <v>0</v>
      </c>
      <c r="X43" s="412">
        <v>0</v>
      </c>
      <c r="Y43" s="412">
        <v>0</v>
      </c>
      <c r="Z43" s="412">
        <v>0</v>
      </c>
      <c r="AA43" s="412">
        <v>0</v>
      </c>
      <c r="AB43" s="412">
        <f>+'P02 2024'!BS9</f>
        <v>116666.17540000001</v>
      </c>
      <c r="AC43" s="412">
        <v>0</v>
      </c>
      <c r="AD43" s="412">
        <f>+'P02 2024'!CK7</f>
        <v>50016</v>
      </c>
      <c r="AE43" s="412">
        <v>0</v>
      </c>
      <c r="AF43" s="412">
        <v>0</v>
      </c>
      <c r="AG43" s="412">
        <v>0</v>
      </c>
      <c r="AH43" s="412">
        <v>0</v>
      </c>
      <c r="AI43" s="412">
        <v>0</v>
      </c>
      <c r="AJ43" s="412">
        <v>0</v>
      </c>
      <c r="AK43" s="249">
        <v>0</v>
      </c>
      <c r="AL43" s="249">
        <v>0</v>
      </c>
      <c r="AM43" s="346"/>
      <c r="AN43" s="1072"/>
      <c r="AO43" s="1093"/>
      <c r="AP43" s="1096"/>
      <c r="AQ43" s="1093"/>
      <c r="AR43" s="1092"/>
      <c r="AS43" s="1092"/>
      <c r="AT43" s="1092"/>
    </row>
    <row r="44" spans="1:46" s="1077" customFormat="1" ht="15" customHeight="1" x14ac:dyDescent="0.2">
      <c r="A44" s="1088"/>
      <c r="B44" s="389"/>
      <c r="C44" s="1011">
        <v>9</v>
      </c>
      <c r="D44" s="927"/>
      <c r="E44" s="927"/>
      <c r="F44" s="1012"/>
      <c r="G44" s="383" t="s">
        <v>1006</v>
      </c>
      <c r="H44" s="1014">
        <f>+H45</f>
        <v>31260</v>
      </c>
      <c r="I44" s="1015">
        <f>+I45</f>
        <v>31260</v>
      </c>
      <c r="J44" s="991">
        <f ca="1">SUMIF(S$3:$AL32,"ok",S44:AL44)</f>
        <v>16271.207</v>
      </c>
      <c r="K44" s="902">
        <f t="shared" ca="1" si="9"/>
        <v>0.52051206014075502</v>
      </c>
      <c r="L44" s="1020">
        <f>+L45</f>
        <v>25771.206999999999</v>
      </c>
      <c r="M44" s="902">
        <f t="shared" si="10"/>
        <v>0.82441481126039662</v>
      </c>
      <c r="N44" s="1015">
        <f t="shared" si="24"/>
        <v>5488.7930000000015</v>
      </c>
      <c r="O44" s="902">
        <f t="shared" si="12"/>
        <v>0.17558518873960338</v>
      </c>
      <c r="P44" s="949">
        <v>0</v>
      </c>
      <c r="Q44" s="998">
        <f t="shared" si="23"/>
        <v>0</v>
      </c>
      <c r="R44" s="902" t="str">
        <f t="shared" si="13"/>
        <v>0,00%</v>
      </c>
      <c r="S44" s="1016">
        <v>0</v>
      </c>
      <c r="T44" s="1016">
        <v>0</v>
      </c>
      <c r="U44" s="1022">
        <f>+U45</f>
        <v>2700</v>
      </c>
      <c r="V44" s="1022">
        <v>0</v>
      </c>
      <c r="W44" s="1022">
        <f>+W45</f>
        <v>13571.207</v>
      </c>
      <c r="X44" s="1018">
        <v>0</v>
      </c>
      <c r="Y44" s="1018">
        <f>+Y45</f>
        <v>0</v>
      </c>
      <c r="Z44" s="1018">
        <f>+Z45</f>
        <v>0</v>
      </c>
      <c r="AA44" s="1018">
        <f>AA45</f>
        <v>0</v>
      </c>
      <c r="AB44" s="1018">
        <f>AB45</f>
        <v>0</v>
      </c>
      <c r="AC44" s="1018">
        <f>+AC45</f>
        <v>0</v>
      </c>
      <c r="AD44" s="1018">
        <f>+AD45</f>
        <v>0</v>
      </c>
      <c r="AE44" s="1018">
        <v>0</v>
      </c>
      <c r="AF44" s="1018"/>
      <c r="AG44" s="1018">
        <f>+AG45</f>
        <v>0</v>
      </c>
      <c r="AH44" s="1018">
        <v>0</v>
      </c>
      <c r="AI44" s="1018">
        <v>0</v>
      </c>
      <c r="AJ44" s="1018">
        <v>0</v>
      </c>
      <c r="AK44" s="1006">
        <v>0</v>
      </c>
      <c r="AL44" s="1006">
        <v>0</v>
      </c>
      <c r="AM44" s="1104"/>
      <c r="AN44" s="1105"/>
      <c r="AO44" s="1094"/>
      <c r="AP44" s="1102"/>
      <c r="AQ44" s="1094"/>
      <c r="AR44" s="1103"/>
      <c r="AS44" s="1103"/>
      <c r="AT44" s="1103"/>
    </row>
    <row r="45" spans="1:46" s="243" customFormat="1" ht="15" customHeight="1" x14ac:dyDescent="0.2">
      <c r="B45" s="388"/>
      <c r="C45" s="349"/>
      <c r="D45" s="331">
        <v>34</v>
      </c>
      <c r="E45" s="331"/>
      <c r="F45" s="348"/>
      <c r="G45" s="384" t="s">
        <v>1021</v>
      </c>
      <c r="H45" s="250">
        <f>+'P02 2025'!H26</f>
        <v>31260</v>
      </c>
      <c r="I45" s="247">
        <f>+'P02 2025'!EE34</f>
        <v>31260</v>
      </c>
      <c r="J45" s="246">
        <f ca="1">SUMIF(S$3:$AL33,"ok",S45:AL45)</f>
        <v>16271.207</v>
      </c>
      <c r="K45" s="516">
        <f t="shared" ca="1" si="9"/>
        <v>0.52051206014075502</v>
      </c>
      <c r="L45" s="252">
        <f>'P02 2025'!EF35</f>
        <v>25771.206999999999</v>
      </c>
      <c r="M45" s="516">
        <f t="shared" si="10"/>
        <v>0.82441481126039662</v>
      </c>
      <c r="N45" s="247">
        <f t="shared" si="24"/>
        <v>5488.7930000000015</v>
      </c>
      <c r="O45" s="516">
        <f t="shared" si="12"/>
        <v>0.17558518873960338</v>
      </c>
      <c r="P45" s="251">
        <v>0</v>
      </c>
      <c r="Q45" s="251">
        <f t="shared" si="23"/>
        <v>0</v>
      </c>
      <c r="R45" s="516" t="str">
        <f t="shared" si="13"/>
        <v>0,00%</v>
      </c>
      <c r="S45" s="406">
        <v>0</v>
      </c>
      <c r="T45" s="406">
        <v>0</v>
      </c>
      <c r="U45" s="406">
        <f>+'P02 2025'!R8</f>
        <v>2700</v>
      </c>
      <c r="V45" s="538">
        <v>0</v>
      </c>
      <c r="W45" s="538">
        <f>+'P02 2025'!AJ5</f>
        <v>13571.207</v>
      </c>
      <c r="X45" s="412">
        <v>0</v>
      </c>
      <c r="Y45" s="412">
        <v>0</v>
      </c>
      <c r="Z45" s="412">
        <v>0</v>
      </c>
      <c r="AA45" s="412">
        <v>0</v>
      </c>
      <c r="AB45" s="412">
        <v>0</v>
      </c>
      <c r="AC45" s="412">
        <v>0</v>
      </c>
      <c r="AD45" s="412">
        <v>0</v>
      </c>
      <c r="AE45" s="412">
        <v>0</v>
      </c>
      <c r="AF45" s="412"/>
      <c r="AG45" s="412">
        <v>0</v>
      </c>
      <c r="AH45" s="412">
        <v>0</v>
      </c>
      <c r="AI45" s="412">
        <v>0</v>
      </c>
      <c r="AJ45" s="412">
        <v>0</v>
      </c>
      <c r="AK45" s="249">
        <v>0</v>
      </c>
      <c r="AL45" s="249">
        <v>0</v>
      </c>
      <c r="AM45" s="346"/>
      <c r="AN45" s="1072"/>
      <c r="AO45" s="1093"/>
      <c r="AP45" s="1096"/>
      <c r="AQ45" s="1093"/>
      <c r="AR45" s="1092"/>
      <c r="AS45" s="1092"/>
      <c r="AT45" s="1092"/>
    </row>
    <row r="46" spans="1:46" s="1106" customFormat="1" ht="15" customHeight="1" x14ac:dyDescent="0.25">
      <c r="B46" s="508">
        <v>25</v>
      </c>
      <c r="C46" s="172"/>
      <c r="D46" s="172"/>
      <c r="E46" s="38"/>
      <c r="F46" s="39"/>
      <c r="G46" s="403" t="s">
        <v>512</v>
      </c>
      <c r="H46" s="145">
        <f>+H47</f>
        <v>20</v>
      </c>
      <c r="I46" s="145">
        <f t="shared" ref="I46:J46" si="25">+I47</f>
        <v>20</v>
      </c>
      <c r="J46" s="145">
        <f t="shared" ca="1" si="25"/>
        <v>0</v>
      </c>
      <c r="K46" s="514">
        <f t="shared" ca="1" si="9"/>
        <v>0</v>
      </c>
      <c r="L46" s="88">
        <f>+L47</f>
        <v>0</v>
      </c>
      <c r="M46" s="514">
        <f t="shared" si="10"/>
        <v>0</v>
      </c>
      <c r="N46" s="145">
        <f t="shared" si="24"/>
        <v>20</v>
      </c>
      <c r="O46" s="514">
        <f t="shared" si="12"/>
        <v>1</v>
      </c>
      <c r="P46" s="86">
        <f>+P47</f>
        <v>381827.35400000005</v>
      </c>
      <c r="Q46" s="86">
        <f t="shared" si="23"/>
        <v>381817.343506</v>
      </c>
      <c r="R46" s="514">
        <f t="shared" si="13"/>
        <v>0.99997378266932635</v>
      </c>
      <c r="S46" s="310">
        <f>+S47</f>
        <v>0</v>
      </c>
      <c r="T46" s="310">
        <f>+T47</f>
        <v>381817.343506</v>
      </c>
      <c r="U46" s="541">
        <f>+U47</f>
        <v>0</v>
      </c>
      <c r="V46" s="541">
        <f>+V47</f>
        <v>0</v>
      </c>
      <c r="W46" s="541">
        <v>0</v>
      </c>
      <c r="X46" s="541">
        <v>0</v>
      </c>
      <c r="Y46" s="411">
        <f>+Y47</f>
        <v>0</v>
      </c>
      <c r="Z46" s="411">
        <f>+Z47</f>
        <v>0</v>
      </c>
      <c r="AA46" s="411">
        <f>AA47</f>
        <v>0</v>
      </c>
      <c r="AB46" s="411">
        <f>+AB47</f>
        <v>0</v>
      </c>
      <c r="AC46" s="411">
        <f>+AC47</f>
        <v>0</v>
      </c>
      <c r="AD46" s="411">
        <v>0</v>
      </c>
      <c r="AE46" s="411">
        <v>0</v>
      </c>
      <c r="AF46" s="411">
        <f>+AF47</f>
        <v>0</v>
      </c>
      <c r="AG46" s="411">
        <v>0</v>
      </c>
      <c r="AH46" s="411">
        <v>0</v>
      </c>
      <c r="AI46" s="411">
        <v>0</v>
      </c>
      <c r="AJ46" s="411">
        <f>AJ47</f>
        <v>0</v>
      </c>
      <c r="AK46" s="411">
        <f>+AK47</f>
        <v>0</v>
      </c>
      <c r="AL46" s="411">
        <f>+AL47+AL49</f>
        <v>2598.75</v>
      </c>
      <c r="AM46" s="1104"/>
      <c r="AN46" s="1105"/>
      <c r="AO46" s="1094"/>
      <c r="AP46" s="1102"/>
      <c r="AQ46" s="1094"/>
      <c r="AR46" s="1103"/>
      <c r="AS46" s="1103"/>
      <c r="AT46" s="1103"/>
    </row>
    <row r="47" spans="1:46" s="1077" customFormat="1" ht="15" customHeight="1" x14ac:dyDescent="0.25">
      <c r="B47" s="389"/>
      <c r="C47" s="1011">
        <v>99</v>
      </c>
      <c r="D47" s="1011"/>
      <c r="E47" s="927"/>
      <c r="F47" s="1012"/>
      <c r="G47" s="999" t="s">
        <v>511</v>
      </c>
      <c r="H47" s="1005">
        <f>+H48+H49+H50+H51+H52</f>
        <v>20</v>
      </c>
      <c r="I47" s="1005">
        <f t="shared" ref="I47:AL47" si="26">+I48+I49+I50+I51+I52</f>
        <v>20</v>
      </c>
      <c r="J47" s="1005">
        <f t="shared" ca="1" si="26"/>
        <v>0</v>
      </c>
      <c r="K47" s="902">
        <f t="shared" ca="1" si="9"/>
        <v>0</v>
      </c>
      <c r="L47" s="1005">
        <f t="shared" si="26"/>
        <v>0</v>
      </c>
      <c r="M47" s="902">
        <f t="shared" si="10"/>
        <v>0</v>
      </c>
      <c r="N47" s="1005">
        <f>+N48+N49+N50+N51+N52</f>
        <v>20</v>
      </c>
      <c r="O47" s="902">
        <f t="shared" si="12"/>
        <v>1</v>
      </c>
      <c r="P47" s="1005">
        <f>+P48+P49+P50+P51+P52</f>
        <v>381827.35400000005</v>
      </c>
      <c r="Q47" s="949">
        <f t="shared" si="23"/>
        <v>381817.343506</v>
      </c>
      <c r="R47" s="902">
        <f t="shared" si="13"/>
        <v>0.99997378266932635</v>
      </c>
      <c r="S47" s="1005">
        <f>+S48+S49+S50+S51+S52</f>
        <v>0</v>
      </c>
      <c r="T47" s="1005">
        <f t="shared" si="26"/>
        <v>381817.343506</v>
      </c>
      <c r="U47" s="1005">
        <f t="shared" si="26"/>
        <v>0</v>
      </c>
      <c r="V47" s="1005">
        <f t="shared" si="26"/>
        <v>0</v>
      </c>
      <c r="W47" s="1005">
        <v>0</v>
      </c>
      <c r="X47" s="1005">
        <f t="shared" si="26"/>
        <v>0</v>
      </c>
      <c r="Y47" s="1005">
        <f>SUM(Y48:Y52)</f>
        <v>0</v>
      </c>
      <c r="Z47" s="1005">
        <f>SUM(Z48:Z52)</f>
        <v>0</v>
      </c>
      <c r="AA47" s="1005">
        <f>SUM(AA48:AA52)</f>
        <v>0</v>
      </c>
      <c r="AB47" s="1005">
        <f t="shared" si="26"/>
        <v>0</v>
      </c>
      <c r="AC47" s="1005">
        <f>+AC48+AC49+AC50+AC51+AC52</f>
        <v>0</v>
      </c>
      <c r="AD47" s="1005">
        <f>+AD48+AD49+AD50+AD51+AD52</f>
        <v>0</v>
      </c>
      <c r="AE47" s="1005">
        <v>0</v>
      </c>
      <c r="AF47" s="1005">
        <f t="shared" si="26"/>
        <v>0</v>
      </c>
      <c r="AG47" s="1005">
        <v>0</v>
      </c>
      <c r="AH47" s="1005">
        <f t="shared" si="26"/>
        <v>0</v>
      </c>
      <c r="AI47" s="1005">
        <f t="shared" si="26"/>
        <v>0</v>
      </c>
      <c r="AJ47" s="1005">
        <f t="shared" si="26"/>
        <v>0</v>
      </c>
      <c r="AK47" s="1005">
        <f t="shared" si="26"/>
        <v>0</v>
      </c>
      <c r="AL47" s="1005">
        <f t="shared" si="26"/>
        <v>2598.75</v>
      </c>
      <c r="AN47" s="1105"/>
      <c r="AO47" s="1094"/>
      <c r="AP47" s="1102"/>
      <c r="AQ47" s="1094"/>
      <c r="AR47" s="1103"/>
      <c r="AS47" s="1103"/>
      <c r="AT47" s="1103"/>
    </row>
    <row r="48" spans="1:46" s="243" customFormat="1" ht="15" hidden="1" customHeight="1" x14ac:dyDescent="0.25">
      <c r="B48" s="388"/>
      <c r="C48" s="349"/>
      <c r="D48" s="331">
        <v>1</v>
      </c>
      <c r="E48" s="331"/>
      <c r="F48" s="348"/>
      <c r="G48" s="328" t="s">
        <v>846</v>
      </c>
      <c r="H48" s="248">
        <f>+'P02 2025'!H28</f>
        <v>1</v>
      </c>
      <c r="I48" s="248">
        <f>+'P02 2025'!EE36</f>
        <v>1</v>
      </c>
      <c r="J48" s="246">
        <f ca="1">SUMIF(S$3:$AL33,"ok",S48:AL48)</f>
        <v>0</v>
      </c>
      <c r="K48" s="516">
        <f t="shared" ca="1" si="9"/>
        <v>0</v>
      </c>
      <c r="L48" s="248">
        <v>0</v>
      </c>
      <c r="M48" s="516">
        <f t="shared" si="10"/>
        <v>0</v>
      </c>
      <c r="N48" s="248">
        <f>+I48-L48</f>
        <v>1</v>
      </c>
      <c r="O48" s="516">
        <f t="shared" si="12"/>
        <v>1</v>
      </c>
      <c r="P48" s="249">
        <v>0</v>
      </c>
      <c r="Q48" s="249">
        <v>0</v>
      </c>
      <c r="R48" s="516" t="str">
        <f t="shared" si="13"/>
        <v>0,00%</v>
      </c>
      <c r="S48" s="406">
        <v>0</v>
      </c>
      <c r="T48" s="406"/>
      <c r="U48" s="406">
        <v>0</v>
      </c>
      <c r="V48" s="538">
        <v>0</v>
      </c>
      <c r="W48" s="538">
        <v>0</v>
      </c>
      <c r="X48" s="412">
        <v>0</v>
      </c>
      <c r="Y48" s="412">
        <v>0</v>
      </c>
      <c r="Z48" s="412">
        <v>0</v>
      </c>
      <c r="AA48" s="412">
        <v>0</v>
      </c>
      <c r="AB48" s="412"/>
      <c r="AC48" s="412">
        <v>0</v>
      </c>
      <c r="AD48" s="412">
        <v>0</v>
      </c>
      <c r="AE48" s="412">
        <v>0</v>
      </c>
      <c r="AF48" s="412">
        <v>0</v>
      </c>
      <c r="AG48" s="412">
        <v>0</v>
      </c>
      <c r="AH48" s="412">
        <v>0</v>
      </c>
      <c r="AI48" s="412">
        <v>0</v>
      </c>
      <c r="AJ48" s="412">
        <v>0</v>
      </c>
      <c r="AK48" s="412">
        <v>0</v>
      </c>
      <c r="AL48" s="412"/>
      <c r="AM48" s="346"/>
      <c r="AN48" s="1072"/>
      <c r="AO48" s="1093"/>
      <c r="AP48" s="1096"/>
      <c r="AQ48" s="1093"/>
      <c r="AR48" s="1092"/>
      <c r="AS48" s="1092"/>
      <c r="AT48" s="1092"/>
    </row>
    <row r="49" spans="1:46" s="243" customFormat="1" ht="15" hidden="1" customHeight="1" x14ac:dyDescent="0.25">
      <c r="B49" s="388"/>
      <c r="C49" s="349"/>
      <c r="D49" s="331">
        <v>2</v>
      </c>
      <c r="E49" s="331"/>
      <c r="F49" s="348"/>
      <c r="G49" s="328" t="s">
        <v>885</v>
      </c>
      <c r="H49" s="248">
        <f>+'P02 2025'!H29</f>
        <v>1</v>
      </c>
      <c r="I49" s="248">
        <f>+'P02 2025'!EE37</f>
        <v>1</v>
      </c>
      <c r="J49" s="246">
        <f ca="1">SUMIF(S$3:$AL34,"ok",S49:AL49)</f>
        <v>0</v>
      </c>
      <c r="K49" s="516">
        <f t="shared" ca="1" si="9"/>
        <v>0</v>
      </c>
      <c r="L49" s="248">
        <v>0</v>
      </c>
      <c r="M49" s="516">
        <f t="shared" si="10"/>
        <v>0</v>
      </c>
      <c r="N49" s="248">
        <f t="shared" ref="N49:N52" si="27">+I49-L49</f>
        <v>1</v>
      </c>
      <c r="O49" s="516">
        <f t="shared" si="12"/>
        <v>1</v>
      </c>
      <c r="P49" s="249">
        <f>+'P02 2024'!ED36</f>
        <v>1.042</v>
      </c>
      <c r="Q49" s="249">
        <f>SUMIF($S$3:$AL$3,"SI",S49:AL49)</f>
        <v>381817.343506</v>
      </c>
      <c r="R49" s="516">
        <v>1</v>
      </c>
      <c r="S49" s="406">
        <v>0</v>
      </c>
      <c r="T49" s="406">
        <f>+'P02 2024'!J28</f>
        <v>381817.343506</v>
      </c>
      <c r="U49" s="406">
        <v>0</v>
      </c>
      <c r="V49" s="538">
        <v>0</v>
      </c>
      <c r="W49" s="538">
        <v>0</v>
      </c>
      <c r="X49" s="412">
        <v>0</v>
      </c>
      <c r="Y49" s="412">
        <v>0</v>
      </c>
      <c r="Z49" s="412">
        <v>0</v>
      </c>
      <c r="AA49" s="412">
        <v>0</v>
      </c>
      <c r="AB49" s="412">
        <v>0</v>
      </c>
      <c r="AC49" s="412">
        <v>0</v>
      </c>
      <c r="AD49" s="416">
        <v>0</v>
      </c>
      <c r="AE49" s="412">
        <v>0</v>
      </c>
      <c r="AF49" s="412">
        <v>0</v>
      </c>
      <c r="AG49" s="412">
        <v>0</v>
      </c>
      <c r="AH49" s="412">
        <v>0</v>
      </c>
      <c r="AI49" s="412">
        <v>0</v>
      </c>
      <c r="AJ49" s="412">
        <v>0</v>
      </c>
      <c r="AK49" s="412">
        <v>0</v>
      </c>
      <c r="AL49" s="412">
        <v>0</v>
      </c>
      <c r="AM49" s="346"/>
      <c r="AN49" s="1072"/>
      <c r="AO49" s="1093"/>
      <c r="AP49" s="1096"/>
      <c r="AQ49" s="1093"/>
      <c r="AR49" s="1092"/>
      <c r="AS49" s="1092"/>
      <c r="AT49" s="1092"/>
    </row>
    <row r="50" spans="1:46" s="243" customFormat="1" ht="15" hidden="1" customHeight="1" x14ac:dyDescent="0.25">
      <c r="B50" s="388"/>
      <c r="C50" s="349"/>
      <c r="D50" s="331">
        <v>201</v>
      </c>
      <c r="E50" s="331"/>
      <c r="F50" s="348"/>
      <c r="G50" s="328" t="s">
        <v>855</v>
      </c>
      <c r="H50" s="248">
        <f>+'P02 2025'!H30</f>
        <v>1</v>
      </c>
      <c r="I50" s="248">
        <f>+'P02 2025'!EE36</f>
        <v>1</v>
      </c>
      <c r="J50" s="246">
        <f ca="1">SUMIF(S$3:$AL35,"ok",S50:AL50)</f>
        <v>0</v>
      </c>
      <c r="K50" s="516">
        <f t="shared" ca="1" si="9"/>
        <v>0</v>
      </c>
      <c r="L50" s="248">
        <v>0</v>
      </c>
      <c r="M50" s="516">
        <f t="shared" si="10"/>
        <v>0</v>
      </c>
      <c r="N50" s="248">
        <f t="shared" si="27"/>
        <v>1</v>
      </c>
      <c r="O50" s="516">
        <f t="shared" si="12"/>
        <v>1</v>
      </c>
      <c r="P50" s="249">
        <v>0</v>
      </c>
      <c r="Q50" s="249">
        <f>SUMIF($S$3:$AL$3,"SI",S50:AL50)</f>
        <v>0</v>
      </c>
      <c r="R50" s="516" t="str">
        <f t="shared" si="13"/>
        <v>0,00%</v>
      </c>
      <c r="S50" s="406">
        <v>0</v>
      </c>
      <c r="T50" s="406">
        <v>0</v>
      </c>
      <c r="U50" s="406">
        <v>0</v>
      </c>
      <c r="V50" s="538">
        <v>0</v>
      </c>
      <c r="W50" s="538">
        <v>0</v>
      </c>
      <c r="X50" s="412">
        <v>0</v>
      </c>
      <c r="Y50" s="412">
        <v>0</v>
      </c>
      <c r="Z50" s="412">
        <v>0</v>
      </c>
      <c r="AA50" s="412">
        <v>0</v>
      </c>
      <c r="AB50" s="412"/>
      <c r="AC50" s="412">
        <v>0</v>
      </c>
      <c r="AD50" s="416">
        <v>0</v>
      </c>
      <c r="AE50" s="412">
        <v>0</v>
      </c>
      <c r="AF50" s="412">
        <v>0</v>
      </c>
      <c r="AG50" s="412">
        <v>0</v>
      </c>
      <c r="AH50" s="412">
        <v>0</v>
      </c>
      <c r="AI50" s="412">
        <v>0</v>
      </c>
      <c r="AJ50" s="412">
        <v>0</v>
      </c>
      <c r="AK50" s="412">
        <v>0</v>
      </c>
      <c r="AL50" s="412">
        <f>+'P02 2024'!GR16</f>
        <v>2598.75</v>
      </c>
      <c r="AM50" s="346"/>
      <c r="AN50" s="1072"/>
      <c r="AO50" s="1093"/>
      <c r="AP50" s="1096"/>
      <c r="AQ50" s="1093"/>
      <c r="AR50" s="1092"/>
      <c r="AS50" s="1092"/>
      <c r="AT50" s="1092"/>
    </row>
    <row r="51" spans="1:46" s="243" customFormat="1" ht="15" hidden="1" customHeight="1" x14ac:dyDescent="0.25">
      <c r="B51" s="388"/>
      <c r="C51" s="349"/>
      <c r="D51" s="331">
        <v>202</v>
      </c>
      <c r="E51" s="331"/>
      <c r="F51" s="348"/>
      <c r="G51" s="328" t="s">
        <v>856</v>
      </c>
      <c r="H51" s="248">
        <f>+'P02 2025'!H31</f>
        <v>1</v>
      </c>
      <c r="I51" s="248">
        <f>+'P02 2025'!EE39</f>
        <v>1</v>
      </c>
      <c r="J51" s="246">
        <f ca="1">SUMIF(S$3:$AL36,"ok",S51:AL51)</f>
        <v>0</v>
      </c>
      <c r="K51" s="516">
        <f t="shared" ca="1" si="9"/>
        <v>0</v>
      </c>
      <c r="L51" s="248">
        <v>0</v>
      </c>
      <c r="M51" s="516">
        <f t="shared" si="10"/>
        <v>0</v>
      </c>
      <c r="N51" s="248">
        <f t="shared" si="27"/>
        <v>1</v>
      </c>
      <c r="O51" s="516">
        <f t="shared" si="12"/>
        <v>1</v>
      </c>
      <c r="P51" s="249">
        <v>0</v>
      </c>
      <c r="Q51" s="249">
        <v>0</v>
      </c>
      <c r="R51" s="516" t="str">
        <f t="shared" si="13"/>
        <v>0,00%</v>
      </c>
      <c r="S51" s="406">
        <v>0</v>
      </c>
      <c r="T51" s="406"/>
      <c r="U51" s="406">
        <v>0</v>
      </c>
      <c r="V51" s="538">
        <v>0</v>
      </c>
      <c r="W51" s="538">
        <v>0</v>
      </c>
      <c r="X51" s="412">
        <v>0</v>
      </c>
      <c r="Y51" s="412">
        <v>0</v>
      </c>
      <c r="Z51" s="412">
        <v>0</v>
      </c>
      <c r="AA51" s="412">
        <v>0</v>
      </c>
      <c r="AB51" s="412"/>
      <c r="AC51" s="412">
        <v>0</v>
      </c>
      <c r="AD51" s="416">
        <v>0</v>
      </c>
      <c r="AE51" s="412">
        <v>0</v>
      </c>
      <c r="AF51" s="412">
        <v>0</v>
      </c>
      <c r="AG51" s="412">
        <v>0</v>
      </c>
      <c r="AH51" s="412">
        <v>0</v>
      </c>
      <c r="AI51" s="412">
        <v>0</v>
      </c>
      <c r="AJ51" s="412">
        <v>0</v>
      </c>
      <c r="AK51" s="412">
        <v>0</v>
      </c>
      <c r="AL51" s="412"/>
      <c r="AM51" s="346"/>
      <c r="AN51" s="1072"/>
      <c r="AO51" s="1093"/>
      <c r="AP51" s="1096"/>
      <c r="AQ51" s="1093"/>
      <c r="AR51" s="1092"/>
      <c r="AS51" s="1092"/>
      <c r="AT51" s="1092"/>
    </row>
    <row r="52" spans="1:46" s="243" customFormat="1" ht="15" hidden="1" customHeight="1" x14ac:dyDescent="0.25">
      <c r="B52" s="388"/>
      <c r="C52" s="349"/>
      <c r="D52" s="349">
        <v>999</v>
      </c>
      <c r="E52" s="349"/>
      <c r="F52" s="348"/>
      <c r="G52" s="328" t="s">
        <v>51</v>
      </c>
      <c r="H52" s="248">
        <f>+'P02 2025'!H32</f>
        <v>16</v>
      </c>
      <c r="I52" s="248">
        <f>+'P02 2025'!EE40</f>
        <v>16</v>
      </c>
      <c r="J52" s="246">
        <f ca="1">SUMIF(S$3:$AL37,"ok",S52:AL52)</f>
        <v>0</v>
      </c>
      <c r="K52" s="516">
        <f t="shared" ca="1" si="9"/>
        <v>0</v>
      </c>
      <c r="L52" s="248">
        <v>0</v>
      </c>
      <c r="M52" s="516">
        <f t="shared" si="10"/>
        <v>0</v>
      </c>
      <c r="N52" s="248">
        <f t="shared" si="27"/>
        <v>16</v>
      </c>
      <c r="O52" s="516">
        <f t="shared" si="12"/>
        <v>1</v>
      </c>
      <c r="P52" s="249">
        <f>+'P02 2024'!ED38</f>
        <v>381826.31200000003</v>
      </c>
      <c r="Q52" s="249">
        <f>SUMIF($S$3:$AL$3,"SI",S52:AL52)</f>
        <v>0</v>
      </c>
      <c r="R52" s="516">
        <f t="shared" si="13"/>
        <v>0</v>
      </c>
      <c r="S52" s="406">
        <v>0</v>
      </c>
      <c r="T52" s="406">
        <v>0</v>
      </c>
      <c r="U52" s="406">
        <v>0</v>
      </c>
      <c r="V52" s="538">
        <v>0</v>
      </c>
      <c r="W52" s="538">
        <v>0</v>
      </c>
      <c r="X52" s="412">
        <v>0</v>
      </c>
      <c r="Y52" s="412">
        <v>0</v>
      </c>
      <c r="Z52" s="412">
        <v>0</v>
      </c>
      <c r="AA52" s="412">
        <v>0</v>
      </c>
      <c r="AB52" s="412">
        <v>0</v>
      </c>
      <c r="AC52" s="412">
        <v>0</v>
      </c>
      <c r="AD52" s="412">
        <v>0</v>
      </c>
      <c r="AE52" s="412">
        <v>0</v>
      </c>
      <c r="AF52" s="412">
        <v>0</v>
      </c>
      <c r="AG52" s="412">
        <v>0</v>
      </c>
      <c r="AH52" s="412">
        <v>0</v>
      </c>
      <c r="AI52" s="412">
        <v>0</v>
      </c>
      <c r="AJ52" s="412">
        <v>0</v>
      </c>
      <c r="AK52" s="412">
        <v>0</v>
      </c>
      <c r="AL52" s="412">
        <v>0</v>
      </c>
      <c r="AM52" s="346"/>
      <c r="AN52" s="1072"/>
      <c r="AO52" s="1093"/>
      <c r="AP52" s="1096"/>
      <c r="AQ52" s="1093"/>
      <c r="AR52" s="1092"/>
      <c r="AS52" s="1092"/>
      <c r="AT52" s="1092"/>
    </row>
    <row r="53" spans="1:46" s="1106" customFormat="1" ht="15" customHeight="1" x14ac:dyDescent="0.25">
      <c r="A53" s="1107"/>
      <c r="B53" s="508" t="s">
        <v>838</v>
      </c>
      <c r="C53" s="172" t="s">
        <v>2</v>
      </c>
      <c r="D53" s="38"/>
      <c r="E53" s="38"/>
      <c r="F53" s="90"/>
      <c r="G53" s="403" t="s">
        <v>147</v>
      </c>
      <c r="H53" s="145">
        <f>+H54</f>
        <v>1419191</v>
      </c>
      <c r="I53" s="145">
        <f>+I54</f>
        <v>1348231</v>
      </c>
      <c r="J53" s="145">
        <f ca="1">SUMIF(S$3:$AL36,"ok",S53:AL53)</f>
        <v>292869.52400000003</v>
      </c>
      <c r="K53" s="514">
        <f t="shared" ca="1" si="9"/>
        <v>0.2172250333956125</v>
      </c>
      <c r="L53" s="146">
        <f>+L54</f>
        <v>1060582.2739999997</v>
      </c>
      <c r="M53" s="514">
        <f t="shared" si="10"/>
        <v>0.78664729857123872</v>
      </c>
      <c r="N53" s="146">
        <f>+I53-L53</f>
        <v>287648.72600000026</v>
      </c>
      <c r="O53" s="514">
        <f t="shared" si="12"/>
        <v>0.21335270142876128</v>
      </c>
      <c r="P53" s="88">
        <f>+P54</f>
        <v>1319079.2620000001</v>
      </c>
      <c r="Q53" s="88">
        <f>+Q54</f>
        <v>496909.17986199999</v>
      </c>
      <c r="R53" s="514">
        <f t="shared" si="13"/>
        <v>0.37670911383185701</v>
      </c>
      <c r="S53" s="310">
        <v>0</v>
      </c>
      <c r="T53" s="310">
        <v>0</v>
      </c>
      <c r="U53" s="86">
        <f t="shared" ref="U53:AB53" si="28">+U54</f>
        <v>4506.134</v>
      </c>
      <c r="V53" s="86">
        <f t="shared" si="28"/>
        <v>146379.43476800001</v>
      </c>
      <c r="W53" s="86">
        <f t="shared" ref="W53:Z54" si="29">+W54</f>
        <v>23659.173999999999</v>
      </c>
      <c r="X53" s="86">
        <f t="shared" si="29"/>
        <v>16612.708116000002</v>
      </c>
      <c r="Y53" s="86">
        <f>+Y54</f>
        <v>22749.071000000004</v>
      </c>
      <c r="Z53" s="86">
        <f t="shared" si="29"/>
        <v>84486.954260000013</v>
      </c>
      <c r="AA53" s="86">
        <f>AA54</f>
        <v>11146.334000000001</v>
      </c>
      <c r="AB53" s="86">
        <f t="shared" si="28"/>
        <v>54486.042455999996</v>
      </c>
      <c r="AC53" s="86">
        <f>+AC54</f>
        <v>20070.47</v>
      </c>
      <c r="AD53" s="86">
        <f t="shared" ref="AD53:AI54" si="30">+AD54</f>
        <v>43350.221799999999</v>
      </c>
      <c r="AE53" s="86">
        <f>+AE54</f>
        <v>151427.60800000001</v>
      </c>
      <c r="AF53" s="86">
        <f t="shared" si="30"/>
        <v>73888.239797999995</v>
      </c>
      <c r="AG53" s="86">
        <f t="shared" si="30"/>
        <v>59310.733000000007</v>
      </c>
      <c r="AH53" s="86">
        <f t="shared" si="30"/>
        <v>77705.578664000001</v>
      </c>
      <c r="AI53" s="86">
        <f t="shared" si="30"/>
        <v>46988.108999999997</v>
      </c>
      <c r="AJ53" s="86">
        <f>AJ54</f>
        <v>69767.555999999997</v>
      </c>
      <c r="AK53" s="86">
        <f t="shared" ref="AK53:AL54" si="31">+AK54</f>
        <v>50411.436999999991</v>
      </c>
      <c r="AL53" s="86">
        <f>+AL54</f>
        <v>405953.66200000007</v>
      </c>
      <c r="AM53" s="1077"/>
      <c r="AN53" s="1105"/>
      <c r="AO53" s="1094"/>
      <c r="AP53" s="1102"/>
      <c r="AQ53" s="1094"/>
      <c r="AR53" s="1103"/>
      <c r="AS53" s="1103"/>
      <c r="AT53" s="1103"/>
    </row>
    <row r="54" spans="1:46" s="1077" customFormat="1" ht="15" customHeight="1" x14ac:dyDescent="0.25">
      <c r="A54" s="1082"/>
      <c r="B54" s="497"/>
      <c r="C54" s="794">
        <v>3</v>
      </c>
      <c r="D54" s="33"/>
      <c r="E54" s="33"/>
      <c r="F54" s="1019"/>
      <c r="G54" s="990" t="s">
        <v>87</v>
      </c>
      <c r="H54" s="991">
        <f>+H55</f>
        <v>1419191</v>
      </c>
      <c r="I54" s="991">
        <f>+I55</f>
        <v>1348231</v>
      </c>
      <c r="J54" s="991">
        <f ca="1">+J55</f>
        <v>292869.52400000003</v>
      </c>
      <c r="K54" s="902">
        <f t="shared" ca="1" si="9"/>
        <v>0.2172250333956125</v>
      </c>
      <c r="L54" s="1015">
        <f>+L55</f>
        <v>1060582.2739999997</v>
      </c>
      <c r="M54" s="902">
        <f t="shared" si="10"/>
        <v>0.78664729857123872</v>
      </c>
      <c r="N54" s="1015">
        <f>+I54-L54</f>
        <v>287648.72600000026</v>
      </c>
      <c r="O54" s="902">
        <f t="shared" si="12"/>
        <v>0.21335270142876128</v>
      </c>
      <c r="P54" s="998">
        <f>+P55</f>
        <v>1319079.2620000001</v>
      </c>
      <c r="Q54" s="998">
        <f>+Q55</f>
        <v>496909.17986199999</v>
      </c>
      <c r="R54" s="902">
        <f t="shared" si="13"/>
        <v>0.37670911383185701</v>
      </c>
      <c r="S54" s="1016">
        <f>+S55</f>
        <v>0</v>
      </c>
      <c r="T54" s="1016">
        <f>+T55</f>
        <v>0</v>
      </c>
      <c r="U54" s="1021">
        <f>+U55</f>
        <v>4506.134</v>
      </c>
      <c r="V54" s="1021">
        <f>+V55</f>
        <v>146379.43476800001</v>
      </c>
      <c r="W54" s="1021">
        <f t="shared" si="29"/>
        <v>23659.173999999999</v>
      </c>
      <c r="X54" s="1021">
        <f t="shared" si="29"/>
        <v>16612.708116000002</v>
      </c>
      <c r="Y54" s="1021">
        <f>+Y55</f>
        <v>22749.071000000004</v>
      </c>
      <c r="Z54" s="1021">
        <f t="shared" si="29"/>
        <v>84486.954260000013</v>
      </c>
      <c r="AA54" s="1021">
        <f>AA55</f>
        <v>11146.334000000001</v>
      </c>
      <c r="AB54" s="1021">
        <f>+AB55</f>
        <v>54486.042455999996</v>
      </c>
      <c r="AC54" s="1021">
        <f>+AC55</f>
        <v>20070.47</v>
      </c>
      <c r="AD54" s="1021">
        <f t="shared" si="30"/>
        <v>43350.221799999999</v>
      </c>
      <c r="AE54" s="1021">
        <f>+AE55</f>
        <v>151427.60800000001</v>
      </c>
      <c r="AF54" s="1021">
        <f t="shared" si="30"/>
        <v>73888.239797999995</v>
      </c>
      <c r="AG54" s="1021">
        <f t="shared" si="30"/>
        <v>59310.733000000007</v>
      </c>
      <c r="AH54" s="1021">
        <f t="shared" si="30"/>
        <v>77705.578664000001</v>
      </c>
      <c r="AI54" s="1021">
        <f t="shared" si="30"/>
        <v>46988.108999999997</v>
      </c>
      <c r="AJ54" s="1021">
        <f>AJ55</f>
        <v>69767.555999999997</v>
      </c>
      <c r="AK54" s="1021">
        <f>+AK55</f>
        <v>50411.436999999991</v>
      </c>
      <c r="AL54" s="1020">
        <f t="shared" si="31"/>
        <v>405953.66200000007</v>
      </c>
      <c r="AN54" s="1105"/>
      <c r="AO54" s="1094"/>
      <c r="AP54" s="1102"/>
      <c r="AQ54" s="1094"/>
      <c r="AR54" s="1103"/>
      <c r="AS54" s="1103"/>
      <c r="AT54" s="1103"/>
    </row>
    <row r="55" spans="1:46" s="243" customFormat="1" ht="15" customHeight="1" x14ac:dyDescent="0.25">
      <c r="A55" s="150"/>
      <c r="B55" s="375"/>
      <c r="C55" s="393"/>
      <c r="D55" s="254">
        <v>602</v>
      </c>
      <c r="E55" s="254"/>
      <c r="F55" s="255"/>
      <c r="G55" s="384" t="s">
        <v>313</v>
      </c>
      <c r="H55" s="246">
        <f>SUM(H56:H60)</f>
        <v>1419191</v>
      </c>
      <c r="I55" s="246">
        <f>SUM(I56:I60)</f>
        <v>1348231</v>
      </c>
      <c r="J55" s="246">
        <f ca="1">SUMIF(S$3:$AL39,"ok",S55:AL55)</f>
        <v>292869.52400000003</v>
      </c>
      <c r="K55" s="516">
        <f t="shared" ca="1" si="9"/>
        <v>0.2172250333956125</v>
      </c>
      <c r="L55" s="247">
        <f>SUM(L56:L60)</f>
        <v>1060582.2739999997</v>
      </c>
      <c r="M55" s="516">
        <f t="shared" si="10"/>
        <v>0.78664729857123872</v>
      </c>
      <c r="N55" s="247">
        <f>+I55-L55</f>
        <v>287648.72600000026</v>
      </c>
      <c r="O55" s="516">
        <f t="shared" si="12"/>
        <v>0.21335270142876128</v>
      </c>
      <c r="P55" s="175">
        <f>+P57+P56+P58+P59+P60</f>
        <v>1319079.2620000001</v>
      </c>
      <c r="Q55" s="175">
        <f>+Q57+Q56+Q58+Q59+Q60</f>
        <v>496909.17986199999</v>
      </c>
      <c r="R55" s="516">
        <f t="shared" si="13"/>
        <v>0.37670911383185701</v>
      </c>
      <c r="S55" s="406">
        <f>SUM(S56:S60)</f>
        <v>0</v>
      </c>
      <c r="T55" s="406">
        <f>SUM(T56:T60)</f>
        <v>0</v>
      </c>
      <c r="U55" s="281">
        <f>+SUM(U56:U58)</f>
        <v>4506.134</v>
      </c>
      <c r="V55" s="281">
        <f>+SUM(V56:V58)</f>
        <v>146379.43476800001</v>
      </c>
      <c r="W55" s="281">
        <f t="shared" ref="W55:AB55" si="32">SUM(W56:W60)</f>
        <v>23659.173999999999</v>
      </c>
      <c r="X55" s="281">
        <f t="shared" si="32"/>
        <v>16612.708116000002</v>
      </c>
      <c r="Y55" s="281">
        <f t="shared" si="32"/>
        <v>22749.071000000004</v>
      </c>
      <c r="Z55" s="281">
        <f t="shared" si="32"/>
        <v>84486.954260000013</v>
      </c>
      <c r="AA55" s="281">
        <f>SUM(AA56:AA60)</f>
        <v>11146.334000000001</v>
      </c>
      <c r="AB55" s="281">
        <f t="shared" si="32"/>
        <v>54486.042455999996</v>
      </c>
      <c r="AC55" s="281">
        <f>+SUM(AC56:AC60)</f>
        <v>20070.47</v>
      </c>
      <c r="AD55" s="281">
        <f>+SUM(AD56:AD60)</f>
        <v>43350.221799999999</v>
      </c>
      <c r="AE55" s="281">
        <f>+SUM(AE56:AE60)</f>
        <v>151427.60800000001</v>
      </c>
      <c r="AF55" s="281">
        <f>+SUM(AF56:AF60)</f>
        <v>73888.239797999995</v>
      </c>
      <c r="AG55" s="281">
        <f>SUM(AG56:AG60)</f>
        <v>59310.733000000007</v>
      </c>
      <c r="AH55" s="281">
        <f>SUM(AH56:AH60)</f>
        <v>77705.578664000001</v>
      </c>
      <c r="AI55" s="175">
        <f>SUM(AI56:AI60)</f>
        <v>46988.108999999997</v>
      </c>
      <c r="AJ55" s="175">
        <f>SUM(AJ56:AJ60)</f>
        <v>69767.555999999997</v>
      </c>
      <c r="AK55" s="281">
        <f>+SUM(AK56:AK60)</f>
        <v>50411.436999999991</v>
      </c>
      <c r="AL55" s="252">
        <f>SUM(AL56:AL60)</f>
        <v>405953.66200000007</v>
      </c>
      <c r="AN55" s="1072"/>
      <c r="AO55" s="1093"/>
      <c r="AP55" s="1096"/>
      <c r="AQ55" s="1093"/>
      <c r="AR55" s="1092"/>
      <c r="AS55" s="1092"/>
      <c r="AT55" s="1092"/>
    </row>
    <row r="56" spans="1:46" s="243" customFormat="1" ht="15" hidden="1" customHeight="1" x14ac:dyDescent="0.2">
      <c r="B56" s="388"/>
      <c r="C56" s="349"/>
      <c r="D56" s="331"/>
      <c r="E56" s="331">
        <v>1</v>
      </c>
      <c r="F56" s="348"/>
      <c r="G56" s="384" t="s">
        <v>333</v>
      </c>
      <c r="H56" s="250">
        <f>+'P02 2025'!H33+70960</f>
        <v>707902</v>
      </c>
      <c r="I56" s="247">
        <f>'P02 2025'!EE41</f>
        <v>630000.18299999996</v>
      </c>
      <c r="J56" s="246">
        <f ca="1">SUMIF(S$3:$AL40,"ok",S56:AL56)</f>
        <v>0</v>
      </c>
      <c r="K56" s="516">
        <f t="shared" ca="1" si="9"/>
        <v>0</v>
      </c>
      <c r="L56" s="246">
        <f>'P02 2025'!EF42</f>
        <v>550000</v>
      </c>
      <c r="M56" s="516">
        <f t="shared" si="10"/>
        <v>0.87301561942562167</v>
      </c>
      <c r="N56" s="248">
        <f>+I56-L56</f>
        <v>80000.182999999961</v>
      </c>
      <c r="O56" s="516">
        <f t="shared" si="12"/>
        <v>0.12698438057437827</v>
      </c>
      <c r="P56" s="249">
        <f>+'P02 2024'!ED39</f>
        <v>533912.46400000004</v>
      </c>
      <c r="Q56" s="249">
        <f>SUMIF($S$3:$AL$3,"SI",S56:AL56)</f>
        <v>310800.96720199997</v>
      </c>
      <c r="R56" s="516">
        <f t="shared" si="13"/>
        <v>0.58211970717731731</v>
      </c>
      <c r="S56" s="406">
        <v>0</v>
      </c>
      <c r="T56" s="406">
        <v>0</v>
      </c>
      <c r="U56" s="406">
        <v>0</v>
      </c>
      <c r="V56" s="538">
        <f>+'P02 2024'!Q9</f>
        <v>140596.334768</v>
      </c>
      <c r="W56" s="538">
        <v>0</v>
      </c>
      <c r="X56" s="412">
        <v>0</v>
      </c>
      <c r="Y56" s="412">
        <v>0</v>
      </c>
      <c r="Z56" s="412">
        <f>+'P02 2024'!BA10</f>
        <v>60628.079153999999</v>
      </c>
      <c r="AA56" s="412">
        <v>0</v>
      </c>
      <c r="AB56" s="412">
        <f>+'P02 2024'!BS11</f>
        <v>48948.474126000001</v>
      </c>
      <c r="AC56" s="412">
        <v>0</v>
      </c>
      <c r="AD56" s="413">
        <v>0</v>
      </c>
      <c r="AE56" s="413">
        <v>0</v>
      </c>
      <c r="AF56" s="412">
        <f>+'P02 2024'!DC9</f>
        <v>40418.719435999999</v>
      </c>
      <c r="AG56" s="412">
        <v>0</v>
      </c>
      <c r="AH56" s="412">
        <f>+'P02 2024'!DU9</f>
        <v>20209.359718</v>
      </c>
      <c r="AI56" s="412">
        <v>0</v>
      </c>
      <c r="AJ56" s="415">
        <v>19394.778999999999</v>
      </c>
      <c r="AK56" s="281">
        <f>+'P02 2024'!FZ10</f>
        <v>19394.778999999999</v>
      </c>
      <c r="AL56" s="249">
        <f>+'P02 2024'!GR17</f>
        <v>259951.18799999999</v>
      </c>
      <c r="AN56" s="1072"/>
      <c r="AO56" s="1093"/>
      <c r="AP56" s="1096"/>
      <c r="AQ56" s="1093"/>
      <c r="AR56" s="1092"/>
      <c r="AS56" s="1092"/>
      <c r="AT56" s="1092"/>
    </row>
    <row r="57" spans="1:46" s="243" customFormat="1" ht="15" hidden="1" customHeight="1" x14ac:dyDescent="0.2">
      <c r="B57" s="388"/>
      <c r="C57" s="349"/>
      <c r="D57" s="331"/>
      <c r="E57" s="331">
        <v>2</v>
      </c>
      <c r="F57" s="348"/>
      <c r="G57" s="384" t="s">
        <v>334</v>
      </c>
      <c r="H57" s="250">
        <f>+'P02 2025'!H34</f>
        <v>311367.39799999999</v>
      </c>
      <c r="I57" s="247">
        <f>'P02 2025'!EE43</f>
        <v>349310</v>
      </c>
      <c r="J57" s="246">
        <f ca="1">SUMIF(S$3:$AL41,"ok",S57:AL57)</f>
        <v>102099.482</v>
      </c>
      <c r="K57" s="516">
        <f t="shared" ca="1" si="9"/>
        <v>0.29228903266439554</v>
      </c>
      <c r="L57" s="246">
        <f>'P02 2025'!EF44</f>
        <v>188508.32500000001</v>
      </c>
      <c r="M57" s="516">
        <f t="shared" si="10"/>
        <v>0.53965911368125741</v>
      </c>
      <c r="N57" s="248">
        <f t="shared" ref="N57:N60" si="33">+I57-L57</f>
        <v>160801.67499999999</v>
      </c>
      <c r="O57" s="516">
        <f t="shared" si="12"/>
        <v>0.46034088631874265</v>
      </c>
      <c r="P57" s="249">
        <f>+'P02 2024'!ED41</f>
        <v>337841.408</v>
      </c>
      <c r="Q57" s="249">
        <f>SUMIF($S$3:$AL$3,"SI",S57:AL57)</f>
        <v>109656.88314400001</v>
      </c>
      <c r="R57" s="516">
        <f t="shared" si="13"/>
        <v>0.32458094403868931</v>
      </c>
      <c r="S57" s="406">
        <v>0</v>
      </c>
      <c r="T57" s="406">
        <v>0</v>
      </c>
      <c r="U57" s="406">
        <f>+'P02 2025'!R9</f>
        <v>4506.134</v>
      </c>
      <c r="V57" s="538">
        <f>+'P02 2024'!Q10</f>
        <v>5783.1</v>
      </c>
      <c r="W57" s="538">
        <f>+'P02 2025'!AJ6</f>
        <v>23659.173999999999</v>
      </c>
      <c r="X57" s="412">
        <f>+'P02 2024'!AI10</f>
        <v>16612.708116000002</v>
      </c>
      <c r="Y57" s="412">
        <f>+'P02 2025'!BB6</f>
        <v>20150.312000000002</v>
      </c>
      <c r="Z57" s="412">
        <f>+'P02 2024'!BA11</f>
        <v>21150.977606</v>
      </c>
      <c r="AA57" s="412">
        <f>'P02 2025'!BT8</f>
        <v>11146.334000000001</v>
      </c>
      <c r="AB57" s="412">
        <f>+'P02 2024'!BS12</f>
        <v>5537.5693719999999</v>
      </c>
      <c r="AC57" s="412">
        <f>+'P02 2025'!CL9</f>
        <v>20070.47</v>
      </c>
      <c r="AD57" s="413">
        <f>+'P02 2024'!CK10</f>
        <v>16061.179599999999</v>
      </c>
      <c r="AE57" s="413">
        <f>+'P02 2025'!DD7</f>
        <v>14554.155000000001</v>
      </c>
      <c r="AF57" s="417">
        <f>+'P02 2024'!DC10</f>
        <v>30761.623904</v>
      </c>
      <c r="AG57" s="417">
        <f>+'P02 2025'!DV8</f>
        <v>8012.9030000000002</v>
      </c>
      <c r="AH57" s="412">
        <f>+'P02 2024'!DU10</f>
        <v>13749.724546000001</v>
      </c>
      <c r="AI57" s="414">
        <f>+'P02 2024'!EM10</f>
        <v>15601.513000000001</v>
      </c>
      <c r="AJ57" s="415">
        <v>29381.177</v>
      </c>
      <c r="AK57" s="249">
        <f>+'P02 2024'!FZ11</f>
        <v>7426.3090000000002</v>
      </c>
      <c r="AL57" s="249">
        <f>+'P02 2024'!GR18</f>
        <v>74518.740000000005</v>
      </c>
      <c r="AN57" s="1072"/>
      <c r="AO57" s="1093"/>
      <c r="AP57" s="1096"/>
      <c r="AQ57" s="1093"/>
      <c r="AR57" s="1092"/>
      <c r="AS57" s="1092"/>
      <c r="AT57" s="1092"/>
    </row>
    <row r="58" spans="1:46" s="243" customFormat="1" ht="15" hidden="1" customHeight="1" x14ac:dyDescent="0.2">
      <c r="B58" s="388"/>
      <c r="C58" s="349"/>
      <c r="D58" s="331"/>
      <c r="E58" s="331">
        <v>3</v>
      </c>
      <c r="F58" s="348"/>
      <c r="G58" s="384" t="s">
        <v>500</v>
      </c>
      <c r="H58" s="250">
        <f>+'P02 2025'!H36</f>
        <v>236820.785</v>
      </c>
      <c r="I58" s="247">
        <f>'P02 2025'!EE45</f>
        <v>254819.58100000001</v>
      </c>
      <c r="J58" s="246">
        <f ca="1">SUMIF(S$3:$AL42,"ok",S58:AL58)</f>
        <v>156513.58300000001</v>
      </c>
      <c r="K58" s="516">
        <f t="shared" ca="1" si="9"/>
        <v>0.61421332844904097</v>
      </c>
      <c r="L58" s="246">
        <f>'P02 2025'!EF46</f>
        <v>254475.19</v>
      </c>
      <c r="M58" s="516">
        <f t="shared" si="10"/>
        <v>0.99864849083163665</v>
      </c>
      <c r="N58" s="248">
        <f>+I58-L58</f>
        <v>344.39100000000326</v>
      </c>
      <c r="O58" s="516">
        <f t="shared" si="12"/>
        <v>1.3515091683633342E-3</v>
      </c>
      <c r="P58" s="249">
        <f>+'P02 2024'!ED43</f>
        <v>279265.37800000003</v>
      </c>
      <c r="Q58" s="249">
        <f>SUMIF($S$3:$AL$3,"SI",S58:AL58)</f>
        <v>65619.741599999994</v>
      </c>
      <c r="R58" s="516">
        <f t="shared" si="13"/>
        <v>0.23497270614046539</v>
      </c>
      <c r="S58" s="406">
        <v>0</v>
      </c>
      <c r="T58" s="406">
        <v>0</v>
      </c>
      <c r="U58" s="406">
        <v>0</v>
      </c>
      <c r="V58" s="538">
        <v>0</v>
      </c>
      <c r="W58" s="538">
        <v>0</v>
      </c>
      <c r="X58" s="412">
        <v>0</v>
      </c>
      <c r="Y58" s="412">
        <v>0</v>
      </c>
      <c r="Z58" s="412">
        <v>0</v>
      </c>
      <c r="AA58" s="412">
        <v>0</v>
      </c>
      <c r="AB58" s="412">
        <v>0</v>
      </c>
      <c r="AC58" s="412">
        <v>0</v>
      </c>
      <c r="AD58" s="413">
        <f>+'P02 2024'!CK11</f>
        <v>21873.247199999998</v>
      </c>
      <c r="AE58" s="413">
        <f>+'P02 2025'!DD8</f>
        <v>136873.45300000001</v>
      </c>
      <c r="AF58" s="412">
        <v>0</v>
      </c>
      <c r="AG58" s="412">
        <f>+'P02 2025'!DV9</f>
        <v>19640.13</v>
      </c>
      <c r="AH58" s="412">
        <f>+'P02 2024'!DU11</f>
        <v>43746.494399999996</v>
      </c>
      <c r="AI58" s="412">
        <f>+'P02 2024'!EM11</f>
        <v>20991.599999999999</v>
      </c>
      <c r="AJ58" s="415">
        <v>20991.599999999999</v>
      </c>
      <c r="AK58" s="249">
        <f>+'P02 2024'!FZ12</f>
        <v>20991.599999999999</v>
      </c>
      <c r="AL58" s="249">
        <f>+'P02 2024'!GR19</f>
        <v>23990.400000000001</v>
      </c>
      <c r="AN58" s="1072"/>
      <c r="AO58" s="1093"/>
      <c r="AP58" s="1096"/>
      <c r="AQ58" s="1093"/>
      <c r="AR58" s="1092"/>
      <c r="AS58" s="1092"/>
      <c r="AT58" s="1092"/>
    </row>
    <row r="59" spans="1:46" s="243" customFormat="1" ht="15" hidden="1" customHeight="1" x14ac:dyDescent="0.2">
      <c r="B59" s="388"/>
      <c r="C59" s="349"/>
      <c r="D59" s="331"/>
      <c r="E59" s="331">
        <v>4</v>
      </c>
      <c r="F59" s="348"/>
      <c r="G59" s="384" t="s">
        <v>612</v>
      </c>
      <c r="H59" s="250">
        <f>+'P02 2025'!H37</f>
        <v>91100.816999999995</v>
      </c>
      <c r="I59" s="247">
        <f>'P02 2025'!EE47</f>
        <v>49101.235999999997</v>
      </c>
      <c r="J59" s="246">
        <f ca="1">SUMIF(S$3:$AL43,"ok",S59:AL59)</f>
        <v>2598.759</v>
      </c>
      <c r="K59" s="516">
        <f t="shared" ca="1" si="9"/>
        <v>5.2926549547551105E-2</v>
      </c>
      <c r="L59" s="246">
        <f>+'P02 2025'!EF48</f>
        <v>2598.759</v>
      </c>
      <c r="M59" s="516">
        <f t="shared" si="10"/>
        <v>5.2926549547551105E-2</v>
      </c>
      <c r="N59" s="248">
        <f t="shared" si="33"/>
        <v>46502.476999999999</v>
      </c>
      <c r="O59" s="516">
        <f t="shared" si="12"/>
        <v>0.94707345045244895</v>
      </c>
      <c r="P59" s="249">
        <f>+'P02 2024'!ED45</f>
        <v>43020.012000000002</v>
      </c>
      <c r="Q59" s="249">
        <f>SUMIF($S$3:$AL$3,"SI",S59:AL59)</f>
        <v>10831.587916</v>
      </c>
      <c r="R59" s="516">
        <f t="shared" si="13"/>
        <v>0.25178021605386813</v>
      </c>
      <c r="S59" s="406">
        <v>0</v>
      </c>
      <c r="T59" s="406">
        <v>0</v>
      </c>
      <c r="U59" s="406">
        <v>0</v>
      </c>
      <c r="V59" s="538">
        <v>0</v>
      </c>
      <c r="W59" s="538">
        <v>0</v>
      </c>
      <c r="X59" s="412">
        <v>0</v>
      </c>
      <c r="Y59" s="412">
        <f>+'P02 2025'!BB7</f>
        <v>2598.759</v>
      </c>
      <c r="Z59" s="412">
        <f>+'P02 2024'!BA12</f>
        <v>2707.8975</v>
      </c>
      <c r="AA59" s="412">
        <v>0</v>
      </c>
      <c r="AB59" s="412">
        <f>+'P02 2024'!BS13</f>
        <v>-1.042E-3</v>
      </c>
      <c r="AC59" s="412">
        <v>0</v>
      </c>
      <c r="AD59" s="413">
        <f>+'P02 2024'!CK12</f>
        <v>5415.7950000000001</v>
      </c>
      <c r="AE59" s="413">
        <v>0</v>
      </c>
      <c r="AF59" s="412">
        <f>+'P02 2024'!DC11</f>
        <v>2707.8964579999997</v>
      </c>
      <c r="AG59" s="412">
        <v>0</v>
      </c>
      <c r="AH59" s="412">
        <v>0</v>
      </c>
      <c r="AI59" s="412">
        <f>+'P02 2024'!EM12</f>
        <v>10394.995999999999</v>
      </c>
      <c r="AJ59" s="412">
        <v>0</v>
      </c>
      <c r="AK59" s="281">
        <f>+'P02 2024'!FZ13</f>
        <v>2598.7489999999998</v>
      </c>
      <c r="AL59" s="249">
        <f>+'P02 2024'!GR20</f>
        <v>6208.9979999999996</v>
      </c>
      <c r="AN59" s="1072"/>
      <c r="AO59" s="1093"/>
      <c r="AP59" s="1096"/>
      <c r="AQ59" s="1093"/>
      <c r="AR59" s="1092"/>
      <c r="AS59" s="1092"/>
      <c r="AT59" s="1092"/>
    </row>
    <row r="60" spans="1:46" s="243" customFormat="1" ht="15" hidden="1" customHeight="1" x14ac:dyDescent="0.2">
      <c r="B60" s="388"/>
      <c r="C60" s="349"/>
      <c r="D60" s="331"/>
      <c r="E60" s="331">
        <v>5</v>
      </c>
      <c r="F60" s="348"/>
      <c r="G60" s="384" t="s">
        <v>614</v>
      </c>
      <c r="H60" s="250">
        <f>+'P02 2025'!H38</f>
        <v>72000</v>
      </c>
      <c r="I60" s="247">
        <f>'P02 2025'!EE49</f>
        <v>65000</v>
      </c>
      <c r="J60" s="246">
        <f ca="1">SUMIF(S$3:$AL46,"ok",S60:AL60)</f>
        <v>31657.7</v>
      </c>
      <c r="K60" s="516">
        <f t="shared" ca="1" si="9"/>
        <v>0.48704153846153847</v>
      </c>
      <c r="L60" s="246">
        <f>+'P02 2025'!EF50</f>
        <v>65000</v>
      </c>
      <c r="M60" s="516">
        <f t="shared" si="10"/>
        <v>1</v>
      </c>
      <c r="N60" s="248">
        <f t="shared" si="33"/>
        <v>0</v>
      </c>
      <c r="O60" s="516">
        <f t="shared" si="12"/>
        <v>0</v>
      </c>
      <c r="P60" s="249">
        <f>+'P02 2024'!ED47</f>
        <v>125040</v>
      </c>
      <c r="Q60" s="249">
        <f>SUMIF($S$3:$AL$3,"SI",S60:AL60)</f>
        <v>0</v>
      </c>
      <c r="R60" s="516">
        <f t="shared" si="13"/>
        <v>0</v>
      </c>
      <c r="S60" s="406">
        <v>0</v>
      </c>
      <c r="T60" s="406">
        <v>0</v>
      </c>
      <c r="U60" s="406">
        <v>0</v>
      </c>
      <c r="V60" s="538">
        <v>0</v>
      </c>
      <c r="W60" s="538">
        <v>0</v>
      </c>
      <c r="X60" s="412">
        <v>0</v>
      </c>
      <c r="Y60" s="412">
        <v>0</v>
      </c>
      <c r="Z60" s="412">
        <v>0</v>
      </c>
      <c r="AA60" s="412">
        <v>0</v>
      </c>
      <c r="AB60" s="412">
        <v>0</v>
      </c>
      <c r="AC60" s="412">
        <v>0</v>
      </c>
      <c r="AD60" s="412">
        <v>0</v>
      </c>
      <c r="AE60" s="412">
        <v>0</v>
      </c>
      <c r="AF60" s="412">
        <v>0</v>
      </c>
      <c r="AG60" s="412">
        <f>+'P02 2025'!DV10</f>
        <v>31657.7</v>
      </c>
      <c r="AH60" s="412">
        <v>0</v>
      </c>
      <c r="AI60" s="412">
        <v>0</v>
      </c>
      <c r="AJ60" s="412">
        <v>0</v>
      </c>
      <c r="AK60" s="281">
        <v>0</v>
      </c>
      <c r="AL60" s="249">
        <f>+'P02 2024'!GR21</f>
        <v>41284.336000000003</v>
      </c>
      <c r="AN60" s="1072"/>
      <c r="AO60" s="1093"/>
      <c r="AP60" s="1096"/>
      <c r="AQ60" s="1093"/>
      <c r="AR60" s="1092"/>
      <c r="AS60" s="1092"/>
      <c r="AT60" s="1092"/>
    </row>
    <row r="61" spans="1:46" s="1106" customFormat="1" ht="15" customHeight="1" x14ac:dyDescent="0.25">
      <c r="B61" s="508">
        <v>34</v>
      </c>
      <c r="C61" s="172" t="s">
        <v>2</v>
      </c>
      <c r="D61" s="38"/>
      <c r="E61" s="38"/>
      <c r="F61" s="90"/>
      <c r="G61" s="403" t="s">
        <v>83</v>
      </c>
      <c r="H61" s="145">
        <f>+H62</f>
        <v>10</v>
      </c>
      <c r="I61" s="145">
        <f>+I62</f>
        <v>1410533</v>
      </c>
      <c r="J61" s="145">
        <f ca="1">SUMIF(S$3:$AL47,"ok",S61:AL61)</f>
        <v>1410465.2559999998</v>
      </c>
      <c r="K61" s="514">
        <f t="shared" ca="1" si="9"/>
        <v>0.99995197276490511</v>
      </c>
      <c r="L61" s="146">
        <f>+L62</f>
        <v>1410465.2559999998</v>
      </c>
      <c r="M61" s="514">
        <f t="shared" si="10"/>
        <v>0.99995197276490511</v>
      </c>
      <c r="N61" s="146">
        <f t="shared" ref="N61:N63" si="34">+I61-L61</f>
        <v>67.744000000180677</v>
      </c>
      <c r="O61" s="514">
        <f t="shared" si="12"/>
        <v>4.8027235094946859E-5</v>
      </c>
      <c r="P61" s="88">
        <f>+P62</f>
        <v>284333.77019999997</v>
      </c>
      <c r="Q61" s="88">
        <f>+Q62</f>
        <v>284333.60660599999</v>
      </c>
      <c r="R61" s="514">
        <f t="shared" si="13"/>
        <v>0.99999942464097791</v>
      </c>
      <c r="S61" s="310">
        <f>+S62</f>
        <v>1410532.5089999998</v>
      </c>
      <c r="T61" s="310">
        <f>+T62</f>
        <v>284333.60660599999</v>
      </c>
      <c r="U61" s="310">
        <v>0</v>
      </c>
      <c r="V61" s="418">
        <f>+V62</f>
        <v>0</v>
      </c>
      <c r="W61" s="418">
        <f>+W62</f>
        <v>-67.253</v>
      </c>
      <c r="X61" s="418">
        <f>+X62</f>
        <v>0</v>
      </c>
      <c r="Y61" s="418">
        <f>+Y62</f>
        <v>0</v>
      </c>
      <c r="Z61" s="418">
        <f>+Z62</f>
        <v>0</v>
      </c>
      <c r="AA61" s="418">
        <f>AA62</f>
        <v>0</v>
      </c>
      <c r="AB61" s="411">
        <v>0</v>
      </c>
      <c r="AC61" s="411">
        <f>+AC62</f>
        <v>0</v>
      </c>
      <c r="AD61" s="411">
        <v>0</v>
      </c>
      <c r="AE61" s="411">
        <v>0</v>
      </c>
      <c r="AF61" s="411">
        <v>0</v>
      </c>
      <c r="AG61" s="411">
        <v>0</v>
      </c>
      <c r="AH61" s="411">
        <f>+AH62</f>
        <v>0</v>
      </c>
      <c r="AI61" s="411">
        <v>0</v>
      </c>
      <c r="AJ61" s="411">
        <f>AJ62</f>
        <v>0</v>
      </c>
      <c r="AK61" s="411">
        <v>0</v>
      </c>
      <c r="AL61" s="411">
        <v>0</v>
      </c>
      <c r="AM61" s="1077"/>
      <c r="AN61" s="1105"/>
      <c r="AO61" s="1094"/>
      <c r="AP61" s="1102"/>
      <c r="AQ61" s="1094"/>
      <c r="AR61" s="1103"/>
      <c r="AS61" s="1103"/>
      <c r="AT61" s="1103"/>
    </row>
    <row r="62" spans="1:46" s="1077" customFormat="1" ht="15" customHeight="1" x14ac:dyDescent="0.2">
      <c r="B62" s="389"/>
      <c r="C62" s="1011">
        <v>7</v>
      </c>
      <c r="D62" s="927"/>
      <c r="E62" s="970" t="s">
        <v>681</v>
      </c>
      <c r="F62" s="1013"/>
      <c r="G62" s="990" t="s">
        <v>138</v>
      </c>
      <c r="H62" s="1014">
        <f>+'P02 2025'!H39</f>
        <v>10</v>
      </c>
      <c r="I62" s="991">
        <f>'P02 2025'!EE51</f>
        <v>1410533</v>
      </c>
      <c r="J62" s="991">
        <f ca="1">SUMIF(S$3:$AL52,"ok",S62:AL62)</f>
        <v>1410465.2559999998</v>
      </c>
      <c r="K62" s="902">
        <f t="shared" ca="1" si="9"/>
        <v>0.99995197276490511</v>
      </c>
      <c r="L62" s="991">
        <f>+'P02 2025'!EF54+'P02 2025'!EF55+'P02 2025'!EF56</f>
        <v>1410465.2559999998</v>
      </c>
      <c r="M62" s="902">
        <f t="shared" si="10"/>
        <v>0.99995197276490511</v>
      </c>
      <c r="N62" s="1015">
        <f>+I62-L62</f>
        <v>67.744000000180677</v>
      </c>
      <c r="O62" s="902">
        <f t="shared" si="12"/>
        <v>4.8027235094946859E-5</v>
      </c>
      <c r="P62" s="949">
        <f>+'P02 2024'!ED48</f>
        <v>284333.77019999997</v>
      </c>
      <c r="Q62" s="998">
        <f>SUMIF($S$3:$AL$3,"SI",S62:AL62)</f>
        <v>284333.60660599999</v>
      </c>
      <c r="R62" s="902">
        <f t="shared" si="13"/>
        <v>0.99999942464097791</v>
      </c>
      <c r="S62" s="1016">
        <f>+'P02 2025'!I41++'P02 2025'!I42++'P02 2025'!I43</f>
        <v>1410532.5089999998</v>
      </c>
      <c r="T62" s="1016">
        <f>+'P02 2024'!J39+'P02 2024'!J41+'P02 2024'!J43</f>
        <v>284333.60660599999</v>
      </c>
      <c r="U62" s="1016">
        <v>0</v>
      </c>
      <c r="V62" s="1017">
        <v>0</v>
      </c>
      <c r="W62" s="1017">
        <f>+'P02 2025'!AJ7</f>
        <v>-67.253</v>
      </c>
      <c r="X62" s="1018">
        <v>0</v>
      </c>
      <c r="Y62" s="1018">
        <v>0</v>
      </c>
      <c r="Z62" s="1018">
        <v>0</v>
      </c>
      <c r="AA62" s="1018">
        <v>0</v>
      </c>
      <c r="AB62" s="1018">
        <v>0</v>
      </c>
      <c r="AC62" s="1018">
        <v>0</v>
      </c>
      <c r="AD62" s="1018">
        <v>0</v>
      </c>
      <c r="AE62" s="1018">
        <f>+AE61</f>
        <v>0</v>
      </c>
      <c r="AF62" s="1018">
        <v>0</v>
      </c>
      <c r="AG62" s="1018">
        <v>0</v>
      </c>
      <c r="AH62" s="1018">
        <v>0</v>
      </c>
      <c r="AI62" s="1018">
        <v>0</v>
      </c>
      <c r="AJ62" s="1018">
        <v>0</v>
      </c>
      <c r="AK62" s="1018">
        <v>0</v>
      </c>
      <c r="AL62" s="1006">
        <v>0</v>
      </c>
      <c r="AN62" s="1105"/>
      <c r="AO62" s="1094"/>
      <c r="AP62" s="1102"/>
      <c r="AQ62" s="1094"/>
      <c r="AR62" s="1103"/>
      <c r="AS62" s="1103"/>
      <c r="AT62" s="1103"/>
    </row>
    <row r="63" spans="1:46" s="1106" customFormat="1" ht="15" customHeight="1" x14ac:dyDescent="0.25">
      <c r="B63" s="508">
        <v>35</v>
      </c>
      <c r="C63" s="172"/>
      <c r="D63" s="38"/>
      <c r="E63" s="38"/>
      <c r="F63" s="90"/>
      <c r="G63" s="403" t="s">
        <v>124</v>
      </c>
      <c r="H63" s="145">
        <v>0</v>
      </c>
      <c r="I63" s="145">
        <v>0</v>
      </c>
      <c r="J63" s="145">
        <f ca="1">SUMIF(S$3:$AL53,"ok",S63:AL63)</f>
        <v>0</v>
      </c>
      <c r="K63" s="514">
        <f t="shared" ca="1" si="9"/>
        <v>0</v>
      </c>
      <c r="L63" s="88">
        <v>0</v>
      </c>
      <c r="M63" s="514">
        <f t="shared" si="10"/>
        <v>0</v>
      </c>
      <c r="N63" s="145">
        <f t="shared" si="34"/>
        <v>0</v>
      </c>
      <c r="O63" s="514">
        <f t="shared" si="12"/>
        <v>0</v>
      </c>
      <c r="P63" s="88">
        <v>0</v>
      </c>
      <c r="Q63" s="88">
        <v>0</v>
      </c>
      <c r="R63" s="514" t="str">
        <f t="shared" si="13"/>
        <v>0,00%</v>
      </c>
      <c r="S63" s="310">
        <v>0</v>
      </c>
      <c r="T63" s="310">
        <v>0</v>
      </c>
      <c r="U63" s="310">
        <v>0</v>
      </c>
      <c r="V63" s="541">
        <v>0</v>
      </c>
      <c r="W63" s="541">
        <v>0</v>
      </c>
      <c r="X63" s="411">
        <v>0</v>
      </c>
      <c r="Y63" s="411">
        <v>0</v>
      </c>
      <c r="Z63" s="411">
        <v>0</v>
      </c>
      <c r="AA63" s="411"/>
      <c r="AB63" s="411">
        <v>0</v>
      </c>
      <c r="AC63" s="411">
        <v>0</v>
      </c>
      <c r="AD63" s="411">
        <v>0</v>
      </c>
      <c r="AE63" s="411">
        <v>0</v>
      </c>
      <c r="AF63" s="411">
        <v>0</v>
      </c>
      <c r="AG63" s="411">
        <v>0</v>
      </c>
      <c r="AH63" s="411">
        <v>0</v>
      </c>
      <c r="AI63" s="411"/>
      <c r="AJ63" s="411">
        <v>0</v>
      </c>
      <c r="AK63" s="411">
        <v>0</v>
      </c>
      <c r="AL63" s="411">
        <v>0</v>
      </c>
      <c r="AM63" s="1104"/>
      <c r="AN63" s="1105"/>
      <c r="AO63" s="1094"/>
      <c r="AP63" s="1102"/>
      <c r="AQ63" s="1094"/>
      <c r="AR63" s="1103"/>
      <c r="AS63" s="1103"/>
      <c r="AT63" s="1103"/>
    </row>
    <row r="64" spans="1:46" ht="12.75" customHeight="1" x14ac:dyDescent="0.2">
      <c r="V64" s="135"/>
      <c r="W64" s="135"/>
      <c r="AM64" s="346"/>
      <c r="AN64" s="1072"/>
      <c r="AO64" s="1093"/>
      <c r="AP64" s="1096"/>
      <c r="AQ64" s="1093"/>
      <c r="AR64" s="1092"/>
      <c r="AS64" s="1092"/>
      <c r="AT64" s="1092"/>
    </row>
    <row r="65" spans="1:46" ht="12.75" customHeight="1" x14ac:dyDescent="0.2">
      <c r="V65" s="135"/>
      <c r="W65" s="135"/>
      <c r="AM65" s="346"/>
      <c r="AN65" s="1072"/>
      <c r="AO65" s="1093"/>
      <c r="AP65" s="1096"/>
      <c r="AQ65" s="1093"/>
      <c r="AR65" s="1092"/>
      <c r="AS65" s="1092"/>
      <c r="AT65" s="1092"/>
    </row>
    <row r="66" spans="1:46" ht="12.75" customHeight="1" x14ac:dyDescent="0.2">
      <c r="B66" s="1244" t="s">
        <v>1033</v>
      </c>
      <c r="C66" s="1244"/>
      <c r="D66" s="1244"/>
      <c r="E66" s="1244"/>
      <c r="F66" s="1244"/>
      <c r="G66" s="1244"/>
      <c r="H66" s="1244"/>
      <c r="I66" s="1244"/>
      <c r="J66" s="1244"/>
      <c r="K66" s="1244"/>
      <c r="L66" s="1244"/>
      <c r="M66" s="1244"/>
      <c r="N66" s="1244"/>
      <c r="O66" s="1244"/>
      <c r="P66" s="1244"/>
      <c r="Q66" s="1244"/>
      <c r="R66" s="1244"/>
      <c r="V66" s="135"/>
      <c r="W66" s="135"/>
      <c r="AM66" s="346"/>
      <c r="AN66" s="1072"/>
      <c r="AO66" s="1093"/>
      <c r="AP66" s="1096"/>
      <c r="AQ66" s="1093"/>
      <c r="AR66" s="1092"/>
      <c r="AS66" s="1092"/>
      <c r="AT66" s="1092"/>
    </row>
    <row r="67" spans="1:46" ht="12.75" customHeight="1" x14ac:dyDescent="0.2">
      <c r="B67" s="1244"/>
      <c r="C67" s="1244"/>
      <c r="D67" s="1244"/>
      <c r="E67" s="1244"/>
      <c r="F67" s="1244"/>
      <c r="G67" s="1244"/>
      <c r="H67" s="1244"/>
      <c r="I67" s="1244"/>
      <c r="J67" s="1244"/>
      <c r="K67" s="1244"/>
      <c r="L67" s="1244"/>
      <c r="M67" s="1244"/>
      <c r="N67" s="1244"/>
      <c r="O67" s="1244"/>
      <c r="P67" s="1244"/>
      <c r="Q67" s="1244"/>
      <c r="R67" s="1244"/>
      <c r="V67" s="128"/>
      <c r="W67" s="128"/>
      <c r="AM67" s="346"/>
      <c r="AN67" s="1072"/>
      <c r="AO67" s="1093"/>
      <c r="AP67" s="1096"/>
      <c r="AQ67" s="1093"/>
      <c r="AR67" s="1092"/>
      <c r="AS67" s="1092"/>
      <c r="AT67" s="1092"/>
    </row>
    <row r="68" spans="1:46" ht="12.75" customHeight="1" x14ac:dyDescent="0.2">
      <c r="B68" s="1244"/>
      <c r="C68" s="1244"/>
      <c r="D68" s="1244"/>
      <c r="E68" s="1244"/>
      <c r="F68" s="1244"/>
      <c r="G68" s="1244"/>
      <c r="H68" s="1244"/>
      <c r="I68" s="1244"/>
      <c r="J68" s="1244"/>
      <c r="K68" s="1244"/>
      <c r="L68" s="1244"/>
      <c r="M68" s="1244"/>
      <c r="N68" s="1244"/>
      <c r="O68" s="1244"/>
      <c r="P68" s="1244"/>
      <c r="Q68" s="1244"/>
      <c r="R68" s="1244"/>
      <c r="V68" s="135"/>
      <c r="W68" s="135"/>
      <c r="AM68" s="346"/>
      <c r="AN68" s="1072"/>
      <c r="AO68" s="1093"/>
      <c r="AP68" s="1096"/>
      <c r="AQ68" s="1093"/>
      <c r="AR68" s="1092"/>
      <c r="AS68" s="1092"/>
      <c r="AT68" s="1092"/>
    </row>
    <row r="69" spans="1:46" ht="12.75" customHeight="1" x14ac:dyDescent="0.2">
      <c r="B69" s="1244"/>
      <c r="C69" s="1244"/>
      <c r="D69" s="1244"/>
      <c r="E69" s="1244"/>
      <c r="F69" s="1244"/>
      <c r="G69" s="1244"/>
      <c r="H69" s="1244"/>
      <c r="I69" s="1244"/>
      <c r="J69" s="1244"/>
      <c r="K69" s="1244"/>
      <c r="L69" s="1244"/>
      <c r="M69" s="1244"/>
      <c r="N69" s="1244"/>
      <c r="O69" s="1244"/>
      <c r="P69" s="1244"/>
      <c r="Q69" s="1244"/>
      <c r="R69" s="1244"/>
      <c r="V69" s="135"/>
      <c r="W69" s="135"/>
      <c r="AM69" s="346"/>
      <c r="AN69" s="1072"/>
      <c r="AO69" s="1093"/>
      <c r="AP69" s="1096"/>
      <c r="AQ69" s="1093"/>
      <c r="AR69" s="1092"/>
      <c r="AS69" s="1092"/>
      <c r="AT69" s="1092"/>
    </row>
    <row r="70" spans="1:46" ht="12.75" customHeight="1" x14ac:dyDescent="0.2">
      <c r="A70" s="9"/>
      <c r="G70" s="99"/>
      <c r="J70" s="3"/>
      <c r="V70" s="135"/>
      <c r="W70" s="135"/>
      <c r="AM70" s="346"/>
      <c r="AN70" s="1072"/>
      <c r="AO70" s="1093"/>
      <c r="AP70" s="1096"/>
      <c r="AQ70" s="1093"/>
      <c r="AR70" s="1092"/>
      <c r="AS70" s="1092"/>
      <c r="AT70" s="1092"/>
    </row>
    <row r="71" spans="1:46" ht="12.75" customHeight="1" x14ac:dyDescent="0.2">
      <c r="V71" s="135"/>
      <c r="W71" s="135"/>
      <c r="AM71" s="346"/>
      <c r="AN71" s="1093"/>
      <c r="AO71" s="1093"/>
      <c r="AP71" s="1096"/>
      <c r="AQ71" s="1093"/>
    </row>
    <row r="72" spans="1:46" s="9" customFormat="1" ht="12.75" customHeight="1" x14ac:dyDescent="0.2">
      <c r="B72" s="426"/>
      <c r="C72" s="427"/>
      <c r="D72" s="173"/>
      <c r="E72" s="174"/>
      <c r="F72" s="13"/>
      <c r="G72" s="10"/>
      <c r="K72" s="515"/>
      <c r="M72" s="515"/>
      <c r="O72" s="515"/>
      <c r="R72" s="515"/>
      <c r="S72" s="134"/>
      <c r="T72" s="134"/>
      <c r="U72" s="134"/>
      <c r="V72" s="135"/>
      <c r="W72" s="135"/>
      <c r="AD72" s="17"/>
      <c r="AE72" s="17"/>
      <c r="AM72" s="346"/>
      <c r="AN72" s="1093"/>
      <c r="AO72" s="1093"/>
      <c r="AP72" s="1096"/>
      <c r="AQ72" s="1093"/>
      <c r="AR72" s="1099"/>
      <c r="AS72" s="1099"/>
      <c r="AT72" s="1099"/>
    </row>
    <row r="73" spans="1:46" s="9" customFormat="1" ht="12.75" customHeight="1" x14ac:dyDescent="0.2">
      <c r="B73" s="426"/>
      <c r="C73" s="427"/>
      <c r="D73" s="173"/>
      <c r="E73" s="174"/>
      <c r="F73" s="13"/>
      <c r="G73" s="10"/>
      <c r="K73" s="515"/>
      <c r="M73" s="515"/>
      <c r="O73" s="515"/>
      <c r="Q73" s="160"/>
      <c r="R73" s="517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346"/>
      <c r="AN73" s="1093"/>
      <c r="AO73" s="1093"/>
      <c r="AP73" s="1096"/>
      <c r="AQ73" s="1093"/>
      <c r="AR73" s="1099"/>
      <c r="AS73" s="1099"/>
      <c r="AT73" s="1099"/>
    </row>
    <row r="74" spans="1:46" s="9" customFormat="1" ht="12.75" customHeight="1" x14ac:dyDescent="0.2">
      <c r="B74" s="426"/>
      <c r="C74" s="427"/>
      <c r="D74" s="173"/>
      <c r="E74" s="174"/>
      <c r="F74" s="13"/>
      <c r="G74" s="10"/>
      <c r="K74" s="515"/>
      <c r="M74" s="515"/>
      <c r="O74" s="515"/>
      <c r="Q74" s="160"/>
      <c r="R74" s="517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277"/>
      <c r="AN74" s="1093"/>
      <c r="AO74" s="1093"/>
      <c r="AP74" s="1096"/>
      <c r="AQ74" s="1093"/>
      <c r="AR74" s="1099"/>
      <c r="AS74" s="1099"/>
      <c r="AT74" s="1099"/>
    </row>
    <row r="75" spans="1:46" s="9" customFormat="1" ht="12.75" customHeight="1" x14ac:dyDescent="0.2">
      <c r="B75" s="426"/>
      <c r="C75" s="427"/>
      <c r="D75" s="173"/>
      <c r="E75" s="174"/>
      <c r="F75" s="13"/>
      <c r="G75" s="10"/>
      <c r="K75" s="515"/>
      <c r="M75" s="515"/>
      <c r="O75" s="515"/>
      <c r="Q75" s="160"/>
      <c r="R75" s="517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346"/>
      <c r="AN75" s="1093"/>
      <c r="AO75" s="1093"/>
      <c r="AP75" s="1096"/>
      <c r="AQ75" s="1093"/>
      <c r="AR75" s="1099"/>
      <c r="AS75" s="1099"/>
      <c r="AT75" s="1099"/>
    </row>
    <row r="76" spans="1:46" s="9" customFormat="1" ht="12.75" customHeight="1" x14ac:dyDescent="0.2">
      <c r="AN76" s="1093"/>
      <c r="AO76" s="1093"/>
      <c r="AP76" s="1096"/>
      <c r="AQ76" s="1093"/>
      <c r="AR76" s="1099"/>
      <c r="AS76" s="1099"/>
      <c r="AT76" s="1099"/>
    </row>
    <row r="77" spans="1:46" s="9" customFormat="1" ht="12.75" customHeight="1" x14ac:dyDescent="0.2">
      <c r="AN77" s="926"/>
      <c r="AO77" s="926"/>
      <c r="AP77" s="1098"/>
      <c r="AQ77" s="277"/>
      <c r="AR77" s="1099"/>
      <c r="AS77" s="1099"/>
      <c r="AT77" s="1099"/>
    </row>
    <row r="78" spans="1:46" s="9" customFormat="1" ht="12.75" customHeight="1" x14ac:dyDescent="0.2">
      <c r="B78" s="426"/>
      <c r="C78" s="427"/>
      <c r="D78" s="173"/>
      <c r="E78" s="174"/>
      <c r="F78" s="13"/>
      <c r="G78" s="10"/>
      <c r="K78" s="515"/>
      <c r="M78" s="515"/>
      <c r="O78" s="515"/>
      <c r="Q78" s="160"/>
      <c r="R78" s="517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277"/>
      <c r="AN78" s="926"/>
      <c r="AO78" s="926"/>
      <c r="AP78" s="1098"/>
      <c r="AQ78" s="277"/>
      <c r="AR78" s="1099"/>
      <c r="AS78" s="1099"/>
      <c r="AT78" s="1099"/>
    </row>
    <row r="79" spans="1:46" s="9" customFormat="1" ht="12.75" customHeight="1" x14ac:dyDescent="0.2">
      <c r="B79" s="426"/>
      <c r="C79" s="427"/>
      <c r="D79" s="173"/>
      <c r="E79" s="174"/>
      <c r="F79" s="13"/>
      <c r="G79" s="10"/>
      <c r="K79" s="515"/>
      <c r="M79" s="515"/>
      <c r="O79" s="515"/>
      <c r="R79" s="515"/>
      <c r="S79" s="134"/>
      <c r="T79" s="134"/>
      <c r="U79" s="134"/>
      <c r="V79" s="135"/>
      <c r="W79" s="135"/>
      <c r="AD79" s="17"/>
      <c r="AE79" s="17"/>
      <c r="AM79" s="277"/>
      <c r="AN79" s="926"/>
      <c r="AO79" s="926"/>
      <c r="AP79" s="1098"/>
      <c r="AQ79" s="277"/>
      <c r="AR79" s="1099"/>
      <c r="AS79" s="1099"/>
      <c r="AT79" s="1099"/>
    </row>
    <row r="80" spans="1:46" s="9" customFormat="1" ht="12.75" customHeight="1" x14ac:dyDescent="0.2">
      <c r="B80" s="426"/>
      <c r="C80" s="427"/>
      <c r="D80" s="173"/>
      <c r="E80" s="174"/>
      <c r="F80" s="13"/>
      <c r="G80" s="10"/>
      <c r="K80" s="515"/>
      <c r="M80" s="515"/>
      <c r="O80" s="515"/>
      <c r="R80" s="515"/>
      <c r="S80" s="134"/>
      <c r="T80" s="134"/>
      <c r="U80" s="134"/>
      <c r="V80" s="135"/>
      <c r="W80" s="135"/>
      <c r="AD80" s="17"/>
      <c r="AE80" s="17"/>
      <c r="AM80" s="277"/>
      <c r="AN80" s="926"/>
      <c r="AO80" s="926"/>
      <c r="AP80" s="1098"/>
      <c r="AQ80" s="277"/>
      <c r="AR80" s="1099"/>
      <c r="AS80" s="1099"/>
      <c r="AT80" s="1099"/>
    </row>
    <row r="81" spans="2:46" s="9" customFormat="1" ht="12.75" customHeight="1" x14ac:dyDescent="0.2">
      <c r="B81" s="426"/>
      <c r="C81" s="427"/>
      <c r="D81" s="173"/>
      <c r="E81" s="174"/>
      <c r="F81" s="13"/>
      <c r="G81" s="10"/>
      <c r="K81" s="515"/>
      <c r="M81" s="515"/>
      <c r="O81" s="515"/>
      <c r="R81" s="515"/>
      <c r="S81" s="134"/>
      <c r="T81" s="134"/>
      <c r="U81" s="134"/>
      <c r="V81" s="135"/>
      <c r="W81" s="135"/>
      <c r="AD81" s="17"/>
      <c r="AE81" s="17"/>
      <c r="AM81" s="277"/>
      <c r="AN81" s="926"/>
      <c r="AO81" s="926"/>
      <c r="AP81" s="1098"/>
      <c r="AQ81" s="277"/>
      <c r="AR81" s="1099"/>
      <c r="AS81" s="1099"/>
      <c r="AT81" s="1099"/>
    </row>
    <row r="82" spans="2:46" s="9" customFormat="1" ht="12.75" customHeight="1" x14ac:dyDescent="0.2">
      <c r="B82" s="426"/>
      <c r="C82" s="427"/>
      <c r="D82" s="173"/>
      <c r="E82" s="174"/>
      <c r="F82" s="13"/>
      <c r="G82" s="10"/>
      <c r="K82" s="515"/>
      <c r="M82" s="515"/>
      <c r="O82" s="515"/>
      <c r="R82" s="515"/>
      <c r="S82" s="134"/>
      <c r="T82" s="134"/>
      <c r="U82" s="134"/>
      <c r="V82" s="135"/>
      <c r="W82" s="135"/>
      <c r="AD82" s="17"/>
      <c r="AE82" s="17"/>
      <c r="AM82" s="277"/>
      <c r="AN82" s="926"/>
      <c r="AO82" s="926"/>
      <c r="AP82" s="1098"/>
      <c r="AQ82" s="277"/>
      <c r="AR82" s="1099"/>
      <c r="AS82" s="1099"/>
      <c r="AT82" s="1099"/>
    </row>
  </sheetData>
  <mergeCells count="22">
    <mergeCell ref="AG6:AH6"/>
    <mergeCell ref="S5:AL5"/>
    <mergeCell ref="S2:AL2"/>
    <mergeCell ref="B2:R2"/>
    <mergeCell ref="B5:R5"/>
    <mergeCell ref="B6:G8"/>
    <mergeCell ref="P6:R6"/>
    <mergeCell ref="H6:O6"/>
    <mergeCell ref="U7:V7"/>
    <mergeCell ref="U6:V6"/>
    <mergeCell ref="W7:X7"/>
    <mergeCell ref="W6:X6"/>
    <mergeCell ref="Y7:Z7"/>
    <mergeCell ref="AA7:AB7"/>
    <mergeCell ref="Y6:Z6"/>
    <mergeCell ref="AA6:AB6"/>
    <mergeCell ref="AE6:AF6"/>
    <mergeCell ref="AC6:AD6"/>
    <mergeCell ref="AC7:AD7"/>
    <mergeCell ref="B66:R69"/>
    <mergeCell ref="S6:T6"/>
    <mergeCell ref="S7:T7"/>
  </mergeCells>
  <conditionalFormatting sqref="H46:I46 S47:AL47 H47:J52">
    <cfRule type="cellIs" dxfId="43" priority="97" operator="equal">
      <formula>"·¡$S$$P$16"</formula>
    </cfRule>
  </conditionalFormatting>
  <conditionalFormatting sqref="H21:J21 L21 I25:I26 I33 H34:I34 H36 H55:I55">
    <cfRule type="cellIs" dxfId="42" priority="542" operator="equal">
      <formula>"·¡$S$$P$16"</formula>
    </cfRule>
  </conditionalFormatting>
  <conditionalFormatting sqref="I35:I36">
    <cfRule type="cellIs" dxfId="41" priority="52" operator="equal">
      <formula>"·¡$S$$P$16"</formula>
    </cfRule>
  </conditionalFormatting>
  <conditionalFormatting sqref="I62">
    <cfRule type="cellIs" dxfId="40" priority="524" operator="equal">
      <formula>"·¡$S$$P$16"</formula>
    </cfRule>
  </conditionalFormatting>
  <conditionalFormatting sqref="J14:J20 J22:J45">
    <cfRule type="cellIs" dxfId="39" priority="157" operator="equal">
      <formula>"·¡$S$$P$16"</formula>
    </cfRule>
  </conditionalFormatting>
  <conditionalFormatting sqref="J61">
    <cfRule type="cellIs" dxfId="38" priority="18" operator="equal">
      <formula>"·¡$S$$P$16"</formula>
    </cfRule>
  </conditionalFormatting>
  <conditionalFormatting sqref="J63">
    <cfRule type="cellIs" dxfId="37" priority="17" operator="equal">
      <formula>"·¡$S$$P$16"</formula>
    </cfRule>
  </conditionalFormatting>
  <conditionalFormatting sqref="J70">
    <cfRule type="cellIs" dxfId="36" priority="119" operator="equal">
      <formula>"·¡$S$$P$16"</formula>
    </cfRule>
  </conditionalFormatting>
  <conditionalFormatting sqref="L25:L27">
    <cfRule type="cellIs" dxfId="35" priority="112" operator="equal">
      <formula>"·¡$S$$P$16"</formula>
    </cfRule>
  </conditionalFormatting>
  <conditionalFormatting sqref="L33:L52">
    <cfRule type="cellIs" dxfId="34" priority="11" operator="equal">
      <formula>"·¡$S$$P$16"</formula>
    </cfRule>
  </conditionalFormatting>
  <conditionalFormatting sqref="L56:L60">
    <cfRule type="cellIs" dxfId="33" priority="33" operator="equal">
      <formula>"·¡$S$$P$16"</formula>
    </cfRule>
  </conditionalFormatting>
  <conditionalFormatting sqref="L62">
    <cfRule type="cellIs" dxfId="32" priority="1" operator="equal">
      <formula>"·¡$S$$P$16"</formula>
    </cfRule>
  </conditionalFormatting>
  <conditionalFormatting sqref="N22:N26">
    <cfRule type="cellIs" dxfId="31" priority="56" operator="equal">
      <formula>"·¡$S$$P$16"</formula>
    </cfRule>
  </conditionalFormatting>
  <conditionalFormatting sqref="N33:N36">
    <cfRule type="cellIs" dxfId="30" priority="46" operator="equal">
      <formula>"·¡$S$$P$16"</formula>
    </cfRule>
  </conditionalFormatting>
  <conditionalFormatting sqref="N46:N52">
    <cfRule type="cellIs" dxfId="29" priority="89" operator="equal">
      <formula>"·¡$S$$P$16"</formula>
    </cfRule>
  </conditionalFormatting>
  <conditionalFormatting sqref="N56:N60">
    <cfRule type="cellIs" dxfId="28" priority="40" operator="equal">
      <formula>"·¡$S$$P$16"</formula>
    </cfRule>
  </conditionalFormatting>
  <conditionalFormatting sqref="P47 P48:Q52">
    <cfRule type="cellIs" dxfId="27" priority="4" operator="equal">
      <formula>"·¡$S$$P$16"</formula>
    </cfRule>
  </conditionalFormatting>
  <conditionalFormatting sqref="P55 Q55:Q60">
    <cfRule type="cellIs" dxfId="26" priority="168" operator="equal">
      <formula>"·¡$S$$P$16"</formula>
    </cfRule>
  </conditionalFormatting>
  <conditionalFormatting sqref="P22:Q26">
    <cfRule type="cellIs" dxfId="25" priority="117" operator="equal">
      <formula>"·¡$S$$P$16"</formula>
    </cfRule>
  </conditionalFormatting>
  <conditionalFormatting sqref="P28:Q32">
    <cfRule type="cellIs" dxfId="24" priority="8" operator="equal">
      <formula>"·¡$S$$P$16"</formula>
    </cfRule>
  </conditionalFormatting>
  <conditionalFormatting sqref="P34:Q34">
    <cfRule type="cellIs" dxfId="23" priority="62" operator="equal">
      <formula>"·¡$S$$P$16"</formula>
    </cfRule>
  </conditionalFormatting>
  <conditionalFormatting sqref="P36:Q36">
    <cfRule type="cellIs" dxfId="22" priority="23" operator="equal">
      <formula>"·¡$S$$P$16"</formula>
    </cfRule>
  </conditionalFormatting>
  <conditionalFormatting sqref="Q62">
    <cfRule type="cellIs" dxfId="21" priority="240" operator="equal">
      <formula>"·¡$S$$P$16"</formula>
    </cfRule>
  </conditionalFormatting>
  <conditionalFormatting sqref="S22:S26">
    <cfRule type="cellIs" dxfId="20" priority="2" operator="equal">
      <formula>"·¡$S$$P$16"</formula>
    </cfRule>
  </conditionalFormatting>
  <conditionalFormatting sqref="S21:AB21 AI21:AL21 AK23:AK26 H25 Y27:AL27 AE28:AE36 AE38:AE41">
    <cfRule type="cellIs" dxfId="19" priority="16" operator="equal">
      <formula>"·¡$S$$P$16"</formula>
    </cfRule>
  </conditionalFormatting>
  <printOptions horizontalCentered="1"/>
  <pageMargins left="1" right="1" top="1" bottom="1" header="0.5" footer="0.5"/>
  <pageSetup paperSize="5" scale="38" fitToHeight="0" orientation="landscape" r:id="rId1"/>
  <ignoredErrors>
    <ignoredError sqref="J29 J23:J25 J12 J26:J27 H10:J10 I11:J11 H20:J20 H28:I32 H34 H15:H19 J16:J19 H64:R64 I12:I13 I45:J45 N59 N57 Q49 N60 N45 AA50 AA51:AB51 AA47:AB47 AA48:AB48 AA49 AA52 AA58:AA60 AA56 AA62 P46 AB45 X45 X50 X51 X47 X48 W52 P47 Q52 P61 P53:P55 Q62 N52 N49 N50:N51 P48:Q48 P45:Q45 N47:N48 Q46:Q47 Q56:Q60 AA53 AB50 P50:Q51 N10 P18 P19:Q19 Q38:Q43 Q28:Q32 Q26 Q22:Q24 N11 N12:N13 P44:Q44 N44 Q34 P35 P36:Q37 P33 P27:Q27 P25:Q25 L12:L14 P12:Q17 P20:Q20 N20 L20:L21 AJ12 AJ34:AJ36 AJ62:AJ63 AJ38:AJ43 AL34 AJ20 K9:S9 K22:P24 K20 AL20:AM20 K37 K34 AM34 K45:M45 K38:P40 K63 AM62:AM63 K35 K18:O18 K12 AL12:AM12 K21 M21:R21 M20 O20 R20 K15:O17 R16 R12 M12 K13:K14 M14:O14 K26:P26 K25:O25 R25 K28:K32 K27 R27 K33 R33 R37:T37 K36 R36 R35 R34 K44 O44 R44:T44 O12 M13 O13 K11:M11 O11:R11 R22 R26 R32 R38:T43 K19:O19 R19 Q18:R18 K10:M10 O10:R10 K52 K50:K51 R51:T51 R50:T50 K54:K55 K53 K61 K56:P56 R57:T57 K49 K46 R46:T46 K48 O48 K47 O47 R45:T45 R48:T48 O50:O51 O49:P49 O52:P52 K62:M62 R62:T62 R54:T55 R53:T53 R61:T61 R52:T52 Y52:Z52 Y48:Z48 R47:T47 Y47:Z47 Y51:Z51 Y50:Z50 Y45:Z45 R56:T56 R58:T60 O45 K60:M60 O60:P60 R49:T49 K58:P58 K57:M57 O57:P57 K59:M59 O59:P59 AF20 AL25:AM25 AL27:AM27 AL33:AM33 AL26:AM26 AL28:AM32 AL21:AM21 AL22:AM24 AJ25 AJ27 AJ26 R28:R31 AJ28:AJ31 AJ21 AJ22:AJ24 AH32 AI9 AL11:AM11 AL10:AM10 AL9:AM9 Y21:AB21 AA20 Y25:AA25 Y22:AA24 Y26:AA26 R13:R15 X13:X15 AA12:AB12 X44:Z44 R23:R24 X16:X17 X19 X18 Y27:AA27 Y33:Z33 Y37:Z37 Y36:AA36 Y35:Z35 Y34:Z34 Y32:AA32 Y41:AA43 Y30:AA30 Y63:AA63 AB14:AB15 AA16:AB16 AA19:AB19 AB18 R17 AF13 AF25 Y28:AA28 Y29:Z29 Y38:Z40 Y31:Z31 AB17 AF14:AF15 AF16 AF19 AF18 AF17 AF44 AF50 AF45 AF48 AF47 AF51 AJ33 AJ32 AH13:AM13 AH14:AM15 AH16:AM16 AH19:AM19 AH18:AM18 AH17:AM17 AH44:AM44 AH50:AK50 AM46 AH45:AM45 AH52:AK52 AH49:AK49 AH48:AM48 AH47:AM47 AH51:AM51 AM53 AM57 AM54:AM55 AM61 AM56 AM58:AM60 AM38:AM43 AM35:AM36 AM37 AM52 AM50 AM49 M37 M34 M35 M28:M32 M27 M33 M36 R63:T63 T21:U21 U22 U16 K42:P43 K41 M41:P41 M44 M63 O37 O34:P34 O35 O28:P32 O27 O33 O36 Y57:Z57 Y62:Z62 Y54:Z55 Y53:Z53 Y61:Z61 Y56:Z56 Y58:Z60 Y46:Z46 Y49:Z49 M52 M50:M51 M54:O55 M53:O53 M49 M46 M48 M47 M61 O46 O62:P62 O63:P63 O61" formula="1"/>
    <ignoredError sqref="H62 H44:I44 H38:H43 H46:H52 H56:H60 H22" unlockedFormula="1"/>
    <ignoredError sqref="H37 J37:J44 H27:I27 I25 H33:I33 J28 J30:J34 H35:J36 H23:H26 H45 H63:J63 I46:I47 H53:I55 H61:J61 J46:J60 J62 AG28:AG63 AG9:AG26 AI32 AH33:AI33 AF9:AF12 AE9:AE63 AC28:AC43 AC63 AA44:AD44 AC9:AD27 AD28:AD33 AH10:AI12 AA13:AA15 AA9:AB11 AA17:AA18 AA34:AA35 AA31 AA37:AA40 AA29 AB37 AB22:AB28 AB13 V16 U17:V19 Y9:Z20 X20:X26 X9:X12 W63 W9:W44 U23:U43 U63 U44:V44 U9:V15 U20 V20:V26 T9:T11 S10:S11 AK9:AK12 AH9 AF26:AF33 AH20:AI26 AK20:AK33 AB20 AF21:AF24 AF49 AF52:AF63 AF46 AF34:AF43 Q61 Q53:Q55 N61:N63 N46 L61 L46:L55 U45:V62 X46 X52:X63 X49 AA54:AA55 AA46:AD46 AB52:AB63 AB49:AD49 AC50:AD62 W45:W51 W53:W62 AA57 AA45 AA61 AC45:AD45 AC47:AD48 N27:N37 L63 AD63 AD34:AD43 AB38:AB43 AA33 AB29:AB36 AH34:AI43 X27:X43 L44 L41 T22:T36 V27:V43 V63 S12:T20 S21:S36 Q63 Q33 Q35 L27:L37 AL49:AL50 AL52 AH46:AL46 AK34:AK43 AL35:AL43 AH53:AI63 AK53:AL63 AJ53:AJ61 AJ37 AJ9:AJ11 AH28:AI31 AI27" formula="1" unlockedFormula="1"/>
    <ignoredError sqref="E62" numberStoredAsText="1"/>
    <ignoredError sqref="AG27" formula="1" formulaRange="1"/>
    <ignoredError sqref="AH27" formula="1" formulaRange="1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E3DB6-42EE-4332-8A27-379DA00EBEE9}">
  <sheetPr>
    <tabColor rgb="FFFF99CC"/>
  </sheetPr>
  <dimension ref="A1:EG279"/>
  <sheetViews>
    <sheetView topLeftCell="DP1" zoomScale="90" zoomScaleNormal="90" workbookViewId="0">
      <selection activeCell="EE13" sqref="EE13"/>
    </sheetView>
  </sheetViews>
  <sheetFormatPr baseColWidth="10" defaultColWidth="11.5703125" defaultRowHeight="12" x14ac:dyDescent="0.2"/>
  <cols>
    <col min="1" max="1" width="0" style="664" hidden="1" customWidth="1"/>
    <col min="2" max="2" width="33.5703125" style="655" hidden="1" customWidth="1"/>
    <col min="3" max="3" width="0" style="664" hidden="1" customWidth="1"/>
    <col min="4" max="4" width="34.7109375" style="655" hidden="1" customWidth="1"/>
    <col min="5" max="7" width="13.5703125" style="655" hidden="1" customWidth="1"/>
    <col min="8" max="10" width="0" style="664" hidden="1" customWidth="1"/>
    <col min="11" max="19" width="0" style="655" hidden="1" customWidth="1"/>
    <col min="20" max="20" width="7.28515625" style="655" hidden="1" customWidth="1"/>
    <col min="21" max="21" width="22.42578125" style="655" hidden="1" customWidth="1"/>
    <col min="22" max="22" width="0" style="664" hidden="1" customWidth="1"/>
    <col min="23" max="37" width="0" style="655" hidden="1" customWidth="1"/>
    <col min="38" max="38" width="7.7109375" style="655" hidden="1" customWidth="1"/>
    <col min="39" max="39" width="16.42578125" style="655" hidden="1" customWidth="1"/>
    <col min="40" max="40" width="0" style="655" hidden="1" customWidth="1"/>
    <col min="41" max="41" width="15.140625" style="655" hidden="1" customWidth="1"/>
    <col min="42" max="56" width="0" style="655" hidden="1" customWidth="1"/>
    <col min="57" max="57" width="22.7109375" style="692" hidden="1" customWidth="1"/>
    <col min="58" max="59" width="0" style="655" hidden="1" customWidth="1"/>
    <col min="60" max="62" width="11.5703125" style="655" hidden="1" customWidth="1"/>
    <col min="63" max="63" width="0" style="922" hidden="1" customWidth="1"/>
    <col min="64" max="67" width="0" style="655" hidden="1" customWidth="1"/>
    <col min="68" max="68" width="35.5703125" style="655" hidden="1" customWidth="1"/>
    <col min="69" max="69" width="0" style="655" hidden="1" customWidth="1"/>
    <col min="70" max="70" width="25.85546875" style="655" hidden="1" customWidth="1"/>
    <col min="71" max="74" width="0" style="655" hidden="1" customWidth="1"/>
    <col min="75" max="75" width="39.140625" style="655" hidden="1" customWidth="1"/>
    <col min="76" max="76" width="0" style="655" hidden="1" customWidth="1"/>
    <col min="77" max="77" width="37.7109375" style="655" hidden="1" customWidth="1"/>
    <col min="78" max="83" width="15.28515625" style="655" hidden="1" customWidth="1"/>
    <col min="84" max="84" width="0" style="655" hidden="1" customWidth="1"/>
    <col min="85" max="85" width="9.7109375" style="655" hidden="1" customWidth="1"/>
    <col min="86" max="86" width="39.140625" style="655" hidden="1" customWidth="1"/>
    <col min="87" max="87" width="8.28515625" style="655" hidden="1" customWidth="1"/>
    <col min="88" max="88" width="35.5703125" style="655" hidden="1" customWidth="1"/>
    <col min="89" max="89" width="9.7109375" style="655" hidden="1" customWidth="1"/>
    <col min="90" max="90" width="9.28515625" style="655" hidden="1" customWidth="1"/>
    <col min="91" max="92" width="0" style="655" hidden="1" customWidth="1"/>
    <col min="93" max="93" width="12.7109375" style="655" hidden="1" customWidth="1"/>
    <col min="94" max="95" width="0" style="655" hidden="1" customWidth="1"/>
    <col min="96" max="98" width="0" style="721" hidden="1" customWidth="1"/>
    <col min="99" max="99" width="12.85546875" style="655" hidden="1" customWidth="1"/>
    <col min="100" max="101" width="0" style="655" hidden="1" customWidth="1"/>
    <col min="102" max="102" width="11.5703125" style="655"/>
    <col min="103" max="103" width="9.7109375" style="655" hidden="1" customWidth="1"/>
    <col min="104" max="104" width="43.140625" style="655" hidden="1" customWidth="1"/>
    <col min="105" max="105" width="9.28515625" style="655" hidden="1" customWidth="1"/>
    <col min="106" max="106" width="40.28515625" style="655" hidden="1" customWidth="1"/>
    <col min="107" max="107" width="10.140625" style="655" hidden="1" customWidth="1"/>
    <col min="108" max="108" width="7.85546875" style="655" hidden="1" customWidth="1"/>
    <col min="109" max="113" width="0" style="655" hidden="1" customWidth="1"/>
    <col min="114" max="116" width="0" style="721" hidden="1" customWidth="1"/>
    <col min="117" max="119" width="0" style="655" hidden="1" customWidth="1"/>
    <col min="120" max="128" width="11.5703125" style="655"/>
    <col min="129" max="129" width="19.140625" style="655" customWidth="1"/>
    <col min="130" max="130" width="10.140625" style="655" customWidth="1"/>
    <col min="131" max="131" width="21.42578125" style="655" customWidth="1"/>
    <col min="132" max="134" width="0" style="655" hidden="1" customWidth="1"/>
    <col min="135" max="16384" width="11.5703125" style="655"/>
  </cols>
  <sheetData>
    <row r="1" spans="1:137" x14ac:dyDescent="0.2">
      <c r="A1" s="1250" t="s">
        <v>1019</v>
      </c>
      <c r="B1" s="1251"/>
      <c r="C1" s="1251"/>
      <c r="D1" s="1251"/>
      <c r="E1" s="1251"/>
      <c r="F1" s="1251"/>
      <c r="G1" s="1251"/>
      <c r="H1" s="908"/>
      <c r="I1" s="908">
        <v>1000</v>
      </c>
      <c r="J1" s="908">
        <v>1</v>
      </c>
      <c r="M1" s="1252" t="s">
        <v>135</v>
      </c>
      <c r="N1" s="1252"/>
      <c r="O1" s="1252"/>
      <c r="P1" s="1252"/>
      <c r="Q1" s="909">
        <v>1000</v>
      </c>
      <c r="R1" s="909">
        <v>1</v>
      </c>
      <c r="T1" s="1252" t="s">
        <v>1048</v>
      </c>
      <c r="U1" s="1252"/>
      <c r="V1" s="1252"/>
      <c r="W1" s="1252"/>
      <c r="X1" s="1252"/>
      <c r="Y1" s="1252"/>
      <c r="Z1" s="1252"/>
      <c r="AA1" s="910"/>
      <c r="AB1" s="909">
        <v>1000</v>
      </c>
      <c r="AC1" s="909">
        <v>1</v>
      </c>
      <c r="AE1" s="1253" t="s">
        <v>1061</v>
      </c>
      <c r="AF1" s="1253"/>
      <c r="AG1" s="1253"/>
      <c r="AH1" s="1253"/>
      <c r="AI1" s="911">
        <v>1000</v>
      </c>
      <c r="AJ1" s="911">
        <v>1</v>
      </c>
      <c r="AL1" s="1254" t="s">
        <v>1062</v>
      </c>
      <c r="AM1" s="1254"/>
      <c r="AN1" s="1254"/>
      <c r="AO1" s="1254"/>
      <c r="AP1" s="1254"/>
      <c r="AQ1" s="1254"/>
      <c r="AR1" s="1254"/>
      <c r="AS1" s="1254"/>
      <c r="AT1" s="911">
        <v>1000</v>
      </c>
      <c r="AU1" s="911">
        <v>1</v>
      </c>
      <c r="AW1" s="1255" t="s">
        <v>7</v>
      </c>
      <c r="AX1" s="1255"/>
      <c r="AY1" s="1255"/>
      <c r="AZ1" s="1255"/>
      <c r="BA1" s="913">
        <v>1000</v>
      </c>
      <c r="BB1" s="913">
        <v>1</v>
      </c>
      <c r="BD1" s="1255" t="s">
        <v>7</v>
      </c>
      <c r="BE1" s="1255"/>
      <c r="BF1" s="1255"/>
      <c r="BG1" s="1255"/>
      <c r="BH1" s="1255"/>
      <c r="BI1" s="1255"/>
      <c r="BJ1" s="1255"/>
      <c r="BK1" s="913">
        <v>1000</v>
      </c>
      <c r="BL1" s="913">
        <v>1</v>
      </c>
      <c r="BM1" s="913"/>
      <c r="BO1" s="1256" t="s">
        <v>1075</v>
      </c>
      <c r="BP1" s="1257"/>
      <c r="BQ1" s="1257"/>
      <c r="BR1" s="1257"/>
      <c r="BS1" s="653">
        <v>1000</v>
      </c>
      <c r="BT1" s="654">
        <v>1</v>
      </c>
      <c r="BV1" s="1258" t="s">
        <v>1076</v>
      </c>
      <c r="BW1" s="1259"/>
      <c r="BX1" s="1259"/>
      <c r="BY1" s="1259"/>
      <c r="BZ1" s="1259"/>
      <c r="CA1" s="1259"/>
      <c r="CB1" s="1259"/>
      <c r="CC1" s="684">
        <v>1000</v>
      </c>
      <c r="CD1" s="684">
        <v>1</v>
      </c>
      <c r="CE1" s="685"/>
      <c r="CG1" s="1255" t="s">
        <v>1108</v>
      </c>
      <c r="CH1" s="1255"/>
      <c r="CI1" s="1255"/>
      <c r="CJ1" s="1255"/>
      <c r="CK1" s="913">
        <v>1000</v>
      </c>
      <c r="CL1" s="913">
        <v>1</v>
      </c>
      <c r="CN1" s="1255" t="s">
        <v>1104</v>
      </c>
      <c r="CO1" s="1255"/>
      <c r="CP1" s="1255"/>
      <c r="CQ1" s="1255"/>
      <c r="CR1" s="1255"/>
      <c r="CS1" s="1255"/>
      <c r="CT1" s="1255"/>
      <c r="CU1" s="913">
        <v>1000</v>
      </c>
      <c r="CV1" s="913">
        <v>1</v>
      </c>
      <c r="CW1" s="913"/>
      <c r="CY1" s="1249" t="s">
        <v>79</v>
      </c>
      <c r="CZ1" s="1249"/>
      <c r="DA1" s="1249"/>
      <c r="DB1" s="1249"/>
      <c r="DC1" s="1032">
        <v>1000</v>
      </c>
      <c r="DD1" s="1032">
        <v>1</v>
      </c>
      <c r="DF1" s="1249" t="s">
        <v>738</v>
      </c>
      <c r="DG1" s="1249"/>
      <c r="DH1" s="1249"/>
      <c r="DI1" s="1249"/>
      <c r="DJ1" s="1249"/>
      <c r="DK1" s="1249"/>
      <c r="DL1" s="1249"/>
      <c r="DM1" s="1033">
        <v>1000</v>
      </c>
      <c r="DN1" s="1033">
        <v>1</v>
      </c>
      <c r="DO1" s="1033"/>
      <c r="DQ1" s="1248" t="s">
        <v>10</v>
      </c>
      <c r="DR1" s="1248"/>
      <c r="DS1" s="1248"/>
      <c r="DT1" s="1248"/>
      <c r="DU1" s="1034">
        <v>1000</v>
      </c>
      <c r="DV1" s="1034">
        <v>1</v>
      </c>
      <c r="DX1" s="1248" t="s">
        <v>740</v>
      </c>
      <c r="DY1" s="1248"/>
      <c r="DZ1" s="1248"/>
      <c r="EA1" s="1248"/>
      <c r="EB1" s="1248"/>
      <c r="EC1" s="1248"/>
      <c r="ED1" s="1248"/>
      <c r="EE1" s="1248"/>
      <c r="EF1" s="1034">
        <v>1000</v>
      </c>
      <c r="EG1" s="1034">
        <v>1</v>
      </c>
    </row>
    <row r="2" spans="1:137" ht="36" x14ac:dyDescent="0.2">
      <c r="A2" s="914" t="s">
        <v>407</v>
      </c>
      <c r="B2" s="914" t="s">
        <v>432</v>
      </c>
      <c r="C2" s="914" t="s">
        <v>408</v>
      </c>
      <c r="D2" s="914" t="s">
        <v>502</v>
      </c>
      <c r="E2" s="914" t="s">
        <v>444</v>
      </c>
      <c r="F2" s="914" t="s">
        <v>410</v>
      </c>
      <c r="G2" s="914" t="s">
        <v>463</v>
      </c>
      <c r="H2" s="914" t="s">
        <v>914</v>
      </c>
      <c r="I2" s="914" t="s">
        <v>919</v>
      </c>
      <c r="J2" s="914" t="s">
        <v>920</v>
      </c>
      <c r="K2" s="721"/>
      <c r="M2" s="915" t="s">
        <v>407</v>
      </c>
      <c r="N2" s="915" t="s">
        <v>432</v>
      </c>
      <c r="O2" s="915" t="s">
        <v>408</v>
      </c>
      <c r="P2" s="915" t="s">
        <v>502</v>
      </c>
      <c r="Q2" s="915" t="s">
        <v>410</v>
      </c>
      <c r="R2" s="915" t="s">
        <v>919</v>
      </c>
      <c r="T2" s="915" t="s">
        <v>407</v>
      </c>
      <c r="U2" s="915" t="s">
        <v>432</v>
      </c>
      <c r="V2" s="915" t="s">
        <v>408</v>
      </c>
      <c r="W2" s="915" t="s">
        <v>502</v>
      </c>
      <c r="X2" s="915" t="s">
        <v>444</v>
      </c>
      <c r="Y2" s="915" t="s">
        <v>410</v>
      </c>
      <c r="Z2" s="915" t="s">
        <v>463</v>
      </c>
      <c r="AA2" s="916" t="s">
        <v>914</v>
      </c>
      <c r="AB2" s="916" t="s">
        <v>919</v>
      </c>
      <c r="AC2" s="916" t="s">
        <v>920</v>
      </c>
      <c r="AE2" s="917" t="s">
        <v>407</v>
      </c>
      <c r="AF2" s="917" t="s">
        <v>432</v>
      </c>
      <c r="AG2" s="917" t="s">
        <v>408</v>
      </c>
      <c r="AH2" s="917" t="s">
        <v>502</v>
      </c>
      <c r="AI2" s="917" t="s">
        <v>410</v>
      </c>
      <c r="AJ2" s="918" t="s">
        <v>919</v>
      </c>
      <c r="AL2" s="912" t="s">
        <v>407</v>
      </c>
      <c r="AM2" s="912" t="s">
        <v>432</v>
      </c>
      <c r="AN2" s="912" t="s">
        <v>408</v>
      </c>
      <c r="AO2" s="912" t="s">
        <v>502</v>
      </c>
      <c r="AP2" s="912" t="s">
        <v>444</v>
      </c>
      <c r="AQ2" s="912" t="s">
        <v>410</v>
      </c>
      <c r="AR2" s="912" t="s">
        <v>463</v>
      </c>
      <c r="AS2" s="912" t="s">
        <v>914</v>
      </c>
      <c r="AT2" s="912" t="s">
        <v>919</v>
      </c>
      <c r="AU2" s="912" t="s">
        <v>920</v>
      </c>
      <c r="AW2" s="919" t="s">
        <v>407</v>
      </c>
      <c r="AX2" s="919" t="s">
        <v>432</v>
      </c>
      <c r="AY2" s="919" t="s">
        <v>408</v>
      </c>
      <c r="AZ2" s="919" t="s">
        <v>502</v>
      </c>
      <c r="BA2" s="919" t="s">
        <v>410</v>
      </c>
      <c r="BB2" s="919" t="s">
        <v>1071</v>
      </c>
      <c r="BD2" s="907" t="s">
        <v>407</v>
      </c>
      <c r="BE2" s="907" t="s">
        <v>432</v>
      </c>
      <c r="BF2" s="907" t="s">
        <v>408</v>
      </c>
      <c r="BG2" s="907" t="s">
        <v>502</v>
      </c>
      <c r="BH2" s="907" t="s">
        <v>444</v>
      </c>
      <c r="BI2" s="907" t="s">
        <v>410</v>
      </c>
      <c r="BJ2" s="907" t="s">
        <v>463</v>
      </c>
      <c r="BK2" s="907" t="s">
        <v>914</v>
      </c>
      <c r="BL2" s="907" t="s">
        <v>919</v>
      </c>
      <c r="BM2" s="907" t="s">
        <v>920</v>
      </c>
      <c r="BO2" s="656" t="s">
        <v>407</v>
      </c>
      <c r="BP2" s="657" t="s">
        <v>432</v>
      </c>
      <c r="BQ2" s="657" t="s">
        <v>408</v>
      </c>
      <c r="BR2" s="657" t="s">
        <v>502</v>
      </c>
      <c r="BS2" s="657" t="s">
        <v>410</v>
      </c>
      <c r="BT2" s="658" t="s">
        <v>1071</v>
      </c>
      <c r="BV2" s="659" t="s">
        <v>407</v>
      </c>
      <c r="BW2" s="660" t="s">
        <v>432</v>
      </c>
      <c r="BX2" s="660" t="s">
        <v>408</v>
      </c>
      <c r="BY2" s="660" t="s">
        <v>502</v>
      </c>
      <c r="BZ2" s="660" t="s">
        <v>444</v>
      </c>
      <c r="CA2" s="660" t="s">
        <v>463</v>
      </c>
      <c r="CB2" s="660" t="s">
        <v>410</v>
      </c>
      <c r="CC2" s="660" t="s">
        <v>914</v>
      </c>
      <c r="CD2" s="660" t="s">
        <v>920</v>
      </c>
      <c r="CE2" s="661" t="s">
        <v>919</v>
      </c>
      <c r="CG2" s="907" t="s">
        <v>407</v>
      </c>
      <c r="CH2" s="907" t="s">
        <v>432</v>
      </c>
      <c r="CI2" s="907" t="s">
        <v>408</v>
      </c>
      <c r="CJ2" s="907" t="s">
        <v>502</v>
      </c>
      <c r="CK2" s="907" t="s">
        <v>410</v>
      </c>
      <c r="CL2" s="907" t="s">
        <v>919</v>
      </c>
      <c r="CN2" s="907" t="s">
        <v>407</v>
      </c>
      <c r="CO2" s="907" t="s">
        <v>432</v>
      </c>
      <c r="CP2" s="907" t="s">
        <v>408</v>
      </c>
      <c r="CQ2" s="907" t="s">
        <v>502</v>
      </c>
      <c r="CR2" s="923" t="s">
        <v>444</v>
      </c>
      <c r="CS2" s="923" t="s">
        <v>463</v>
      </c>
      <c r="CT2" s="923" t="s">
        <v>410</v>
      </c>
      <c r="CU2" s="907" t="s">
        <v>914</v>
      </c>
      <c r="CV2" s="907" t="s">
        <v>920</v>
      </c>
      <c r="CW2" s="907" t="s">
        <v>919</v>
      </c>
      <c r="CY2" s="1034" t="s">
        <v>407</v>
      </c>
      <c r="CZ2" s="1034" t="s">
        <v>432</v>
      </c>
      <c r="DA2" s="1034" t="s">
        <v>408</v>
      </c>
      <c r="DB2" s="1034" t="s">
        <v>502</v>
      </c>
      <c r="DC2" s="1034" t="s">
        <v>410</v>
      </c>
      <c r="DD2" s="1034" t="s">
        <v>919</v>
      </c>
      <c r="DF2" s="1034" t="s">
        <v>407</v>
      </c>
      <c r="DG2" s="1034" t="s">
        <v>432</v>
      </c>
      <c r="DH2" s="1034" t="s">
        <v>408</v>
      </c>
      <c r="DI2" s="1034" t="s">
        <v>502</v>
      </c>
      <c r="DJ2" s="1035" t="s">
        <v>444</v>
      </c>
      <c r="DK2" s="1035" t="s">
        <v>410</v>
      </c>
      <c r="DL2" s="1035" t="s">
        <v>463</v>
      </c>
      <c r="DM2" s="1033" t="s">
        <v>914</v>
      </c>
      <c r="DN2" s="1033" t="s">
        <v>929</v>
      </c>
      <c r="DO2" s="1033" t="s">
        <v>928</v>
      </c>
      <c r="DQ2" s="1034" t="s">
        <v>407</v>
      </c>
      <c r="DR2" s="1034" t="s">
        <v>432</v>
      </c>
      <c r="DS2" s="1034" t="s">
        <v>408</v>
      </c>
      <c r="DT2" s="1034" t="s">
        <v>502</v>
      </c>
      <c r="DU2" s="1034" t="s">
        <v>410</v>
      </c>
      <c r="DV2" s="1034" t="s">
        <v>919</v>
      </c>
      <c r="DX2" s="1034" t="s">
        <v>407</v>
      </c>
      <c r="DY2" s="1034" t="s">
        <v>432</v>
      </c>
      <c r="DZ2" s="1034" t="s">
        <v>408</v>
      </c>
      <c r="EA2" s="1034" t="s">
        <v>502</v>
      </c>
      <c r="EB2" s="1034" t="s">
        <v>444</v>
      </c>
      <c r="EC2" s="1034" t="s">
        <v>463</v>
      </c>
      <c r="ED2" s="1034" t="s">
        <v>1152</v>
      </c>
      <c r="EE2" s="1034" t="s">
        <v>914</v>
      </c>
      <c r="EF2" s="1034" t="s">
        <v>920</v>
      </c>
      <c r="EG2" s="1034" t="s">
        <v>919</v>
      </c>
    </row>
    <row r="3" spans="1:137" x14ac:dyDescent="0.2">
      <c r="A3" s="920" t="s">
        <v>1015</v>
      </c>
      <c r="B3" s="721" t="s">
        <v>297</v>
      </c>
      <c r="C3" s="920" t="s">
        <v>415</v>
      </c>
      <c r="D3" s="721" t="s">
        <v>317</v>
      </c>
      <c r="E3" s="721">
        <v>2375000000</v>
      </c>
      <c r="F3" s="721">
        <v>0</v>
      </c>
      <c r="G3" s="721">
        <v>0</v>
      </c>
      <c r="H3" s="920">
        <f>+E3/$I$1*$J$1</f>
        <v>2375000</v>
      </c>
      <c r="I3" s="920">
        <f t="shared" ref="I3:J3" si="0">+F3/$I$1*$J$1</f>
        <v>0</v>
      </c>
      <c r="J3" s="920">
        <f t="shared" si="0"/>
        <v>0</v>
      </c>
      <c r="M3" s="655" t="s">
        <v>1015</v>
      </c>
      <c r="N3" s="655" t="s">
        <v>297</v>
      </c>
      <c r="O3" s="655" t="s">
        <v>417</v>
      </c>
      <c r="P3" s="655" t="s">
        <v>318</v>
      </c>
      <c r="Q3" s="920">
        <v>2223780</v>
      </c>
      <c r="R3" s="721">
        <f>+Q3/$Q$1*$R$1</f>
        <v>2223.7800000000002</v>
      </c>
      <c r="T3" s="655" t="s">
        <v>1015</v>
      </c>
      <c r="U3" s="655" t="s">
        <v>297</v>
      </c>
      <c r="V3" s="664" t="s">
        <v>415</v>
      </c>
      <c r="W3" s="655" t="s">
        <v>317</v>
      </c>
      <c r="X3" s="920">
        <v>2375000000</v>
      </c>
      <c r="Y3" s="920">
        <v>0</v>
      </c>
      <c r="Z3" s="920">
        <v>0</v>
      </c>
      <c r="AA3" s="920">
        <f>+X3/$AB$1*$AC$1</f>
        <v>2375000</v>
      </c>
      <c r="AB3" s="920">
        <f>+Y3/$AB$1*$AC$1</f>
        <v>0</v>
      </c>
      <c r="AC3" s="920">
        <f>+Z3/$AB$1*$AC$1</f>
        <v>0</v>
      </c>
      <c r="AE3" s="688" t="s">
        <v>1015</v>
      </c>
      <c r="AF3" s="689" t="s">
        <v>297</v>
      </c>
      <c r="AG3" s="688" t="s">
        <v>417</v>
      </c>
      <c r="AH3" s="689" t="s">
        <v>318</v>
      </c>
      <c r="AI3" s="690">
        <v>2223780</v>
      </c>
      <c r="AJ3" s="721">
        <f>+AI3/$AI$1*$AJ$1</f>
        <v>2223.7800000000002</v>
      </c>
      <c r="AL3" s="655" t="s">
        <v>1015</v>
      </c>
      <c r="AM3" s="655" t="s">
        <v>297</v>
      </c>
      <c r="AN3" s="655" t="s">
        <v>415</v>
      </c>
      <c r="AO3" s="655" t="s">
        <v>317</v>
      </c>
      <c r="AP3" s="721">
        <v>2375000000</v>
      </c>
      <c r="AQ3" s="721">
        <v>0</v>
      </c>
      <c r="AR3" s="721">
        <v>0</v>
      </c>
      <c r="AS3" s="721">
        <f>+AP3/$AT$1*$AU$1</f>
        <v>2375000</v>
      </c>
      <c r="AT3" s="721">
        <f t="shared" ref="AT3:AU3" si="1">+AQ3/$AT$1*$AU$1</f>
        <v>0</v>
      </c>
      <c r="AU3" s="721">
        <f t="shared" si="1"/>
        <v>0</v>
      </c>
      <c r="AW3" s="688" t="s">
        <v>1015</v>
      </c>
      <c r="AX3" s="688" t="s">
        <v>297</v>
      </c>
      <c r="AY3" s="688" t="s">
        <v>415</v>
      </c>
      <c r="AZ3" s="688" t="s">
        <v>317</v>
      </c>
      <c r="BA3" s="690">
        <v>90267444</v>
      </c>
      <c r="BB3" s="721">
        <f>+BA3/$BA$1*$BB$1</f>
        <v>90267.444000000003</v>
      </c>
      <c r="BD3" s="688" t="s">
        <v>1015</v>
      </c>
      <c r="BE3" s="689" t="s">
        <v>297</v>
      </c>
      <c r="BF3" s="688" t="s">
        <v>415</v>
      </c>
      <c r="BG3" s="921" t="s">
        <v>317</v>
      </c>
      <c r="BH3" s="690">
        <v>2375000000</v>
      </c>
      <c r="BI3" s="690">
        <v>0</v>
      </c>
      <c r="BJ3" s="690">
        <v>0</v>
      </c>
      <c r="BK3" s="690">
        <f>+BH3/$BK$1*$BL$1</f>
        <v>2375000</v>
      </c>
      <c r="BL3" s="690">
        <f t="shared" ref="BL3:BM3" si="2">+BI3/$BK$1*$BL$1</f>
        <v>0</v>
      </c>
      <c r="BM3" s="690">
        <f t="shared" si="2"/>
        <v>0</v>
      </c>
      <c r="BO3" s="662" t="s">
        <v>1015</v>
      </c>
      <c r="BP3" s="663" t="s">
        <v>297</v>
      </c>
      <c r="BQ3" s="664" t="s">
        <v>415</v>
      </c>
      <c r="BR3" s="663" t="s">
        <v>317</v>
      </c>
      <c r="BS3" s="665">
        <v>27584400</v>
      </c>
      <c r="BT3" s="666">
        <f>+BS3/$BS$1*$BT$1</f>
        <v>27584.400000000001</v>
      </c>
      <c r="BV3" s="667" t="s">
        <v>1015</v>
      </c>
      <c r="BW3" s="663" t="s">
        <v>297</v>
      </c>
      <c r="BX3" s="668" t="s">
        <v>415</v>
      </c>
      <c r="BY3" s="663" t="s">
        <v>317</v>
      </c>
      <c r="BZ3" s="665">
        <v>2375000000</v>
      </c>
      <c r="CA3" s="665">
        <v>0</v>
      </c>
      <c r="CB3" s="665">
        <v>0</v>
      </c>
      <c r="CC3" s="669">
        <f>BZ3/$CC$1*$CD$1</f>
        <v>2375000</v>
      </c>
      <c r="CD3" s="669">
        <f t="shared" ref="CD3:CE3" si="3">CA3/$CC$1*$CD$1</f>
        <v>0</v>
      </c>
      <c r="CE3" s="670">
        <f t="shared" si="3"/>
        <v>0</v>
      </c>
      <c r="CG3" s="688" t="s">
        <v>1015</v>
      </c>
      <c r="CH3" s="688" t="s">
        <v>297</v>
      </c>
      <c r="CI3" s="688" t="s">
        <v>417</v>
      </c>
      <c r="CJ3" s="688" t="s">
        <v>318</v>
      </c>
      <c r="CK3" s="690">
        <v>4973780</v>
      </c>
      <c r="CL3" s="665">
        <f>+CK3/$CK$1*$CL$1</f>
        <v>4973.78</v>
      </c>
      <c r="CN3" s="655" t="s">
        <v>1015</v>
      </c>
      <c r="CO3" s="655" t="s">
        <v>297</v>
      </c>
      <c r="CP3" s="655" t="s">
        <v>415</v>
      </c>
      <c r="CQ3" s="655" t="s">
        <v>317</v>
      </c>
      <c r="CR3" s="721">
        <v>2375000000</v>
      </c>
      <c r="CS3" s="721">
        <v>0</v>
      </c>
      <c r="CT3" s="721">
        <v>0</v>
      </c>
      <c r="CU3" s="721">
        <f>+CR3/$CU$1*$CV$1</f>
        <v>2375000</v>
      </c>
      <c r="CV3" s="721">
        <f t="shared" ref="CV3:CW3" si="4">+CS3/$CU$1*$CV$1</f>
        <v>0</v>
      </c>
      <c r="CW3" s="721">
        <f t="shared" si="4"/>
        <v>0</v>
      </c>
      <c r="CY3" s="688" t="s">
        <v>1015</v>
      </c>
      <c r="CZ3" s="689" t="s">
        <v>297</v>
      </c>
      <c r="DA3" s="688" t="s">
        <v>417</v>
      </c>
      <c r="DB3" s="689" t="s">
        <v>318</v>
      </c>
      <c r="DC3" s="690">
        <v>3723780</v>
      </c>
      <c r="DD3" s="721">
        <f>+DC3/$DC$1*$DD$1</f>
        <v>3723.78</v>
      </c>
      <c r="DF3" s="655" t="s">
        <v>1015</v>
      </c>
      <c r="DG3" s="655" t="s">
        <v>297</v>
      </c>
      <c r="DH3" s="655" t="s">
        <v>415</v>
      </c>
      <c r="DI3" s="655" t="s">
        <v>317</v>
      </c>
      <c r="DJ3" s="721">
        <v>2375000000</v>
      </c>
      <c r="DK3" s="721">
        <v>0</v>
      </c>
      <c r="DL3" s="721">
        <v>0</v>
      </c>
      <c r="DM3" s="721">
        <f>+DJ3/$DM$1*$DN$1</f>
        <v>2375000</v>
      </c>
      <c r="DN3" s="721">
        <f t="shared" ref="DN3:DO3" si="5">+DK3/$DM$1*$DN$1</f>
        <v>0</v>
      </c>
      <c r="DO3" s="721">
        <f t="shared" si="5"/>
        <v>0</v>
      </c>
      <c r="DQ3" s="655" t="s">
        <v>1015</v>
      </c>
      <c r="DR3" s="655" t="s">
        <v>297</v>
      </c>
      <c r="DS3" s="655" t="s">
        <v>415</v>
      </c>
      <c r="DT3" s="655" t="s">
        <v>317</v>
      </c>
      <c r="DU3" s="691">
        <v>57603213</v>
      </c>
      <c r="DV3" s="691">
        <f>+DU3/$DU$1*$DV$1</f>
        <v>57603.213000000003</v>
      </c>
      <c r="DX3" s="655" t="s">
        <v>1015</v>
      </c>
      <c r="DY3" s="655" t="s">
        <v>297</v>
      </c>
      <c r="DZ3" s="655" t="s">
        <v>415</v>
      </c>
      <c r="EA3" s="655" t="s">
        <v>317</v>
      </c>
      <c r="EB3" s="691">
        <v>2375000000</v>
      </c>
      <c r="EC3" s="691">
        <v>0</v>
      </c>
      <c r="ED3" s="691">
        <v>0</v>
      </c>
      <c r="EE3" s="691">
        <f>+EB3/$EF$1*$EG$1</f>
        <v>2375000</v>
      </c>
      <c r="EF3" s="691">
        <f t="shared" ref="EF3:EG3" si="6">+EC3/$EF$1*$EG$1</f>
        <v>0</v>
      </c>
      <c r="EG3" s="691">
        <f t="shared" si="6"/>
        <v>0</v>
      </c>
    </row>
    <row r="4" spans="1:137" x14ac:dyDescent="0.2">
      <c r="A4" s="920" t="s">
        <v>1015</v>
      </c>
      <c r="B4" s="721" t="s">
        <v>297</v>
      </c>
      <c r="C4" s="920" t="s">
        <v>416</v>
      </c>
      <c r="D4" s="721" t="s">
        <v>327</v>
      </c>
      <c r="E4" s="721">
        <v>204765000</v>
      </c>
      <c r="F4" s="721">
        <v>0</v>
      </c>
      <c r="G4" s="721">
        <v>0</v>
      </c>
      <c r="H4" s="920">
        <f t="shared" ref="H4:H44" si="7">+E4/$I$1*$J$1</f>
        <v>204765</v>
      </c>
      <c r="I4" s="920">
        <f t="shared" ref="I4:I44" si="8">+F4/$I$1*$J$1</f>
        <v>0</v>
      </c>
      <c r="J4" s="920">
        <f t="shared" ref="J4:J44" si="9">+G4/$I$1*$J$1</f>
        <v>0</v>
      </c>
      <c r="M4" s="655" t="s">
        <v>1015</v>
      </c>
      <c r="N4" s="655" t="s">
        <v>297</v>
      </c>
      <c r="O4" s="655" t="s">
        <v>416</v>
      </c>
      <c r="P4" s="655" t="s">
        <v>327</v>
      </c>
      <c r="Q4" s="920">
        <v>334522</v>
      </c>
      <c r="R4" s="721">
        <f t="shared" ref="R4:R9" si="10">+Q4/$Q$1*$R$1</f>
        <v>334.52199999999999</v>
      </c>
      <c r="T4" s="655" t="s">
        <v>1015</v>
      </c>
      <c r="U4" s="655" t="s">
        <v>297</v>
      </c>
      <c r="V4" s="664" t="s">
        <v>416</v>
      </c>
      <c r="W4" s="655" t="s">
        <v>327</v>
      </c>
      <c r="X4" s="920">
        <v>204765000</v>
      </c>
      <c r="Y4" s="920">
        <v>0</v>
      </c>
      <c r="Z4" s="920">
        <v>0</v>
      </c>
      <c r="AA4" s="920">
        <f t="shared" ref="AA4:AA47" si="11">+X4/$AB$1*$AC$1</f>
        <v>204765</v>
      </c>
      <c r="AB4" s="920">
        <f t="shared" ref="AB4:AB47" si="12">+Y4/$AB$1*$AC$1</f>
        <v>0</v>
      </c>
      <c r="AC4" s="920">
        <f t="shared" ref="AC4:AC47" si="13">+Z4/$AB$1*$AC$1</f>
        <v>0</v>
      </c>
      <c r="AE4" s="688" t="s">
        <v>418</v>
      </c>
      <c r="AF4" s="689" t="s">
        <v>323</v>
      </c>
      <c r="AG4" s="688" t="s">
        <v>586</v>
      </c>
      <c r="AH4" s="689" t="s">
        <v>587</v>
      </c>
      <c r="AI4" s="690">
        <v>780000</v>
      </c>
      <c r="AJ4" s="721">
        <f t="shared" ref="AJ4:AJ7" si="14">+AI4/$AI$1*$AJ$1</f>
        <v>780</v>
      </c>
      <c r="AL4" s="655" t="s">
        <v>1015</v>
      </c>
      <c r="AM4" s="655" t="s">
        <v>297</v>
      </c>
      <c r="AN4" s="655" t="s">
        <v>416</v>
      </c>
      <c r="AO4" s="655" t="s">
        <v>327</v>
      </c>
      <c r="AP4" s="721">
        <v>204765000</v>
      </c>
      <c r="AQ4" s="721">
        <v>0</v>
      </c>
      <c r="AR4" s="721">
        <v>0</v>
      </c>
      <c r="AS4" s="721">
        <f t="shared" ref="AS4:AS50" si="15">+AP4/$AT$1*$AU$1</f>
        <v>204765</v>
      </c>
      <c r="AT4" s="721">
        <f t="shared" ref="AT4:AT50" si="16">+AQ4/$AT$1*$AU$1</f>
        <v>0</v>
      </c>
      <c r="AU4" s="721">
        <f t="shared" ref="AU4:AU50" si="17">+AR4/$AT$1*$AU$1</f>
        <v>0</v>
      </c>
      <c r="AW4" s="688" t="s">
        <v>1015</v>
      </c>
      <c r="AX4" s="688" t="s">
        <v>297</v>
      </c>
      <c r="AY4" s="688" t="s">
        <v>417</v>
      </c>
      <c r="AZ4" s="688" t="s">
        <v>318</v>
      </c>
      <c r="BA4" s="690">
        <v>2223780</v>
      </c>
      <c r="BB4" s="721">
        <f t="shared" ref="BB4:BB7" si="18">+BA4/$BA$1*$BB$1</f>
        <v>2223.7800000000002</v>
      </c>
      <c r="BD4" s="688" t="s">
        <v>1015</v>
      </c>
      <c r="BE4" s="689" t="s">
        <v>297</v>
      </c>
      <c r="BF4" s="688" t="s">
        <v>416</v>
      </c>
      <c r="BG4" s="921" t="s">
        <v>327</v>
      </c>
      <c r="BH4" s="690">
        <v>204765000</v>
      </c>
      <c r="BI4" s="690">
        <v>0</v>
      </c>
      <c r="BJ4" s="690">
        <v>0</v>
      </c>
      <c r="BK4" s="690">
        <f t="shared" ref="BK4:BK52" si="19">+BH4/$BK$1*$BL$1</f>
        <v>204765</v>
      </c>
      <c r="BL4" s="690">
        <f t="shared" ref="BL4:BL52" si="20">+BI4/$BK$1*$BL$1</f>
        <v>0</v>
      </c>
      <c r="BM4" s="690">
        <f t="shared" ref="BM4:BM52" si="21">+BJ4/$BK$1*$BL$1</f>
        <v>0</v>
      </c>
      <c r="BO4" s="662" t="s">
        <v>1015</v>
      </c>
      <c r="BP4" s="663" t="s">
        <v>297</v>
      </c>
      <c r="BQ4" s="664" t="s">
        <v>438</v>
      </c>
      <c r="BR4" s="663" t="s">
        <v>320</v>
      </c>
      <c r="BS4" s="665">
        <v>4538159</v>
      </c>
      <c r="BT4" s="666">
        <f t="shared" ref="BT4:BT8" si="22">+BS4/$BS$1*$BT$1</f>
        <v>4538.1589999999997</v>
      </c>
      <c r="BV4" s="667" t="s">
        <v>1015</v>
      </c>
      <c r="BW4" s="663" t="s">
        <v>297</v>
      </c>
      <c r="BX4" s="668" t="s">
        <v>416</v>
      </c>
      <c r="BY4" s="663" t="s">
        <v>327</v>
      </c>
      <c r="BZ4" s="665">
        <v>204765000</v>
      </c>
      <c r="CA4" s="665">
        <v>0</v>
      </c>
      <c r="CB4" s="665">
        <v>0</v>
      </c>
      <c r="CC4" s="669">
        <f t="shared" ref="CC4:CC53" si="23">BZ4/$CC$1*$CD$1</f>
        <v>204765</v>
      </c>
      <c r="CD4" s="669">
        <f t="shared" ref="CD4:CD53" si="24">CA4/$CC$1*$CD$1</f>
        <v>0</v>
      </c>
      <c r="CE4" s="670">
        <f t="shared" ref="CE4:CE53" si="25">CB4/$CC$1*$CD$1</f>
        <v>0</v>
      </c>
      <c r="CG4" s="688" t="s">
        <v>1015</v>
      </c>
      <c r="CH4" s="688" t="s">
        <v>297</v>
      </c>
      <c r="CI4" s="688" t="s">
        <v>415</v>
      </c>
      <c r="CJ4" s="688" t="s">
        <v>317</v>
      </c>
      <c r="CK4" s="690">
        <v>314684251</v>
      </c>
      <c r="CL4" s="665">
        <f t="shared" ref="CL4:CL9" si="26">+CK4/$CK$1*$CL$1</f>
        <v>314684.25099999999</v>
      </c>
      <c r="CN4" s="655" t="s">
        <v>1015</v>
      </c>
      <c r="CO4" s="655" t="s">
        <v>297</v>
      </c>
      <c r="CP4" s="655" t="s">
        <v>416</v>
      </c>
      <c r="CQ4" s="655" t="s">
        <v>327</v>
      </c>
      <c r="CR4" s="721">
        <v>204765000</v>
      </c>
      <c r="CS4" s="721">
        <v>0</v>
      </c>
      <c r="CT4" s="721">
        <v>0</v>
      </c>
      <c r="CU4" s="721">
        <f t="shared" ref="CU4:CU56" si="27">+CR4/$CU$1*$CV$1</f>
        <v>204765</v>
      </c>
      <c r="CV4" s="721">
        <f t="shared" ref="CV4:CV56" si="28">+CS4/$CU$1*$CV$1</f>
        <v>0</v>
      </c>
      <c r="CW4" s="721">
        <f t="shared" ref="CW4:CW56" si="29">+CT4/$CU$1*$CV$1</f>
        <v>0</v>
      </c>
      <c r="CY4" s="688" t="s">
        <v>1015</v>
      </c>
      <c r="CZ4" s="689" t="s">
        <v>297</v>
      </c>
      <c r="DA4" s="688" t="s">
        <v>415</v>
      </c>
      <c r="DB4" s="689" t="s">
        <v>317</v>
      </c>
      <c r="DC4" s="690">
        <v>330466877</v>
      </c>
      <c r="DD4" s="721">
        <f t="shared" ref="DD4:DD8" si="30">+DC4/$DC$1*$DD$1</f>
        <v>330466.87699999998</v>
      </c>
      <c r="DF4" s="655" t="s">
        <v>1015</v>
      </c>
      <c r="DG4" s="655" t="s">
        <v>297</v>
      </c>
      <c r="DH4" s="655" t="s">
        <v>416</v>
      </c>
      <c r="DI4" s="655" t="s">
        <v>327</v>
      </c>
      <c r="DJ4" s="721">
        <v>204765000</v>
      </c>
      <c r="DK4" s="721">
        <v>0</v>
      </c>
      <c r="DL4" s="721">
        <v>0</v>
      </c>
      <c r="DM4" s="721">
        <f t="shared" ref="DM4:DM56" si="31">+DJ4/$DM$1*$DN$1</f>
        <v>204765</v>
      </c>
      <c r="DN4" s="721">
        <f t="shared" ref="DN4:DN56" si="32">+DK4/$DM$1*$DN$1</f>
        <v>0</v>
      </c>
      <c r="DO4" s="721">
        <f t="shared" ref="DO4:DO56" si="33">+DL4/$DM$1*$DN$1</f>
        <v>0</v>
      </c>
      <c r="DQ4" s="655" t="s">
        <v>1015</v>
      </c>
      <c r="DR4" s="655" t="s">
        <v>297</v>
      </c>
      <c r="DS4" s="655" t="s">
        <v>417</v>
      </c>
      <c r="DT4" s="655" t="s">
        <v>318</v>
      </c>
      <c r="DU4" s="691">
        <v>3723780</v>
      </c>
      <c r="DV4" s="691">
        <f t="shared" ref="DV4:DV10" si="34">+DU4/$DU$1*$DV$1</f>
        <v>3723.78</v>
      </c>
      <c r="DX4" s="655" t="s">
        <v>1015</v>
      </c>
      <c r="DY4" s="655" t="s">
        <v>297</v>
      </c>
      <c r="DZ4" s="655" t="s">
        <v>416</v>
      </c>
      <c r="EA4" s="655" t="s">
        <v>327</v>
      </c>
      <c r="EB4" s="691">
        <v>204765000</v>
      </c>
      <c r="EC4" s="691">
        <v>0</v>
      </c>
      <c r="ED4" s="691">
        <v>0</v>
      </c>
      <c r="EE4" s="691">
        <f t="shared" ref="EE4:EE56" si="35">+EB4/$EF$1*$EG$1</f>
        <v>204765</v>
      </c>
      <c r="EF4" s="691">
        <f t="shared" ref="EF4:EF56" si="36">+EC4/$EF$1*$EG$1</f>
        <v>0</v>
      </c>
      <c r="EG4" s="691">
        <f t="shared" ref="EG4:EG56" si="37">+ED4/$EF$1*$EG$1</f>
        <v>0</v>
      </c>
    </row>
    <row r="5" spans="1:137" x14ac:dyDescent="0.2">
      <c r="A5" s="920" t="s">
        <v>1015</v>
      </c>
      <c r="B5" s="721" t="s">
        <v>297</v>
      </c>
      <c r="C5" s="920" t="s">
        <v>438</v>
      </c>
      <c r="D5" s="721" t="s">
        <v>320</v>
      </c>
      <c r="E5" s="721">
        <v>69510000</v>
      </c>
      <c r="F5" s="721">
        <v>0</v>
      </c>
      <c r="G5" s="721">
        <v>0</v>
      </c>
      <c r="H5" s="920">
        <f t="shared" si="7"/>
        <v>69510</v>
      </c>
      <c r="I5" s="920">
        <f t="shared" si="8"/>
        <v>0</v>
      </c>
      <c r="J5" s="920">
        <f t="shared" si="9"/>
        <v>0</v>
      </c>
      <c r="M5" s="655" t="s">
        <v>411</v>
      </c>
      <c r="N5" s="655" t="s">
        <v>433</v>
      </c>
      <c r="O5" s="655" t="s">
        <v>636</v>
      </c>
      <c r="P5" s="655" t="s">
        <v>637</v>
      </c>
      <c r="Q5" s="920">
        <v>4008999</v>
      </c>
      <c r="R5" s="721">
        <f t="shared" si="10"/>
        <v>4008.9989999999998</v>
      </c>
      <c r="T5" s="655" t="s">
        <v>1015</v>
      </c>
      <c r="U5" s="655" t="s">
        <v>297</v>
      </c>
      <c r="V5" s="664" t="s">
        <v>438</v>
      </c>
      <c r="W5" s="655" t="s">
        <v>320</v>
      </c>
      <c r="X5" s="920">
        <v>69510000</v>
      </c>
      <c r="Y5" s="920">
        <v>0</v>
      </c>
      <c r="Z5" s="920">
        <v>0</v>
      </c>
      <c r="AA5" s="920">
        <f t="shared" si="11"/>
        <v>69510</v>
      </c>
      <c r="AB5" s="920">
        <f t="shared" si="12"/>
        <v>0</v>
      </c>
      <c r="AC5" s="920">
        <f t="shared" si="13"/>
        <v>0</v>
      </c>
      <c r="AE5" s="688" t="s">
        <v>1016</v>
      </c>
      <c r="AF5" s="689" t="s">
        <v>495</v>
      </c>
      <c r="AG5" s="688" t="s">
        <v>426</v>
      </c>
      <c r="AH5" s="689" t="s">
        <v>426</v>
      </c>
      <c r="AI5" s="690">
        <v>13571207</v>
      </c>
      <c r="AJ5" s="721">
        <f t="shared" si="14"/>
        <v>13571.207</v>
      </c>
      <c r="AL5" s="655" t="s">
        <v>1015</v>
      </c>
      <c r="AM5" s="655" t="s">
        <v>297</v>
      </c>
      <c r="AN5" s="655" t="s">
        <v>438</v>
      </c>
      <c r="AO5" s="655" t="s">
        <v>320</v>
      </c>
      <c r="AP5" s="721">
        <v>69510000</v>
      </c>
      <c r="AQ5" s="721">
        <v>0</v>
      </c>
      <c r="AR5" s="721">
        <v>0</v>
      </c>
      <c r="AS5" s="721">
        <f t="shared" si="15"/>
        <v>69510</v>
      </c>
      <c r="AT5" s="721">
        <f t="shared" si="16"/>
        <v>0</v>
      </c>
      <c r="AU5" s="721">
        <f t="shared" si="17"/>
        <v>0</v>
      </c>
      <c r="AW5" s="688" t="s">
        <v>418</v>
      </c>
      <c r="AX5" s="688" t="s">
        <v>323</v>
      </c>
      <c r="AY5" s="688" t="s">
        <v>464</v>
      </c>
      <c r="AZ5" s="688" t="s">
        <v>588</v>
      </c>
      <c r="BA5" s="690">
        <v>3808000</v>
      </c>
      <c r="BB5" s="721">
        <f t="shared" si="18"/>
        <v>3808</v>
      </c>
      <c r="BD5" s="688" t="s">
        <v>1015</v>
      </c>
      <c r="BE5" s="689" t="s">
        <v>297</v>
      </c>
      <c r="BF5" s="688" t="s">
        <v>438</v>
      </c>
      <c r="BG5" s="921" t="s">
        <v>320</v>
      </c>
      <c r="BH5" s="690">
        <v>54510000</v>
      </c>
      <c r="BI5" s="690">
        <v>0</v>
      </c>
      <c r="BJ5" s="690">
        <v>0</v>
      </c>
      <c r="BK5" s="690">
        <f t="shared" si="19"/>
        <v>54510</v>
      </c>
      <c r="BL5" s="690">
        <f t="shared" si="20"/>
        <v>0</v>
      </c>
      <c r="BM5" s="690">
        <f t="shared" si="21"/>
        <v>0</v>
      </c>
      <c r="BO5" s="662" t="s">
        <v>1015</v>
      </c>
      <c r="BP5" s="663" t="s">
        <v>297</v>
      </c>
      <c r="BQ5" s="664" t="s">
        <v>417</v>
      </c>
      <c r="BR5" s="663" t="s">
        <v>318</v>
      </c>
      <c r="BS5" s="665">
        <v>3223780</v>
      </c>
      <c r="BT5" s="666">
        <f t="shared" si="22"/>
        <v>3223.78</v>
      </c>
      <c r="BV5" s="667" t="s">
        <v>1015</v>
      </c>
      <c r="BW5" s="663" t="s">
        <v>297</v>
      </c>
      <c r="BX5" s="668" t="s">
        <v>438</v>
      </c>
      <c r="BY5" s="663" t="s">
        <v>320</v>
      </c>
      <c r="BZ5" s="665">
        <v>54510000</v>
      </c>
      <c r="CA5" s="665">
        <v>0</v>
      </c>
      <c r="CB5" s="665">
        <v>0</v>
      </c>
      <c r="CC5" s="669">
        <f t="shared" si="23"/>
        <v>54510</v>
      </c>
      <c r="CD5" s="669">
        <f t="shared" si="24"/>
        <v>0</v>
      </c>
      <c r="CE5" s="670">
        <f t="shared" si="25"/>
        <v>0</v>
      </c>
      <c r="CG5" s="688" t="s">
        <v>1015</v>
      </c>
      <c r="CH5" s="688" t="s">
        <v>297</v>
      </c>
      <c r="CI5" s="688" t="s">
        <v>438</v>
      </c>
      <c r="CJ5" s="688" t="s">
        <v>320</v>
      </c>
      <c r="CK5" s="690">
        <v>885360</v>
      </c>
      <c r="CL5" s="665">
        <f t="shared" si="26"/>
        <v>885.36</v>
      </c>
      <c r="CN5" s="655" t="s">
        <v>1015</v>
      </c>
      <c r="CO5" s="655" t="s">
        <v>297</v>
      </c>
      <c r="CP5" s="655" t="s">
        <v>438</v>
      </c>
      <c r="CQ5" s="655" t="s">
        <v>320</v>
      </c>
      <c r="CR5" s="721">
        <v>54510000</v>
      </c>
      <c r="CS5" s="721">
        <v>0</v>
      </c>
      <c r="CT5" s="721">
        <v>0</v>
      </c>
      <c r="CU5" s="721">
        <f t="shared" si="27"/>
        <v>54510</v>
      </c>
      <c r="CV5" s="721">
        <f t="shared" si="28"/>
        <v>0</v>
      </c>
      <c r="CW5" s="721">
        <f t="shared" si="29"/>
        <v>0</v>
      </c>
      <c r="CY5" s="688" t="s">
        <v>411</v>
      </c>
      <c r="CZ5" s="689" t="s">
        <v>433</v>
      </c>
      <c r="DA5" s="688" t="s">
        <v>636</v>
      </c>
      <c r="DB5" s="689" t="s">
        <v>637</v>
      </c>
      <c r="DC5" s="690">
        <v>5400000</v>
      </c>
      <c r="DD5" s="721">
        <f t="shared" si="30"/>
        <v>5400</v>
      </c>
      <c r="DF5" s="655" t="s">
        <v>1015</v>
      </c>
      <c r="DG5" s="655" t="s">
        <v>297</v>
      </c>
      <c r="DH5" s="655" t="s">
        <v>438</v>
      </c>
      <c r="DI5" s="655" t="s">
        <v>320</v>
      </c>
      <c r="DJ5" s="721">
        <v>54510000</v>
      </c>
      <c r="DK5" s="721">
        <v>0</v>
      </c>
      <c r="DL5" s="721">
        <v>0</v>
      </c>
      <c r="DM5" s="721">
        <f t="shared" si="31"/>
        <v>54510</v>
      </c>
      <c r="DN5" s="721">
        <f t="shared" si="32"/>
        <v>0</v>
      </c>
      <c r="DO5" s="721">
        <f t="shared" si="33"/>
        <v>0</v>
      </c>
      <c r="DQ5" s="655" t="s">
        <v>411</v>
      </c>
      <c r="DR5" s="655" t="s">
        <v>433</v>
      </c>
      <c r="DS5" s="655" t="s">
        <v>436</v>
      </c>
      <c r="DT5" s="655" t="s">
        <v>265</v>
      </c>
      <c r="DU5" s="691">
        <v>25112500</v>
      </c>
      <c r="DV5" s="691">
        <f t="shared" si="34"/>
        <v>25112.5</v>
      </c>
      <c r="DX5" s="655" t="s">
        <v>1015</v>
      </c>
      <c r="DY5" s="655" t="s">
        <v>297</v>
      </c>
      <c r="DZ5" s="655" t="s">
        <v>438</v>
      </c>
      <c r="EA5" s="655" t="s">
        <v>320</v>
      </c>
      <c r="EB5" s="691">
        <v>54510000</v>
      </c>
      <c r="EC5" s="691">
        <v>0</v>
      </c>
      <c r="ED5" s="691">
        <v>0</v>
      </c>
      <c r="EE5" s="691">
        <f t="shared" si="35"/>
        <v>54510</v>
      </c>
      <c r="EF5" s="691">
        <f t="shared" si="36"/>
        <v>0</v>
      </c>
      <c r="EG5" s="691">
        <f t="shared" si="37"/>
        <v>0</v>
      </c>
    </row>
    <row r="6" spans="1:137" x14ac:dyDescent="0.2">
      <c r="A6" s="920" t="s">
        <v>1015</v>
      </c>
      <c r="B6" s="721" t="s">
        <v>297</v>
      </c>
      <c r="C6" s="920" t="s">
        <v>417</v>
      </c>
      <c r="D6" s="721" t="s">
        <v>318</v>
      </c>
      <c r="E6" s="721">
        <v>30520000</v>
      </c>
      <c r="F6" s="721">
        <v>0</v>
      </c>
      <c r="G6" s="721">
        <v>0</v>
      </c>
      <c r="H6" s="920">
        <f t="shared" si="7"/>
        <v>30520</v>
      </c>
      <c r="I6" s="920">
        <f t="shared" si="8"/>
        <v>0</v>
      </c>
      <c r="J6" s="920">
        <f t="shared" si="9"/>
        <v>0</v>
      </c>
      <c r="M6" s="655" t="s">
        <v>411</v>
      </c>
      <c r="N6" s="655" t="s">
        <v>433</v>
      </c>
      <c r="O6" s="655" t="s">
        <v>436</v>
      </c>
      <c r="P6" s="655" t="s">
        <v>265</v>
      </c>
      <c r="Q6" s="920">
        <v>14550000</v>
      </c>
      <c r="R6" s="721">
        <f t="shared" si="10"/>
        <v>14550</v>
      </c>
      <c r="T6" s="655" t="s">
        <v>1015</v>
      </c>
      <c r="U6" s="655" t="s">
        <v>297</v>
      </c>
      <c r="V6" s="664" t="s">
        <v>417</v>
      </c>
      <c r="W6" s="655" t="s">
        <v>318</v>
      </c>
      <c r="X6" s="920">
        <v>30520000</v>
      </c>
      <c r="Y6" s="920">
        <v>0</v>
      </c>
      <c r="Z6" s="920">
        <v>0</v>
      </c>
      <c r="AA6" s="920">
        <f t="shared" si="11"/>
        <v>30520</v>
      </c>
      <c r="AB6" s="920">
        <f t="shared" si="12"/>
        <v>0</v>
      </c>
      <c r="AC6" s="920">
        <f t="shared" si="13"/>
        <v>0</v>
      </c>
      <c r="AE6" s="688" t="s">
        <v>442</v>
      </c>
      <c r="AF6" s="689" t="s">
        <v>443</v>
      </c>
      <c r="AG6" s="688" t="s">
        <v>426</v>
      </c>
      <c r="AH6" s="689" t="s">
        <v>426</v>
      </c>
      <c r="AI6" s="690">
        <v>23659174</v>
      </c>
      <c r="AJ6" s="721">
        <f t="shared" si="14"/>
        <v>23659.173999999999</v>
      </c>
      <c r="AL6" s="655" t="s">
        <v>1015</v>
      </c>
      <c r="AM6" s="655" t="s">
        <v>297</v>
      </c>
      <c r="AN6" s="655" t="s">
        <v>417</v>
      </c>
      <c r="AO6" s="655" t="s">
        <v>318</v>
      </c>
      <c r="AP6" s="721">
        <v>30520000</v>
      </c>
      <c r="AQ6" s="721">
        <v>0</v>
      </c>
      <c r="AR6" s="721">
        <v>0</v>
      </c>
      <c r="AS6" s="721">
        <f t="shared" si="15"/>
        <v>30520</v>
      </c>
      <c r="AT6" s="721">
        <f t="shared" si="16"/>
        <v>0</v>
      </c>
      <c r="AU6" s="721">
        <f t="shared" si="17"/>
        <v>0</v>
      </c>
      <c r="AW6" s="688" t="s">
        <v>442</v>
      </c>
      <c r="AX6" s="688" t="s">
        <v>443</v>
      </c>
      <c r="AY6" s="688" t="s">
        <v>426</v>
      </c>
      <c r="AZ6" s="688" t="s">
        <v>426</v>
      </c>
      <c r="BA6" s="690">
        <v>20150312</v>
      </c>
      <c r="BB6" s="721">
        <f t="shared" si="18"/>
        <v>20150.312000000002</v>
      </c>
      <c r="BD6" s="688" t="s">
        <v>1015</v>
      </c>
      <c r="BE6" s="689" t="s">
        <v>297</v>
      </c>
      <c r="BF6" s="688" t="s">
        <v>417</v>
      </c>
      <c r="BG6" s="921" t="s">
        <v>318</v>
      </c>
      <c r="BH6" s="690">
        <v>45520000</v>
      </c>
      <c r="BI6" s="690">
        <v>0</v>
      </c>
      <c r="BJ6" s="690">
        <v>0</v>
      </c>
      <c r="BK6" s="690">
        <f t="shared" si="19"/>
        <v>45520</v>
      </c>
      <c r="BL6" s="690">
        <f t="shared" si="20"/>
        <v>0</v>
      </c>
      <c r="BM6" s="690">
        <f t="shared" si="21"/>
        <v>0</v>
      </c>
      <c r="BO6" s="662" t="s">
        <v>418</v>
      </c>
      <c r="BP6" s="663" t="s">
        <v>323</v>
      </c>
      <c r="BQ6" s="664" t="s">
        <v>473</v>
      </c>
      <c r="BR6" s="663" t="s">
        <v>589</v>
      </c>
      <c r="BS6" s="665">
        <v>30000000</v>
      </c>
      <c r="BT6" s="666">
        <f t="shared" si="22"/>
        <v>30000</v>
      </c>
      <c r="BV6" s="667" t="s">
        <v>1015</v>
      </c>
      <c r="BW6" s="663" t="s">
        <v>297</v>
      </c>
      <c r="BX6" s="668" t="s">
        <v>417</v>
      </c>
      <c r="BY6" s="663" t="s">
        <v>318</v>
      </c>
      <c r="BZ6" s="665">
        <v>46928000</v>
      </c>
      <c r="CA6" s="665">
        <v>0</v>
      </c>
      <c r="CB6" s="665">
        <v>0</v>
      </c>
      <c r="CC6" s="669">
        <f t="shared" si="23"/>
        <v>46928</v>
      </c>
      <c r="CD6" s="669">
        <f t="shared" si="24"/>
        <v>0</v>
      </c>
      <c r="CE6" s="670">
        <f t="shared" si="25"/>
        <v>0</v>
      </c>
      <c r="CG6" s="688" t="s">
        <v>411</v>
      </c>
      <c r="CH6" s="688" t="s">
        <v>433</v>
      </c>
      <c r="CI6" s="688" t="s">
        <v>434</v>
      </c>
      <c r="CJ6" s="688" t="s">
        <v>435</v>
      </c>
      <c r="CK6" s="690">
        <v>5000000</v>
      </c>
      <c r="CL6" s="665">
        <f t="shared" si="26"/>
        <v>5000</v>
      </c>
      <c r="CN6" s="655" t="s">
        <v>1015</v>
      </c>
      <c r="CO6" s="655" t="s">
        <v>297</v>
      </c>
      <c r="CP6" s="655" t="s">
        <v>417</v>
      </c>
      <c r="CQ6" s="655" t="s">
        <v>318</v>
      </c>
      <c r="CR6" s="721">
        <v>46928000</v>
      </c>
      <c r="CS6" s="721">
        <v>0</v>
      </c>
      <c r="CT6" s="721">
        <v>0</v>
      </c>
      <c r="CU6" s="721">
        <f t="shared" si="27"/>
        <v>46928</v>
      </c>
      <c r="CV6" s="721">
        <f t="shared" si="28"/>
        <v>0</v>
      </c>
      <c r="CW6" s="721">
        <f t="shared" si="29"/>
        <v>0</v>
      </c>
      <c r="CY6" s="688" t="s">
        <v>418</v>
      </c>
      <c r="CZ6" s="689" t="s">
        <v>323</v>
      </c>
      <c r="DA6" s="688" t="s">
        <v>439</v>
      </c>
      <c r="DB6" s="689" t="s">
        <v>590</v>
      </c>
      <c r="DC6" s="690">
        <v>7157850</v>
      </c>
      <c r="DD6" s="721">
        <f t="shared" si="30"/>
        <v>7157.85</v>
      </c>
      <c r="DF6" s="655" t="s">
        <v>1015</v>
      </c>
      <c r="DG6" s="655" t="s">
        <v>297</v>
      </c>
      <c r="DH6" s="655" t="s">
        <v>417</v>
      </c>
      <c r="DI6" s="655" t="s">
        <v>318</v>
      </c>
      <c r="DJ6" s="721">
        <v>46928000</v>
      </c>
      <c r="DK6" s="721">
        <v>0</v>
      </c>
      <c r="DL6" s="721">
        <v>0</v>
      </c>
      <c r="DM6" s="721">
        <f t="shared" si="31"/>
        <v>46928</v>
      </c>
      <c r="DN6" s="721">
        <f t="shared" si="32"/>
        <v>0</v>
      </c>
      <c r="DO6" s="721">
        <f t="shared" si="33"/>
        <v>0</v>
      </c>
      <c r="DQ6" s="655" t="s">
        <v>411</v>
      </c>
      <c r="DR6" s="655" t="s">
        <v>433</v>
      </c>
      <c r="DS6" s="655" t="s">
        <v>636</v>
      </c>
      <c r="DT6" s="655" t="s">
        <v>637</v>
      </c>
      <c r="DU6" s="691">
        <v>5400000</v>
      </c>
      <c r="DV6" s="691">
        <f t="shared" si="34"/>
        <v>5400</v>
      </c>
      <c r="DX6" s="655" t="s">
        <v>1015</v>
      </c>
      <c r="DY6" s="655" t="s">
        <v>297</v>
      </c>
      <c r="DZ6" s="655" t="s">
        <v>417</v>
      </c>
      <c r="EA6" s="655" t="s">
        <v>318</v>
      </c>
      <c r="EB6" s="691">
        <v>46928000</v>
      </c>
      <c r="EC6" s="691">
        <v>0</v>
      </c>
      <c r="ED6" s="691">
        <v>0</v>
      </c>
      <c r="EE6" s="691">
        <f t="shared" si="35"/>
        <v>46928</v>
      </c>
      <c r="EF6" s="691">
        <f t="shared" si="36"/>
        <v>0</v>
      </c>
      <c r="EG6" s="691">
        <f t="shared" si="37"/>
        <v>0</v>
      </c>
    </row>
    <row r="7" spans="1:137" x14ac:dyDescent="0.2">
      <c r="A7" s="920" t="s">
        <v>1015</v>
      </c>
      <c r="B7" s="721" t="s">
        <v>297</v>
      </c>
      <c r="C7" s="920" t="s">
        <v>437</v>
      </c>
      <c r="D7" s="721" t="s">
        <v>319</v>
      </c>
      <c r="E7" s="721">
        <v>1408000</v>
      </c>
      <c r="F7" s="721">
        <v>0</v>
      </c>
      <c r="G7" s="721">
        <v>0</v>
      </c>
      <c r="H7" s="920">
        <f t="shared" si="7"/>
        <v>1408</v>
      </c>
      <c r="I7" s="920">
        <f t="shared" si="8"/>
        <v>0</v>
      </c>
      <c r="J7" s="920">
        <f t="shared" si="9"/>
        <v>0</v>
      </c>
      <c r="M7" s="655" t="s">
        <v>418</v>
      </c>
      <c r="N7" s="655" t="s">
        <v>323</v>
      </c>
      <c r="O7" s="655" t="s">
        <v>473</v>
      </c>
      <c r="P7" s="655" t="s">
        <v>589</v>
      </c>
      <c r="Q7" s="920">
        <v>89818844</v>
      </c>
      <c r="R7" s="721">
        <f t="shared" si="10"/>
        <v>89818.843999999997</v>
      </c>
      <c r="T7" s="655" t="s">
        <v>1015</v>
      </c>
      <c r="U7" s="655" t="s">
        <v>297</v>
      </c>
      <c r="V7" s="664" t="s">
        <v>437</v>
      </c>
      <c r="W7" s="655" t="s">
        <v>319</v>
      </c>
      <c r="X7" s="920">
        <v>1408000</v>
      </c>
      <c r="Y7" s="920">
        <v>0</v>
      </c>
      <c r="Z7" s="920">
        <v>0</v>
      </c>
      <c r="AA7" s="920">
        <f t="shared" si="11"/>
        <v>1408</v>
      </c>
      <c r="AB7" s="920">
        <f t="shared" si="12"/>
        <v>0</v>
      </c>
      <c r="AC7" s="920">
        <f t="shared" si="13"/>
        <v>0</v>
      </c>
      <c r="AE7" s="688" t="s">
        <v>431</v>
      </c>
      <c r="AF7" s="689" t="s">
        <v>127</v>
      </c>
      <c r="AG7" s="688" t="s">
        <v>426</v>
      </c>
      <c r="AH7" s="689" t="s">
        <v>426</v>
      </c>
      <c r="AI7" s="690">
        <v>-67253</v>
      </c>
      <c r="AJ7" s="721">
        <f t="shared" si="14"/>
        <v>-67.253</v>
      </c>
      <c r="AL7" s="655" t="s">
        <v>1015</v>
      </c>
      <c r="AM7" s="655" t="s">
        <v>297</v>
      </c>
      <c r="AN7" s="655" t="s">
        <v>437</v>
      </c>
      <c r="AO7" s="655" t="s">
        <v>319</v>
      </c>
      <c r="AP7" s="721">
        <v>1408000</v>
      </c>
      <c r="AQ7" s="721">
        <v>0</v>
      </c>
      <c r="AR7" s="721">
        <v>0</v>
      </c>
      <c r="AS7" s="721">
        <f t="shared" si="15"/>
        <v>1408</v>
      </c>
      <c r="AT7" s="721">
        <f t="shared" si="16"/>
        <v>0</v>
      </c>
      <c r="AU7" s="721">
        <f t="shared" si="17"/>
        <v>0</v>
      </c>
      <c r="AW7" s="688" t="s">
        <v>611</v>
      </c>
      <c r="AX7" s="688" t="s">
        <v>612</v>
      </c>
      <c r="AY7" s="688" t="s">
        <v>426</v>
      </c>
      <c r="AZ7" s="688" t="s">
        <v>426</v>
      </c>
      <c r="BA7" s="690">
        <v>2598759</v>
      </c>
      <c r="BB7" s="721">
        <f t="shared" si="18"/>
        <v>2598.759</v>
      </c>
      <c r="BD7" s="688" t="s">
        <v>1015</v>
      </c>
      <c r="BE7" s="689" t="s">
        <v>297</v>
      </c>
      <c r="BF7" s="688" t="s">
        <v>437</v>
      </c>
      <c r="BG7" s="921" t="s">
        <v>319</v>
      </c>
      <c r="BH7" s="690">
        <v>1408000</v>
      </c>
      <c r="BI7" s="690">
        <v>0</v>
      </c>
      <c r="BJ7" s="690">
        <v>0</v>
      </c>
      <c r="BK7" s="690">
        <f t="shared" si="19"/>
        <v>1408</v>
      </c>
      <c r="BL7" s="690">
        <f t="shared" si="20"/>
        <v>0</v>
      </c>
      <c r="BM7" s="690">
        <f t="shared" si="21"/>
        <v>0</v>
      </c>
      <c r="BO7" s="662" t="s">
        <v>418</v>
      </c>
      <c r="BP7" s="663" t="s">
        <v>323</v>
      </c>
      <c r="BQ7" s="664" t="s">
        <v>586</v>
      </c>
      <c r="BR7" s="663" t="s">
        <v>587</v>
      </c>
      <c r="BS7" s="665">
        <v>780000</v>
      </c>
      <c r="BT7" s="666">
        <f t="shared" si="22"/>
        <v>780</v>
      </c>
      <c r="BV7" s="667" t="s">
        <v>1015</v>
      </c>
      <c r="BW7" s="663" t="s">
        <v>297</v>
      </c>
      <c r="BX7" s="668" t="s">
        <v>426</v>
      </c>
      <c r="BY7" s="663" t="s">
        <v>426</v>
      </c>
      <c r="BZ7" s="665">
        <v>0</v>
      </c>
      <c r="CA7" s="665">
        <v>0</v>
      </c>
      <c r="CB7" s="665">
        <v>0</v>
      </c>
      <c r="CC7" s="669">
        <f t="shared" si="23"/>
        <v>0</v>
      </c>
      <c r="CD7" s="669">
        <f t="shared" si="24"/>
        <v>0</v>
      </c>
      <c r="CE7" s="670">
        <f t="shared" si="25"/>
        <v>0</v>
      </c>
      <c r="CG7" s="688" t="s">
        <v>411</v>
      </c>
      <c r="CH7" s="688" t="s">
        <v>433</v>
      </c>
      <c r="CI7" s="688" t="s">
        <v>636</v>
      </c>
      <c r="CJ7" s="688" t="s">
        <v>637</v>
      </c>
      <c r="CK7" s="690">
        <v>5400000</v>
      </c>
      <c r="CL7" s="665">
        <f t="shared" si="26"/>
        <v>5400</v>
      </c>
      <c r="CN7" s="655" t="s">
        <v>1015</v>
      </c>
      <c r="CO7" s="655" t="s">
        <v>297</v>
      </c>
      <c r="CP7" s="655" t="s">
        <v>437</v>
      </c>
      <c r="CQ7" s="655" t="s">
        <v>319</v>
      </c>
      <c r="CR7" s="721">
        <v>0</v>
      </c>
      <c r="CS7" s="721">
        <v>0</v>
      </c>
      <c r="CT7" s="721">
        <v>0</v>
      </c>
      <c r="CU7" s="721">
        <f t="shared" si="27"/>
        <v>0</v>
      </c>
      <c r="CV7" s="721">
        <f t="shared" si="28"/>
        <v>0</v>
      </c>
      <c r="CW7" s="721">
        <f t="shared" si="29"/>
        <v>0</v>
      </c>
      <c r="CY7" s="688" t="s">
        <v>442</v>
      </c>
      <c r="CZ7" s="689" t="s">
        <v>443</v>
      </c>
      <c r="DA7" s="688" t="s">
        <v>426</v>
      </c>
      <c r="DB7" s="689" t="s">
        <v>426</v>
      </c>
      <c r="DC7" s="690">
        <v>14554155</v>
      </c>
      <c r="DD7" s="721">
        <f t="shared" si="30"/>
        <v>14554.155000000001</v>
      </c>
      <c r="DF7" s="655" t="s">
        <v>1015</v>
      </c>
      <c r="DG7" s="655" t="s">
        <v>297</v>
      </c>
      <c r="DH7" s="655" t="s">
        <v>426</v>
      </c>
      <c r="DI7" s="655" t="s">
        <v>426</v>
      </c>
      <c r="DJ7" s="721">
        <v>0</v>
      </c>
      <c r="DK7" s="721">
        <v>0</v>
      </c>
      <c r="DL7" s="721">
        <v>0</v>
      </c>
      <c r="DM7" s="721">
        <f t="shared" si="31"/>
        <v>0</v>
      </c>
      <c r="DN7" s="721">
        <f t="shared" si="32"/>
        <v>0</v>
      </c>
      <c r="DO7" s="721">
        <f t="shared" si="33"/>
        <v>0</v>
      </c>
      <c r="DQ7" s="655" t="s">
        <v>418</v>
      </c>
      <c r="DR7" s="655" t="s">
        <v>323</v>
      </c>
      <c r="DS7" s="655" t="s">
        <v>586</v>
      </c>
      <c r="DT7" s="655" t="s">
        <v>587</v>
      </c>
      <c r="DU7" s="691">
        <v>780000</v>
      </c>
      <c r="DV7" s="691">
        <f t="shared" si="34"/>
        <v>780</v>
      </c>
      <c r="DX7" s="655" t="s">
        <v>1015</v>
      </c>
      <c r="DY7" s="655" t="s">
        <v>297</v>
      </c>
      <c r="DZ7" s="655" t="s">
        <v>438</v>
      </c>
      <c r="EA7" s="655" t="s">
        <v>320</v>
      </c>
      <c r="EB7" s="691">
        <v>0</v>
      </c>
      <c r="EC7" s="691">
        <v>8993519</v>
      </c>
      <c r="ED7" s="691">
        <v>5423519</v>
      </c>
      <c r="EE7" s="691">
        <f t="shared" si="35"/>
        <v>0</v>
      </c>
      <c r="EF7" s="691">
        <f t="shared" si="36"/>
        <v>8993.5190000000002</v>
      </c>
      <c r="EG7" s="691">
        <f t="shared" si="37"/>
        <v>5423.5190000000002</v>
      </c>
    </row>
    <row r="8" spans="1:137" x14ac:dyDescent="0.2">
      <c r="A8" s="920" t="s">
        <v>1015</v>
      </c>
      <c r="B8" s="721" t="s">
        <v>297</v>
      </c>
      <c r="C8" s="920" t="s">
        <v>416</v>
      </c>
      <c r="D8" s="721" t="s">
        <v>327</v>
      </c>
      <c r="E8" s="721">
        <v>0</v>
      </c>
      <c r="F8" s="721">
        <v>10996861</v>
      </c>
      <c r="G8" s="721">
        <v>11331383</v>
      </c>
      <c r="H8" s="920">
        <f t="shared" si="7"/>
        <v>0</v>
      </c>
      <c r="I8" s="920">
        <f t="shared" si="8"/>
        <v>10996.861000000001</v>
      </c>
      <c r="J8" s="920">
        <f t="shared" si="9"/>
        <v>11331.383</v>
      </c>
      <c r="M8" s="655" t="s">
        <v>1016</v>
      </c>
      <c r="N8" s="655" t="s">
        <v>495</v>
      </c>
      <c r="O8" s="655" t="s">
        <v>426</v>
      </c>
      <c r="P8" s="655" t="s">
        <v>426</v>
      </c>
      <c r="Q8" s="920">
        <v>2700000</v>
      </c>
      <c r="R8" s="721">
        <f t="shared" si="10"/>
        <v>2700</v>
      </c>
      <c r="T8" s="655" t="s">
        <v>1015</v>
      </c>
      <c r="U8" s="655" t="s">
        <v>297</v>
      </c>
      <c r="V8" s="664" t="s">
        <v>426</v>
      </c>
      <c r="W8" s="655" t="s">
        <v>426</v>
      </c>
      <c r="X8" s="920">
        <v>0</v>
      </c>
      <c r="Y8" s="920">
        <v>0</v>
      </c>
      <c r="Z8" s="920">
        <v>0</v>
      </c>
      <c r="AA8" s="920">
        <f t="shared" si="11"/>
        <v>0</v>
      </c>
      <c r="AB8" s="920">
        <f t="shared" si="12"/>
        <v>0</v>
      </c>
      <c r="AC8" s="920">
        <f t="shared" si="13"/>
        <v>0</v>
      </c>
      <c r="AL8" s="655" t="s">
        <v>1015</v>
      </c>
      <c r="AM8" s="655" t="s">
        <v>297</v>
      </c>
      <c r="AN8" s="655" t="s">
        <v>416</v>
      </c>
      <c r="AO8" s="655" t="s">
        <v>327</v>
      </c>
      <c r="AP8" s="721">
        <v>0</v>
      </c>
      <c r="AQ8" s="721">
        <v>11331383</v>
      </c>
      <c r="AR8" s="721">
        <v>11331383</v>
      </c>
      <c r="AS8" s="721">
        <f t="shared" si="15"/>
        <v>0</v>
      </c>
      <c r="AT8" s="721">
        <f t="shared" si="16"/>
        <v>11331.383</v>
      </c>
      <c r="AU8" s="721">
        <f t="shared" si="17"/>
        <v>11331.383</v>
      </c>
      <c r="BB8" s="669">
        <f>SUM(BB3:BB7)</f>
        <v>119048.29500000001</v>
      </c>
      <c r="BD8" s="688" t="s">
        <v>1015</v>
      </c>
      <c r="BE8" s="689" t="s">
        <v>297</v>
      </c>
      <c r="BF8" s="688" t="s">
        <v>415</v>
      </c>
      <c r="BG8" s="921" t="s">
        <v>317</v>
      </c>
      <c r="BH8" s="690">
        <v>0</v>
      </c>
      <c r="BI8" s="690">
        <v>90267444</v>
      </c>
      <c r="BJ8" s="690">
        <v>154412213</v>
      </c>
      <c r="BK8" s="690">
        <f t="shared" si="19"/>
        <v>0</v>
      </c>
      <c r="BL8" s="690">
        <f t="shared" si="20"/>
        <v>90267.444000000003</v>
      </c>
      <c r="BM8" s="690">
        <f t="shared" si="21"/>
        <v>154412.21299999999</v>
      </c>
      <c r="BO8" s="671" t="s">
        <v>442</v>
      </c>
      <c r="BP8" s="672" t="s">
        <v>443</v>
      </c>
      <c r="BQ8" s="673" t="s">
        <v>426</v>
      </c>
      <c r="BR8" s="672" t="s">
        <v>426</v>
      </c>
      <c r="BS8" s="674">
        <v>11146334</v>
      </c>
      <c r="BT8" s="675">
        <f t="shared" si="22"/>
        <v>11146.334000000001</v>
      </c>
      <c r="BV8" s="667" t="s">
        <v>1015</v>
      </c>
      <c r="BW8" s="663" t="s">
        <v>297</v>
      </c>
      <c r="BX8" s="668" t="s">
        <v>415</v>
      </c>
      <c r="BY8" s="663" t="s">
        <v>317</v>
      </c>
      <c r="BZ8" s="665">
        <v>0</v>
      </c>
      <c r="CA8" s="665">
        <v>587000488</v>
      </c>
      <c r="CB8" s="665">
        <v>117851844</v>
      </c>
      <c r="CC8" s="669">
        <f t="shared" si="23"/>
        <v>0</v>
      </c>
      <c r="CD8" s="669">
        <f t="shared" si="24"/>
        <v>587000.48800000001</v>
      </c>
      <c r="CE8" s="670">
        <f t="shared" si="25"/>
        <v>117851.844</v>
      </c>
      <c r="CG8" s="688" t="s">
        <v>418</v>
      </c>
      <c r="CH8" s="688" t="s">
        <v>323</v>
      </c>
      <c r="CI8" s="688" t="s">
        <v>464</v>
      </c>
      <c r="CJ8" s="688" t="s">
        <v>588</v>
      </c>
      <c r="CK8" s="690">
        <v>336000000</v>
      </c>
      <c r="CL8" s="665">
        <f t="shared" si="26"/>
        <v>336000</v>
      </c>
      <c r="CN8" s="655" t="s">
        <v>1015</v>
      </c>
      <c r="CO8" s="655" t="s">
        <v>297</v>
      </c>
      <c r="CP8" s="655" t="s">
        <v>438</v>
      </c>
      <c r="CQ8" s="655" t="s">
        <v>320</v>
      </c>
      <c r="CR8" s="721">
        <v>0</v>
      </c>
      <c r="CS8" s="721">
        <v>8993519</v>
      </c>
      <c r="CT8" s="721">
        <v>5423519</v>
      </c>
      <c r="CU8" s="721">
        <f t="shared" si="27"/>
        <v>0</v>
      </c>
      <c r="CV8" s="721">
        <f t="shared" si="28"/>
        <v>8993.5190000000002</v>
      </c>
      <c r="CW8" s="721">
        <f t="shared" si="29"/>
        <v>5423.5190000000002</v>
      </c>
      <c r="CY8" s="688" t="s">
        <v>501</v>
      </c>
      <c r="CZ8" s="689" t="s">
        <v>504</v>
      </c>
      <c r="DA8" s="688" t="s">
        <v>426</v>
      </c>
      <c r="DB8" s="689" t="s">
        <v>426</v>
      </c>
      <c r="DC8" s="690">
        <v>136873453</v>
      </c>
      <c r="DD8" s="721">
        <f t="shared" si="30"/>
        <v>136873.45300000001</v>
      </c>
      <c r="DF8" s="655" t="s">
        <v>1015</v>
      </c>
      <c r="DG8" s="655" t="s">
        <v>297</v>
      </c>
      <c r="DH8" s="655" t="s">
        <v>417</v>
      </c>
      <c r="DI8" s="655" t="s">
        <v>318</v>
      </c>
      <c r="DJ8" s="721">
        <v>0</v>
      </c>
      <c r="DK8" s="721">
        <v>20816460</v>
      </c>
      <c r="DL8" s="721">
        <v>39435360</v>
      </c>
      <c r="DM8" s="721">
        <f t="shared" si="31"/>
        <v>0</v>
      </c>
      <c r="DN8" s="721">
        <f t="shared" si="32"/>
        <v>20816.46</v>
      </c>
      <c r="DO8" s="721">
        <f t="shared" si="33"/>
        <v>39435.360000000001</v>
      </c>
      <c r="DQ8" s="655" t="s">
        <v>442</v>
      </c>
      <c r="DR8" s="655" t="s">
        <v>443</v>
      </c>
      <c r="DS8" s="655" t="s">
        <v>426</v>
      </c>
      <c r="DT8" s="655" t="s">
        <v>426</v>
      </c>
      <c r="DU8" s="691">
        <v>8012903</v>
      </c>
      <c r="DV8" s="691">
        <f t="shared" si="34"/>
        <v>8012.9030000000002</v>
      </c>
      <c r="DX8" s="655" t="s">
        <v>1015</v>
      </c>
      <c r="DY8" s="655" t="s">
        <v>297</v>
      </c>
      <c r="DZ8" s="655" t="s">
        <v>416</v>
      </c>
      <c r="EA8" s="655" t="s">
        <v>327</v>
      </c>
      <c r="EB8" s="691">
        <v>0</v>
      </c>
      <c r="EC8" s="691">
        <v>51794100</v>
      </c>
      <c r="ED8" s="691">
        <v>11331383</v>
      </c>
      <c r="EE8" s="691">
        <f t="shared" si="35"/>
        <v>0</v>
      </c>
      <c r="EF8" s="691">
        <f t="shared" si="36"/>
        <v>51794.1</v>
      </c>
      <c r="EG8" s="691">
        <f t="shared" si="37"/>
        <v>11331.383</v>
      </c>
    </row>
    <row r="9" spans="1:137" x14ac:dyDescent="0.2">
      <c r="A9" s="920" t="s">
        <v>1015</v>
      </c>
      <c r="B9" s="721" t="s">
        <v>297</v>
      </c>
      <c r="C9" s="920" t="s">
        <v>417</v>
      </c>
      <c r="D9" s="721" t="s">
        <v>318</v>
      </c>
      <c r="E9" s="721">
        <v>0</v>
      </c>
      <c r="F9" s="721">
        <v>2223780</v>
      </c>
      <c r="G9" s="721">
        <v>26685360</v>
      </c>
      <c r="H9" s="920">
        <f t="shared" si="7"/>
        <v>0</v>
      </c>
      <c r="I9" s="920">
        <f t="shared" si="8"/>
        <v>2223.7800000000002</v>
      </c>
      <c r="J9" s="920">
        <f t="shared" si="9"/>
        <v>26685.360000000001</v>
      </c>
      <c r="M9" s="655" t="s">
        <v>442</v>
      </c>
      <c r="N9" s="655" t="s">
        <v>443</v>
      </c>
      <c r="O9" s="655" t="s">
        <v>426</v>
      </c>
      <c r="P9" s="655" t="s">
        <v>426</v>
      </c>
      <c r="Q9" s="920">
        <v>4506134</v>
      </c>
      <c r="R9" s="721">
        <f t="shared" si="10"/>
        <v>4506.134</v>
      </c>
      <c r="T9" s="655" t="s">
        <v>1015</v>
      </c>
      <c r="U9" s="655" t="s">
        <v>297</v>
      </c>
      <c r="V9" s="664" t="s">
        <v>417</v>
      </c>
      <c r="W9" s="655" t="s">
        <v>318</v>
      </c>
      <c r="X9" s="920">
        <v>0</v>
      </c>
      <c r="Y9" s="920">
        <v>4447560</v>
      </c>
      <c r="Z9" s="920">
        <v>26685360</v>
      </c>
      <c r="AA9" s="920">
        <f t="shared" si="11"/>
        <v>0</v>
      </c>
      <c r="AB9" s="920">
        <f t="shared" si="12"/>
        <v>4447.5600000000004</v>
      </c>
      <c r="AC9" s="920">
        <f t="shared" si="13"/>
        <v>26685.360000000001</v>
      </c>
      <c r="AL9" s="655" t="s">
        <v>1015</v>
      </c>
      <c r="AM9" s="655" t="s">
        <v>297</v>
      </c>
      <c r="AN9" s="655" t="s">
        <v>438</v>
      </c>
      <c r="AO9" s="655" t="s">
        <v>320</v>
      </c>
      <c r="AP9" s="721">
        <v>0</v>
      </c>
      <c r="AQ9" s="721">
        <v>0</v>
      </c>
      <c r="AR9" s="721">
        <v>968159</v>
      </c>
      <c r="AS9" s="721">
        <f t="shared" si="15"/>
        <v>0</v>
      </c>
      <c r="AT9" s="721">
        <f t="shared" si="16"/>
        <v>0</v>
      </c>
      <c r="AU9" s="721">
        <f t="shared" si="17"/>
        <v>968.15899999999999</v>
      </c>
      <c r="BD9" s="688" t="s">
        <v>1015</v>
      </c>
      <c r="BE9" s="689" t="s">
        <v>297</v>
      </c>
      <c r="BF9" s="688" t="s">
        <v>417</v>
      </c>
      <c r="BG9" s="921" t="s">
        <v>318</v>
      </c>
      <c r="BH9" s="690">
        <v>0</v>
      </c>
      <c r="BI9" s="690">
        <v>8895120</v>
      </c>
      <c r="BJ9" s="690">
        <v>26685360</v>
      </c>
      <c r="BK9" s="690">
        <f t="shared" si="19"/>
        <v>0</v>
      </c>
      <c r="BL9" s="690">
        <f t="shared" si="20"/>
        <v>8895.1200000000008</v>
      </c>
      <c r="BM9" s="690">
        <f t="shared" si="21"/>
        <v>26685.360000000001</v>
      </c>
      <c r="BO9" s="676"/>
      <c r="BP9" s="677"/>
      <c r="BQ9" s="677"/>
      <c r="BR9" s="677"/>
      <c r="BS9" s="678">
        <f>SUM(BS3:BS8)</f>
        <v>77272673</v>
      </c>
      <c r="BT9" s="679">
        <f>SUM(BT3:BT8)</f>
        <v>77272.67300000001</v>
      </c>
      <c r="BV9" s="667" t="s">
        <v>1015</v>
      </c>
      <c r="BW9" s="663" t="s">
        <v>297</v>
      </c>
      <c r="BX9" s="668" t="s">
        <v>416</v>
      </c>
      <c r="BY9" s="663" t="s">
        <v>327</v>
      </c>
      <c r="BZ9" s="665">
        <v>0</v>
      </c>
      <c r="CA9" s="665">
        <v>11331383</v>
      </c>
      <c r="CB9" s="665">
        <v>11331383</v>
      </c>
      <c r="CC9" s="669">
        <f t="shared" si="23"/>
        <v>0</v>
      </c>
      <c r="CD9" s="669">
        <f t="shared" si="24"/>
        <v>11331.383</v>
      </c>
      <c r="CE9" s="670">
        <f t="shared" si="25"/>
        <v>11331.383</v>
      </c>
      <c r="CG9" s="688" t="s">
        <v>442</v>
      </c>
      <c r="CH9" s="688" t="s">
        <v>443</v>
      </c>
      <c r="CI9" s="688" t="s">
        <v>426</v>
      </c>
      <c r="CJ9" s="688" t="s">
        <v>426</v>
      </c>
      <c r="CK9" s="690">
        <v>20070470</v>
      </c>
      <c r="CL9" s="665">
        <f t="shared" si="26"/>
        <v>20070.47</v>
      </c>
      <c r="CN9" s="655" t="s">
        <v>1015</v>
      </c>
      <c r="CO9" s="655" t="s">
        <v>297</v>
      </c>
      <c r="CP9" s="655" t="s">
        <v>415</v>
      </c>
      <c r="CQ9" s="655" t="s">
        <v>317</v>
      </c>
      <c r="CR9" s="721">
        <v>0</v>
      </c>
      <c r="CS9" s="721">
        <v>957118356</v>
      </c>
      <c r="CT9" s="721">
        <v>432536095</v>
      </c>
      <c r="CU9" s="721">
        <f t="shared" si="27"/>
        <v>0</v>
      </c>
      <c r="CV9" s="721">
        <f t="shared" si="28"/>
        <v>957118.35600000003</v>
      </c>
      <c r="CW9" s="721">
        <f t="shared" si="29"/>
        <v>432536.09499999997</v>
      </c>
      <c r="DF9" s="655" t="s">
        <v>1015</v>
      </c>
      <c r="DG9" s="655" t="s">
        <v>297</v>
      </c>
      <c r="DH9" s="655" t="s">
        <v>415</v>
      </c>
      <c r="DI9" s="655" t="s">
        <v>317</v>
      </c>
      <c r="DJ9" s="721">
        <v>0</v>
      </c>
      <c r="DK9" s="721">
        <v>763002972</v>
      </c>
      <c r="DL9" s="721">
        <v>985610295</v>
      </c>
      <c r="DM9" s="721">
        <f t="shared" si="31"/>
        <v>0</v>
      </c>
      <c r="DN9" s="721">
        <f t="shared" si="32"/>
        <v>763002.97199999995</v>
      </c>
      <c r="DO9" s="721">
        <f t="shared" si="33"/>
        <v>985610.29500000004</v>
      </c>
      <c r="DQ9" s="655" t="s">
        <v>501</v>
      </c>
      <c r="DR9" s="655" t="s">
        <v>504</v>
      </c>
      <c r="DS9" s="655" t="s">
        <v>426</v>
      </c>
      <c r="DT9" s="655" t="s">
        <v>426</v>
      </c>
      <c r="DU9" s="691">
        <v>19640130</v>
      </c>
      <c r="DV9" s="691">
        <f t="shared" si="34"/>
        <v>19640.13</v>
      </c>
      <c r="DX9" s="655" t="s">
        <v>1015</v>
      </c>
      <c r="DY9" s="655" t="s">
        <v>297</v>
      </c>
      <c r="DZ9" s="655" t="s">
        <v>417</v>
      </c>
      <c r="EA9" s="655" t="s">
        <v>318</v>
      </c>
      <c r="EB9" s="691">
        <v>0</v>
      </c>
      <c r="EC9" s="691">
        <v>39435360</v>
      </c>
      <c r="ED9" s="691">
        <v>24540240</v>
      </c>
      <c r="EE9" s="691">
        <f t="shared" si="35"/>
        <v>0</v>
      </c>
      <c r="EF9" s="691">
        <f t="shared" si="36"/>
        <v>39435.360000000001</v>
      </c>
      <c r="EG9" s="691">
        <f t="shared" si="37"/>
        <v>24540.240000000002</v>
      </c>
    </row>
    <row r="10" spans="1:137" x14ac:dyDescent="0.2">
      <c r="A10" s="920" t="s">
        <v>1015</v>
      </c>
      <c r="B10" s="721" t="s">
        <v>297</v>
      </c>
      <c r="C10" s="920" t="s">
        <v>438</v>
      </c>
      <c r="D10" s="721" t="s">
        <v>320</v>
      </c>
      <c r="E10" s="721">
        <v>0</v>
      </c>
      <c r="F10" s="721">
        <v>0</v>
      </c>
      <c r="G10" s="721">
        <v>775665</v>
      </c>
      <c r="H10" s="920">
        <f t="shared" si="7"/>
        <v>0</v>
      </c>
      <c r="I10" s="920">
        <f t="shared" si="8"/>
        <v>0</v>
      </c>
      <c r="J10" s="920">
        <f t="shared" si="9"/>
        <v>775.66499999999996</v>
      </c>
      <c r="T10" s="655" t="s">
        <v>1015</v>
      </c>
      <c r="U10" s="655" t="s">
        <v>297</v>
      </c>
      <c r="V10" s="664" t="s">
        <v>438</v>
      </c>
      <c r="W10" s="655" t="s">
        <v>320</v>
      </c>
      <c r="X10" s="920">
        <v>0</v>
      </c>
      <c r="Y10" s="920">
        <v>0</v>
      </c>
      <c r="Z10" s="920">
        <v>968159</v>
      </c>
      <c r="AA10" s="920">
        <f t="shared" si="11"/>
        <v>0</v>
      </c>
      <c r="AB10" s="920">
        <f t="shared" si="12"/>
        <v>0</v>
      </c>
      <c r="AC10" s="920">
        <f t="shared" si="13"/>
        <v>968.15899999999999</v>
      </c>
      <c r="AL10" s="655" t="s">
        <v>1015</v>
      </c>
      <c r="AM10" s="655" t="s">
        <v>297</v>
      </c>
      <c r="AN10" s="655" t="s">
        <v>417</v>
      </c>
      <c r="AO10" s="655" t="s">
        <v>318</v>
      </c>
      <c r="AP10" s="721">
        <v>0</v>
      </c>
      <c r="AQ10" s="721">
        <v>6671340</v>
      </c>
      <c r="AR10" s="721">
        <v>26685360</v>
      </c>
      <c r="AS10" s="721">
        <f t="shared" si="15"/>
        <v>0</v>
      </c>
      <c r="AT10" s="721">
        <f t="shared" si="16"/>
        <v>6671.34</v>
      </c>
      <c r="AU10" s="721">
        <f t="shared" si="17"/>
        <v>26685.360000000001</v>
      </c>
      <c r="BD10" s="688" t="s">
        <v>1015</v>
      </c>
      <c r="BE10" s="689" t="s">
        <v>297</v>
      </c>
      <c r="BF10" s="688" t="s">
        <v>416</v>
      </c>
      <c r="BG10" s="921" t="s">
        <v>327</v>
      </c>
      <c r="BH10" s="690">
        <v>0</v>
      </c>
      <c r="BI10" s="690">
        <v>11331383</v>
      </c>
      <c r="BJ10" s="690">
        <v>11331383</v>
      </c>
      <c r="BK10" s="690">
        <f t="shared" si="19"/>
        <v>0</v>
      </c>
      <c r="BL10" s="690">
        <f t="shared" si="20"/>
        <v>11331.383</v>
      </c>
      <c r="BM10" s="690">
        <f t="shared" si="21"/>
        <v>11331.383</v>
      </c>
      <c r="BV10" s="667" t="s">
        <v>1015</v>
      </c>
      <c r="BW10" s="663" t="s">
        <v>297</v>
      </c>
      <c r="BX10" s="668" t="s">
        <v>438</v>
      </c>
      <c r="BY10" s="663" t="s">
        <v>320</v>
      </c>
      <c r="BZ10" s="665">
        <v>0</v>
      </c>
      <c r="CA10" s="665">
        <v>8993519</v>
      </c>
      <c r="CB10" s="665">
        <v>4538159</v>
      </c>
      <c r="CC10" s="669">
        <f t="shared" si="23"/>
        <v>0</v>
      </c>
      <c r="CD10" s="669">
        <f t="shared" si="24"/>
        <v>8993.5190000000002</v>
      </c>
      <c r="CE10" s="670">
        <f t="shared" si="25"/>
        <v>4538.1589999999997</v>
      </c>
      <c r="CL10" s="669">
        <f>SUM(CL3:CL9)</f>
        <v>687013.86100000003</v>
      </c>
      <c r="CN10" s="655" t="s">
        <v>1015</v>
      </c>
      <c r="CO10" s="655" t="s">
        <v>297</v>
      </c>
      <c r="CP10" s="655" t="s">
        <v>416</v>
      </c>
      <c r="CQ10" s="655" t="s">
        <v>327</v>
      </c>
      <c r="CR10" s="721">
        <v>0</v>
      </c>
      <c r="CS10" s="721">
        <v>11331383</v>
      </c>
      <c r="CT10" s="721">
        <v>11331383</v>
      </c>
      <c r="CU10" s="721">
        <f t="shared" si="27"/>
        <v>0</v>
      </c>
      <c r="CV10" s="721">
        <f t="shared" si="28"/>
        <v>11331.383</v>
      </c>
      <c r="CW10" s="721">
        <f t="shared" si="29"/>
        <v>11331.383</v>
      </c>
      <c r="DF10" s="655" t="s">
        <v>1015</v>
      </c>
      <c r="DG10" s="655" t="s">
        <v>297</v>
      </c>
      <c r="DH10" s="655" t="s">
        <v>416</v>
      </c>
      <c r="DI10" s="655" t="s">
        <v>327</v>
      </c>
      <c r="DJ10" s="721">
        <v>0</v>
      </c>
      <c r="DK10" s="721">
        <v>11331383</v>
      </c>
      <c r="DL10" s="721">
        <v>11331383</v>
      </c>
      <c r="DM10" s="721">
        <f t="shared" si="31"/>
        <v>0</v>
      </c>
      <c r="DN10" s="721">
        <f t="shared" si="32"/>
        <v>11331.383</v>
      </c>
      <c r="DO10" s="721">
        <f t="shared" si="33"/>
        <v>11331.383</v>
      </c>
      <c r="DQ10" s="655" t="s">
        <v>613</v>
      </c>
      <c r="DR10" s="655" t="s">
        <v>614</v>
      </c>
      <c r="DS10" s="655" t="s">
        <v>426</v>
      </c>
      <c r="DT10" s="655" t="s">
        <v>426</v>
      </c>
      <c r="DU10" s="691">
        <v>31657700</v>
      </c>
      <c r="DV10" s="691">
        <f t="shared" si="34"/>
        <v>31657.7</v>
      </c>
      <c r="DX10" s="655" t="s">
        <v>1015</v>
      </c>
      <c r="DY10" s="655" t="s">
        <v>297</v>
      </c>
      <c r="DZ10" s="655" t="s">
        <v>426</v>
      </c>
      <c r="EA10" s="655" t="s">
        <v>426</v>
      </c>
      <c r="EB10" s="691">
        <v>0</v>
      </c>
      <c r="EC10" s="691">
        <v>0</v>
      </c>
      <c r="ED10" s="691">
        <v>0</v>
      </c>
      <c r="EE10" s="691">
        <f t="shared" si="35"/>
        <v>0</v>
      </c>
      <c r="EF10" s="691">
        <f t="shared" si="36"/>
        <v>0</v>
      </c>
      <c r="EG10" s="691">
        <f t="shared" si="37"/>
        <v>0</v>
      </c>
    </row>
    <row r="11" spans="1:137" x14ac:dyDescent="0.2">
      <c r="A11" s="920" t="s">
        <v>1015</v>
      </c>
      <c r="B11" s="721" t="s">
        <v>297</v>
      </c>
      <c r="C11" s="920" t="s">
        <v>426</v>
      </c>
      <c r="D11" s="721" t="s">
        <v>426</v>
      </c>
      <c r="E11" s="721">
        <v>0</v>
      </c>
      <c r="F11" s="721">
        <v>0</v>
      </c>
      <c r="G11" s="721">
        <v>0</v>
      </c>
      <c r="H11" s="920">
        <f t="shared" si="7"/>
        <v>0</v>
      </c>
      <c r="I11" s="920">
        <f t="shared" si="8"/>
        <v>0</v>
      </c>
      <c r="J11" s="920">
        <f t="shared" si="9"/>
        <v>0</v>
      </c>
      <c r="T11" s="655" t="s">
        <v>1015</v>
      </c>
      <c r="U11" s="655" t="s">
        <v>297</v>
      </c>
      <c r="V11" s="664" t="s">
        <v>416</v>
      </c>
      <c r="W11" s="655" t="s">
        <v>327</v>
      </c>
      <c r="X11" s="920">
        <v>0</v>
      </c>
      <c r="Y11" s="920">
        <v>11331383</v>
      </c>
      <c r="Z11" s="920">
        <v>11331383</v>
      </c>
      <c r="AA11" s="920">
        <f t="shared" si="11"/>
        <v>0</v>
      </c>
      <c r="AB11" s="920">
        <f t="shared" si="12"/>
        <v>11331.383</v>
      </c>
      <c r="AC11" s="920">
        <f t="shared" si="13"/>
        <v>11331.383</v>
      </c>
      <c r="AL11" s="655" t="s">
        <v>1015</v>
      </c>
      <c r="AM11" s="655" t="s">
        <v>297</v>
      </c>
      <c r="AN11" s="655" t="s">
        <v>426</v>
      </c>
      <c r="AO11" s="655" t="s">
        <v>426</v>
      </c>
      <c r="AP11" s="721">
        <v>0</v>
      </c>
      <c r="AQ11" s="721">
        <v>0</v>
      </c>
      <c r="AR11" s="721">
        <v>0</v>
      </c>
      <c r="AS11" s="721">
        <f t="shared" si="15"/>
        <v>0</v>
      </c>
      <c r="AT11" s="721">
        <f t="shared" si="16"/>
        <v>0</v>
      </c>
      <c r="AU11" s="721">
        <f t="shared" si="17"/>
        <v>0</v>
      </c>
      <c r="BD11" s="688" t="s">
        <v>1015</v>
      </c>
      <c r="BE11" s="689" t="s">
        <v>297</v>
      </c>
      <c r="BF11" s="688" t="s">
        <v>426</v>
      </c>
      <c r="BG11" s="921" t="s">
        <v>426</v>
      </c>
      <c r="BH11" s="690">
        <v>0</v>
      </c>
      <c r="BI11" s="690">
        <v>0</v>
      </c>
      <c r="BJ11" s="690">
        <v>0</v>
      </c>
      <c r="BK11" s="690">
        <f t="shared" si="19"/>
        <v>0</v>
      </c>
      <c r="BL11" s="690">
        <f t="shared" si="20"/>
        <v>0</v>
      </c>
      <c r="BM11" s="690">
        <f t="shared" si="21"/>
        <v>0</v>
      </c>
      <c r="BV11" s="667" t="s">
        <v>1015</v>
      </c>
      <c r="BW11" s="663" t="s">
        <v>297</v>
      </c>
      <c r="BX11" s="668" t="s">
        <v>437</v>
      </c>
      <c r="BY11" s="663" t="s">
        <v>319</v>
      </c>
      <c r="BZ11" s="665">
        <v>0</v>
      </c>
      <c r="CA11" s="665">
        <v>0</v>
      </c>
      <c r="CB11" s="665">
        <v>0</v>
      </c>
      <c r="CC11" s="669">
        <f t="shared" si="23"/>
        <v>0</v>
      </c>
      <c r="CD11" s="669">
        <f t="shared" si="24"/>
        <v>0</v>
      </c>
      <c r="CE11" s="670">
        <f t="shared" si="25"/>
        <v>0</v>
      </c>
      <c r="CL11" s="691"/>
      <c r="CN11" s="655" t="s">
        <v>1015</v>
      </c>
      <c r="CO11" s="655" t="s">
        <v>297</v>
      </c>
      <c r="CP11" s="655" t="s">
        <v>417</v>
      </c>
      <c r="CQ11" s="655" t="s">
        <v>318</v>
      </c>
      <c r="CR11" s="721">
        <v>0</v>
      </c>
      <c r="CS11" s="721">
        <v>28435360</v>
      </c>
      <c r="CT11" s="721">
        <v>17092680</v>
      </c>
      <c r="CU11" s="721">
        <f t="shared" si="27"/>
        <v>0</v>
      </c>
      <c r="CV11" s="721">
        <f t="shared" si="28"/>
        <v>28435.360000000001</v>
      </c>
      <c r="CW11" s="721">
        <f t="shared" si="29"/>
        <v>17092.68</v>
      </c>
      <c r="DF11" s="655" t="s">
        <v>1015</v>
      </c>
      <c r="DG11" s="655" t="s">
        <v>297</v>
      </c>
      <c r="DH11" s="655" t="s">
        <v>437</v>
      </c>
      <c r="DI11" s="655" t="s">
        <v>319</v>
      </c>
      <c r="DJ11" s="721">
        <v>0</v>
      </c>
      <c r="DK11" s="721">
        <v>0</v>
      </c>
      <c r="DL11" s="721">
        <v>0</v>
      </c>
      <c r="DM11" s="721">
        <f t="shared" si="31"/>
        <v>0</v>
      </c>
      <c r="DN11" s="721">
        <f t="shared" si="32"/>
        <v>0</v>
      </c>
      <c r="DO11" s="721">
        <f t="shared" si="33"/>
        <v>0</v>
      </c>
      <c r="DX11" s="655" t="s">
        <v>1015</v>
      </c>
      <c r="DY11" s="655" t="s">
        <v>297</v>
      </c>
      <c r="DZ11" s="655" t="s">
        <v>437</v>
      </c>
      <c r="EA11" s="655" t="s">
        <v>319</v>
      </c>
      <c r="EB11" s="691">
        <v>0</v>
      </c>
      <c r="EC11" s="691">
        <v>0</v>
      </c>
      <c r="ED11" s="691">
        <v>0</v>
      </c>
      <c r="EE11" s="691">
        <f t="shared" si="35"/>
        <v>0</v>
      </c>
      <c r="EF11" s="691">
        <f t="shared" si="36"/>
        <v>0</v>
      </c>
      <c r="EG11" s="691">
        <f t="shared" si="37"/>
        <v>0</v>
      </c>
    </row>
    <row r="12" spans="1:137" x14ac:dyDescent="0.2">
      <c r="A12" s="920" t="s">
        <v>411</v>
      </c>
      <c r="B12" s="721" t="s">
        <v>433</v>
      </c>
      <c r="C12" s="920" t="s">
        <v>436</v>
      </c>
      <c r="D12" s="721" t="s">
        <v>265</v>
      </c>
      <c r="E12" s="721">
        <v>1120879000</v>
      </c>
      <c r="F12" s="721">
        <v>0</v>
      </c>
      <c r="G12" s="721">
        <v>0</v>
      </c>
      <c r="H12" s="920">
        <f t="shared" si="7"/>
        <v>1120879</v>
      </c>
      <c r="I12" s="920">
        <f t="shared" si="8"/>
        <v>0</v>
      </c>
      <c r="J12" s="920">
        <f t="shared" si="9"/>
        <v>0</v>
      </c>
      <c r="T12" s="655" t="s">
        <v>1015</v>
      </c>
      <c r="U12" s="655" t="s">
        <v>297</v>
      </c>
      <c r="V12" s="664" t="s">
        <v>415</v>
      </c>
      <c r="W12" s="655" t="s">
        <v>317</v>
      </c>
      <c r="X12" s="920">
        <v>0</v>
      </c>
      <c r="Y12" s="920">
        <v>0</v>
      </c>
      <c r="Z12" s="920">
        <v>439132308</v>
      </c>
      <c r="AA12" s="920">
        <f t="shared" si="11"/>
        <v>0</v>
      </c>
      <c r="AB12" s="920">
        <f t="shared" si="12"/>
        <v>0</v>
      </c>
      <c r="AC12" s="920">
        <f t="shared" si="13"/>
        <v>439132.30800000002</v>
      </c>
      <c r="AL12" s="655" t="s">
        <v>1015</v>
      </c>
      <c r="AM12" s="655" t="s">
        <v>297</v>
      </c>
      <c r="AN12" s="655" t="s">
        <v>415</v>
      </c>
      <c r="AO12" s="655" t="s">
        <v>317</v>
      </c>
      <c r="AP12" s="721">
        <v>0</v>
      </c>
      <c r="AQ12" s="721">
        <v>0</v>
      </c>
      <c r="AR12" s="721">
        <v>439132308</v>
      </c>
      <c r="AS12" s="721">
        <f t="shared" si="15"/>
        <v>0</v>
      </c>
      <c r="AT12" s="721">
        <f t="shared" si="16"/>
        <v>0</v>
      </c>
      <c r="AU12" s="721">
        <f t="shared" si="17"/>
        <v>439132.30800000002</v>
      </c>
      <c r="BD12" s="688" t="s">
        <v>1015</v>
      </c>
      <c r="BE12" s="689" t="s">
        <v>297</v>
      </c>
      <c r="BF12" s="688" t="s">
        <v>438</v>
      </c>
      <c r="BG12" s="921" t="s">
        <v>320</v>
      </c>
      <c r="BH12" s="690">
        <v>0</v>
      </c>
      <c r="BI12" s="690">
        <v>0</v>
      </c>
      <c r="BJ12" s="690">
        <v>8993519</v>
      </c>
      <c r="BK12" s="690">
        <f t="shared" si="19"/>
        <v>0</v>
      </c>
      <c r="BL12" s="690">
        <f t="shared" si="20"/>
        <v>0</v>
      </c>
      <c r="BM12" s="690">
        <f t="shared" si="21"/>
        <v>8993.5190000000002</v>
      </c>
      <c r="BV12" s="667" t="s">
        <v>1015</v>
      </c>
      <c r="BW12" s="663" t="s">
        <v>297</v>
      </c>
      <c r="BX12" s="668" t="s">
        <v>417</v>
      </c>
      <c r="BY12" s="663" t="s">
        <v>318</v>
      </c>
      <c r="BZ12" s="665">
        <v>0</v>
      </c>
      <c r="CA12" s="665">
        <v>34685360</v>
      </c>
      <c r="CB12" s="665">
        <v>12118900</v>
      </c>
      <c r="CC12" s="669">
        <f t="shared" si="23"/>
        <v>0</v>
      </c>
      <c r="CD12" s="669">
        <f t="shared" si="24"/>
        <v>34685.360000000001</v>
      </c>
      <c r="CE12" s="670">
        <f t="shared" si="25"/>
        <v>12118.9</v>
      </c>
      <c r="CN12" s="655" t="s">
        <v>1015</v>
      </c>
      <c r="CO12" s="655" t="s">
        <v>297</v>
      </c>
      <c r="CP12" s="655" t="s">
        <v>426</v>
      </c>
      <c r="CQ12" s="655" t="s">
        <v>426</v>
      </c>
      <c r="CR12" s="721">
        <v>0</v>
      </c>
      <c r="CS12" s="721">
        <v>0</v>
      </c>
      <c r="CT12" s="721">
        <v>0</v>
      </c>
      <c r="CU12" s="721">
        <f t="shared" si="27"/>
        <v>0</v>
      </c>
      <c r="CV12" s="721">
        <f t="shared" si="28"/>
        <v>0</v>
      </c>
      <c r="CW12" s="721">
        <f t="shared" si="29"/>
        <v>0</v>
      </c>
      <c r="DF12" s="655" t="s">
        <v>1015</v>
      </c>
      <c r="DG12" s="655" t="s">
        <v>297</v>
      </c>
      <c r="DH12" s="655" t="s">
        <v>438</v>
      </c>
      <c r="DI12" s="655" t="s">
        <v>320</v>
      </c>
      <c r="DJ12" s="721">
        <v>0</v>
      </c>
      <c r="DK12" s="721">
        <v>5423519</v>
      </c>
      <c r="DL12" s="721">
        <v>8993519</v>
      </c>
      <c r="DM12" s="721">
        <f t="shared" si="31"/>
        <v>0</v>
      </c>
      <c r="DN12" s="721">
        <f t="shared" si="32"/>
        <v>5423.5190000000002</v>
      </c>
      <c r="DO12" s="721">
        <f t="shared" si="33"/>
        <v>8993.5190000000002</v>
      </c>
      <c r="DX12" s="655" t="s">
        <v>1015</v>
      </c>
      <c r="DY12" s="655" t="s">
        <v>297</v>
      </c>
      <c r="DZ12" s="655" t="s">
        <v>415</v>
      </c>
      <c r="EA12" s="655" t="s">
        <v>317</v>
      </c>
      <c r="EB12" s="691">
        <v>0</v>
      </c>
      <c r="EC12" s="691">
        <v>991459608</v>
      </c>
      <c r="ED12" s="691">
        <v>820606185</v>
      </c>
      <c r="EE12" s="691">
        <f t="shared" si="35"/>
        <v>0</v>
      </c>
      <c r="EF12" s="691">
        <f t="shared" si="36"/>
        <v>991459.60800000001</v>
      </c>
      <c r="EG12" s="691">
        <f t="shared" si="37"/>
        <v>820606.18500000006</v>
      </c>
    </row>
    <row r="13" spans="1:137" x14ac:dyDescent="0.2">
      <c r="A13" s="920" t="s">
        <v>411</v>
      </c>
      <c r="B13" s="721" t="s">
        <v>433</v>
      </c>
      <c r="C13" s="920" t="s">
        <v>412</v>
      </c>
      <c r="D13" s="721" t="s">
        <v>413</v>
      </c>
      <c r="E13" s="721">
        <v>240000000</v>
      </c>
      <c r="F13" s="721">
        <v>0</v>
      </c>
      <c r="G13" s="721">
        <v>0</v>
      </c>
      <c r="H13" s="920">
        <f t="shared" si="7"/>
        <v>240000</v>
      </c>
      <c r="I13" s="920">
        <f t="shared" si="8"/>
        <v>0</v>
      </c>
      <c r="J13" s="920">
        <f t="shared" si="9"/>
        <v>0</v>
      </c>
      <c r="T13" s="655" t="s">
        <v>411</v>
      </c>
      <c r="U13" s="655" t="s">
        <v>433</v>
      </c>
      <c r="V13" s="664" t="s">
        <v>436</v>
      </c>
      <c r="W13" s="655" t="s">
        <v>265</v>
      </c>
      <c r="X13" s="920">
        <v>1120879000</v>
      </c>
      <c r="Y13" s="920">
        <v>0</v>
      </c>
      <c r="Z13" s="920">
        <v>0</v>
      </c>
      <c r="AA13" s="920">
        <f t="shared" si="11"/>
        <v>1120879</v>
      </c>
      <c r="AB13" s="920">
        <f t="shared" si="12"/>
        <v>0</v>
      </c>
      <c r="AC13" s="920">
        <f t="shared" si="13"/>
        <v>0</v>
      </c>
      <c r="AL13" s="655" t="s">
        <v>411</v>
      </c>
      <c r="AM13" s="655" t="s">
        <v>433</v>
      </c>
      <c r="AN13" s="655" t="s">
        <v>436</v>
      </c>
      <c r="AO13" s="655" t="s">
        <v>265</v>
      </c>
      <c r="AP13" s="721">
        <v>1120879000</v>
      </c>
      <c r="AQ13" s="721">
        <v>0</v>
      </c>
      <c r="AR13" s="721">
        <v>0</v>
      </c>
      <c r="AS13" s="721">
        <f t="shared" si="15"/>
        <v>1120879</v>
      </c>
      <c r="AT13" s="721">
        <f t="shared" si="16"/>
        <v>0</v>
      </c>
      <c r="AU13" s="721">
        <f t="shared" si="17"/>
        <v>0</v>
      </c>
      <c r="BD13" s="688" t="s">
        <v>411</v>
      </c>
      <c r="BE13" s="689" t="s">
        <v>433</v>
      </c>
      <c r="BF13" s="688" t="s">
        <v>436</v>
      </c>
      <c r="BG13" s="921" t="s">
        <v>265</v>
      </c>
      <c r="BH13" s="690">
        <v>1120879000</v>
      </c>
      <c r="BI13" s="690">
        <v>0</v>
      </c>
      <c r="BJ13" s="690">
        <v>0</v>
      </c>
      <c r="BK13" s="690">
        <f t="shared" si="19"/>
        <v>1120879</v>
      </c>
      <c r="BL13" s="690">
        <f t="shared" si="20"/>
        <v>0</v>
      </c>
      <c r="BM13" s="690">
        <f t="shared" si="21"/>
        <v>0</v>
      </c>
      <c r="BV13" s="667" t="s">
        <v>411</v>
      </c>
      <c r="BW13" s="663" t="s">
        <v>433</v>
      </c>
      <c r="BX13" s="668" t="s">
        <v>436</v>
      </c>
      <c r="BY13" s="663" t="s">
        <v>265</v>
      </c>
      <c r="BZ13" s="665">
        <v>1120879000</v>
      </c>
      <c r="CA13" s="665">
        <v>0</v>
      </c>
      <c r="CB13" s="665">
        <v>0</v>
      </c>
      <c r="CC13" s="669">
        <f t="shared" si="23"/>
        <v>1120879</v>
      </c>
      <c r="CD13" s="669">
        <f t="shared" si="24"/>
        <v>0</v>
      </c>
      <c r="CE13" s="670">
        <f t="shared" si="25"/>
        <v>0</v>
      </c>
      <c r="CN13" s="655" t="s">
        <v>411</v>
      </c>
      <c r="CO13" s="655" t="s">
        <v>433</v>
      </c>
      <c r="CP13" s="655" t="s">
        <v>436</v>
      </c>
      <c r="CQ13" s="655" t="s">
        <v>265</v>
      </c>
      <c r="CR13" s="721">
        <v>1164879000</v>
      </c>
      <c r="CS13" s="721">
        <v>0</v>
      </c>
      <c r="CT13" s="721">
        <v>0</v>
      </c>
      <c r="CU13" s="721">
        <f t="shared" si="27"/>
        <v>1164879</v>
      </c>
      <c r="CV13" s="721">
        <f t="shared" si="28"/>
        <v>0</v>
      </c>
      <c r="CW13" s="721">
        <f t="shared" si="29"/>
        <v>0</v>
      </c>
      <c r="DF13" s="655" t="s">
        <v>411</v>
      </c>
      <c r="DG13" s="655" t="s">
        <v>433</v>
      </c>
      <c r="DH13" s="655" t="s">
        <v>436</v>
      </c>
      <c r="DI13" s="655" t="s">
        <v>265</v>
      </c>
      <c r="DJ13" s="721">
        <v>1164879000</v>
      </c>
      <c r="DK13" s="721">
        <v>0</v>
      </c>
      <c r="DL13" s="721">
        <v>0</v>
      </c>
      <c r="DM13" s="721">
        <f t="shared" si="31"/>
        <v>1164879</v>
      </c>
      <c r="DN13" s="721">
        <f t="shared" si="32"/>
        <v>0</v>
      </c>
      <c r="DO13" s="721">
        <f t="shared" si="33"/>
        <v>0</v>
      </c>
      <c r="DX13" s="655" t="s">
        <v>411</v>
      </c>
      <c r="DY13" s="655" t="s">
        <v>433</v>
      </c>
      <c r="DZ13" s="655" t="s">
        <v>436</v>
      </c>
      <c r="EA13" s="655" t="s">
        <v>265</v>
      </c>
      <c r="EB13" s="691">
        <v>1154879000</v>
      </c>
      <c r="EC13" s="691">
        <v>0</v>
      </c>
      <c r="ED13" s="691">
        <v>0</v>
      </c>
      <c r="EE13" s="691">
        <f t="shared" si="35"/>
        <v>1154879</v>
      </c>
      <c r="EF13" s="691">
        <f t="shared" si="36"/>
        <v>0</v>
      </c>
      <c r="EG13" s="691">
        <f t="shared" si="37"/>
        <v>0</v>
      </c>
    </row>
    <row r="14" spans="1:137" x14ac:dyDescent="0.2">
      <c r="A14" s="920" t="s">
        <v>411</v>
      </c>
      <c r="B14" s="721" t="s">
        <v>433</v>
      </c>
      <c r="C14" s="920" t="s">
        <v>434</v>
      </c>
      <c r="D14" s="721" t="s">
        <v>435</v>
      </c>
      <c r="E14" s="721">
        <v>140000000</v>
      </c>
      <c r="F14" s="721">
        <v>0</v>
      </c>
      <c r="G14" s="721">
        <v>0</v>
      </c>
      <c r="H14" s="920">
        <f t="shared" si="7"/>
        <v>140000</v>
      </c>
      <c r="I14" s="920">
        <f t="shared" si="8"/>
        <v>0</v>
      </c>
      <c r="J14" s="920">
        <f t="shared" si="9"/>
        <v>0</v>
      </c>
      <c r="T14" s="655" t="s">
        <v>411</v>
      </c>
      <c r="U14" s="655" t="s">
        <v>433</v>
      </c>
      <c r="V14" s="664" t="s">
        <v>412</v>
      </c>
      <c r="W14" s="655" t="s">
        <v>413</v>
      </c>
      <c r="X14" s="920">
        <v>240000000</v>
      </c>
      <c r="Y14" s="920">
        <v>0</v>
      </c>
      <c r="Z14" s="920">
        <v>0</v>
      </c>
      <c r="AA14" s="920">
        <f t="shared" si="11"/>
        <v>240000</v>
      </c>
      <c r="AB14" s="920">
        <f t="shared" si="12"/>
        <v>0</v>
      </c>
      <c r="AC14" s="920">
        <f t="shared" si="13"/>
        <v>0</v>
      </c>
      <c r="AL14" s="655" t="s">
        <v>411</v>
      </c>
      <c r="AM14" s="655" t="s">
        <v>433</v>
      </c>
      <c r="AN14" s="655" t="s">
        <v>412</v>
      </c>
      <c r="AO14" s="655" t="s">
        <v>413</v>
      </c>
      <c r="AP14" s="721">
        <v>240000000</v>
      </c>
      <c r="AQ14" s="721">
        <v>0</v>
      </c>
      <c r="AR14" s="721">
        <v>0</v>
      </c>
      <c r="AS14" s="721">
        <f t="shared" si="15"/>
        <v>240000</v>
      </c>
      <c r="AT14" s="721">
        <f t="shared" si="16"/>
        <v>0</v>
      </c>
      <c r="AU14" s="721">
        <f t="shared" si="17"/>
        <v>0</v>
      </c>
      <c r="BD14" s="688" t="s">
        <v>411</v>
      </c>
      <c r="BE14" s="689" t="s">
        <v>433</v>
      </c>
      <c r="BF14" s="688" t="s">
        <v>412</v>
      </c>
      <c r="BG14" s="921" t="s">
        <v>413</v>
      </c>
      <c r="BH14" s="690">
        <v>240000000</v>
      </c>
      <c r="BI14" s="690">
        <v>0</v>
      </c>
      <c r="BJ14" s="690">
        <v>0</v>
      </c>
      <c r="BK14" s="690">
        <f t="shared" si="19"/>
        <v>240000</v>
      </c>
      <c r="BL14" s="690">
        <f t="shared" si="20"/>
        <v>0</v>
      </c>
      <c r="BM14" s="690">
        <f t="shared" si="21"/>
        <v>0</v>
      </c>
      <c r="BV14" s="667" t="s">
        <v>411</v>
      </c>
      <c r="BW14" s="663" t="s">
        <v>433</v>
      </c>
      <c r="BX14" s="668" t="s">
        <v>412</v>
      </c>
      <c r="BY14" s="663" t="s">
        <v>413</v>
      </c>
      <c r="BZ14" s="665">
        <v>240000000</v>
      </c>
      <c r="CA14" s="665">
        <v>0</v>
      </c>
      <c r="CB14" s="665">
        <v>0</v>
      </c>
      <c r="CC14" s="669">
        <f t="shared" si="23"/>
        <v>240000</v>
      </c>
      <c r="CD14" s="669">
        <f t="shared" si="24"/>
        <v>0</v>
      </c>
      <c r="CE14" s="670">
        <f t="shared" si="25"/>
        <v>0</v>
      </c>
      <c r="CN14" s="655" t="s">
        <v>411</v>
      </c>
      <c r="CO14" s="655" t="s">
        <v>433</v>
      </c>
      <c r="CP14" s="655" t="s">
        <v>412</v>
      </c>
      <c r="CQ14" s="655" t="s">
        <v>413</v>
      </c>
      <c r="CR14" s="721">
        <v>240000000</v>
      </c>
      <c r="CS14" s="721">
        <v>0</v>
      </c>
      <c r="CT14" s="721">
        <v>0</v>
      </c>
      <c r="CU14" s="721">
        <f t="shared" si="27"/>
        <v>240000</v>
      </c>
      <c r="CV14" s="721">
        <f t="shared" si="28"/>
        <v>0</v>
      </c>
      <c r="CW14" s="721">
        <f t="shared" si="29"/>
        <v>0</v>
      </c>
      <c r="DF14" s="655" t="s">
        <v>411</v>
      </c>
      <c r="DG14" s="655" t="s">
        <v>433</v>
      </c>
      <c r="DH14" s="655" t="s">
        <v>412</v>
      </c>
      <c r="DI14" s="655" t="s">
        <v>413</v>
      </c>
      <c r="DJ14" s="721">
        <v>240000000</v>
      </c>
      <c r="DK14" s="721">
        <v>0</v>
      </c>
      <c r="DL14" s="721">
        <v>0</v>
      </c>
      <c r="DM14" s="721">
        <f t="shared" si="31"/>
        <v>240000</v>
      </c>
      <c r="DN14" s="721">
        <f t="shared" si="32"/>
        <v>0</v>
      </c>
      <c r="DO14" s="721">
        <f t="shared" si="33"/>
        <v>0</v>
      </c>
      <c r="DX14" s="655" t="s">
        <v>411</v>
      </c>
      <c r="DY14" s="655" t="s">
        <v>433</v>
      </c>
      <c r="DZ14" s="655" t="s">
        <v>412</v>
      </c>
      <c r="EA14" s="655" t="s">
        <v>413</v>
      </c>
      <c r="EB14" s="691">
        <v>341000000</v>
      </c>
      <c r="EC14" s="691">
        <v>0</v>
      </c>
      <c r="ED14" s="691">
        <v>0</v>
      </c>
      <c r="EE14" s="691">
        <f t="shared" si="35"/>
        <v>341000</v>
      </c>
      <c r="EF14" s="691">
        <f t="shared" si="36"/>
        <v>0</v>
      </c>
      <c r="EG14" s="691">
        <f t="shared" si="37"/>
        <v>0</v>
      </c>
    </row>
    <row r="15" spans="1:137" x14ac:dyDescent="0.2">
      <c r="A15" s="920" t="s">
        <v>411</v>
      </c>
      <c r="B15" s="721" t="s">
        <v>433</v>
      </c>
      <c r="C15" s="920" t="s">
        <v>636</v>
      </c>
      <c r="D15" s="721" t="s">
        <v>637</v>
      </c>
      <c r="E15" s="721">
        <v>71812000</v>
      </c>
      <c r="F15" s="721">
        <v>0</v>
      </c>
      <c r="G15" s="721">
        <v>0</v>
      </c>
      <c r="H15" s="920">
        <f t="shared" si="7"/>
        <v>71812</v>
      </c>
      <c r="I15" s="920">
        <f t="shared" si="8"/>
        <v>0</v>
      </c>
      <c r="J15" s="920">
        <f t="shared" si="9"/>
        <v>0</v>
      </c>
      <c r="T15" s="655" t="s">
        <v>411</v>
      </c>
      <c r="U15" s="655" t="s">
        <v>433</v>
      </c>
      <c r="V15" s="664" t="s">
        <v>434</v>
      </c>
      <c r="W15" s="655" t="s">
        <v>435</v>
      </c>
      <c r="X15" s="920">
        <v>140000000</v>
      </c>
      <c r="Y15" s="920">
        <v>0</v>
      </c>
      <c r="Z15" s="920">
        <v>0</v>
      </c>
      <c r="AA15" s="920">
        <f t="shared" si="11"/>
        <v>140000</v>
      </c>
      <c r="AB15" s="920">
        <f t="shared" si="12"/>
        <v>0</v>
      </c>
      <c r="AC15" s="920">
        <f t="shared" si="13"/>
        <v>0</v>
      </c>
      <c r="AL15" s="655" t="s">
        <v>411</v>
      </c>
      <c r="AM15" s="655" t="s">
        <v>433</v>
      </c>
      <c r="AN15" s="655" t="s">
        <v>434</v>
      </c>
      <c r="AO15" s="655" t="s">
        <v>435</v>
      </c>
      <c r="AP15" s="721">
        <v>140000000</v>
      </c>
      <c r="AQ15" s="721">
        <v>0</v>
      </c>
      <c r="AR15" s="721">
        <v>0</v>
      </c>
      <c r="AS15" s="721">
        <f t="shared" si="15"/>
        <v>140000</v>
      </c>
      <c r="AT15" s="721">
        <f t="shared" si="16"/>
        <v>0</v>
      </c>
      <c r="AU15" s="721">
        <f t="shared" si="17"/>
        <v>0</v>
      </c>
      <c r="BD15" s="688" t="s">
        <v>411</v>
      </c>
      <c r="BE15" s="689" t="s">
        <v>433</v>
      </c>
      <c r="BF15" s="688" t="s">
        <v>434</v>
      </c>
      <c r="BG15" s="921" t="s">
        <v>435</v>
      </c>
      <c r="BH15" s="690">
        <v>140000000</v>
      </c>
      <c r="BI15" s="690">
        <v>0</v>
      </c>
      <c r="BJ15" s="690">
        <v>0</v>
      </c>
      <c r="BK15" s="690">
        <f t="shared" si="19"/>
        <v>140000</v>
      </c>
      <c r="BL15" s="690">
        <f t="shared" si="20"/>
        <v>0</v>
      </c>
      <c r="BM15" s="690">
        <f t="shared" si="21"/>
        <v>0</v>
      </c>
      <c r="BV15" s="667" t="s">
        <v>411</v>
      </c>
      <c r="BW15" s="663" t="s">
        <v>433</v>
      </c>
      <c r="BX15" s="668" t="s">
        <v>434</v>
      </c>
      <c r="BY15" s="663" t="s">
        <v>435</v>
      </c>
      <c r="BZ15" s="665">
        <v>140000000</v>
      </c>
      <c r="CA15" s="665">
        <v>0</v>
      </c>
      <c r="CB15" s="665">
        <v>0</v>
      </c>
      <c r="CC15" s="669">
        <f t="shared" si="23"/>
        <v>140000</v>
      </c>
      <c r="CD15" s="669">
        <f t="shared" si="24"/>
        <v>0</v>
      </c>
      <c r="CE15" s="670">
        <f t="shared" si="25"/>
        <v>0</v>
      </c>
      <c r="CN15" s="655" t="s">
        <v>411</v>
      </c>
      <c r="CO15" s="655" t="s">
        <v>433</v>
      </c>
      <c r="CP15" s="655" t="s">
        <v>434</v>
      </c>
      <c r="CQ15" s="655" t="s">
        <v>435</v>
      </c>
      <c r="CR15" s="721">
        <v>96000000</v>
      </c>
      <c r="CS15" s="721">
        <v>0</v>
      </c>
      <c r="CT15" s="721">
        <v>0</v>
      </c>
      <c r="CU15" s="721">
        <f t="shared" si="27"/>
        <v>96000</v>
      </c>
      <c r="CV15" s="721">
        <f t="shared" si="28"/>
        <v>0</v>
      </c>
      <c r="CW15" s="721">
        <f t="shared" si="29"/>
        <v>0</v>
      </c>
      <c r="DF15" s="655" t="s">
        <v>411</v>
      </c>
      <c r="DG15" s="655" t="s">
        <v>433</v>
      </c>
      <c r="DH15" s="655" t="s">
        <v>434</v>
      </c>
      <c r="DI15" s="655" t="s">
        <v>435</v>
      </c>
      <c r="DJ15" s="721">
        <v>96000000</v>
      </c>
      <c r="DK15" s="721">
        <v>0</v>
      </c>
      <c r="DL15" s="721">
        <v>0</v>
      </c>
      <c r="DM15" s="721">
        <f t="shared" si="31"/>
        <v>96000</v>
      </c>
      <c r="DN15" s="721">
        <f t="shared" si="32"/>
        <v>0</v>
      </c>
      <c r="DO15" s="721">
        <f t="shared" si="33"/>
        <v>0</v>
      </c>
      <c r="DX15" s="655" t="s">
        <v>411</v>
      </c>
      <c r="DY15" s="655" t="s">
        <v>433</v>
      </c>
      <c r="DZ15" s="655" t="s">
        <v>636</v>
      </c>
      <c r="EA15" s="655" t="s">
        <v>637</v>
      </c>
      <c r="EB15" s="691">
        <v>71812000</v>
      </c>
      <c r="EC15" s="691">
        <v>0</v>
      </c>
      <c r="ED15" s="691">
        <v>0</v>
      </c>
      <c r="EE15" s="691">
        <f t="shared" si="35"/>
        <v>71812</v>
      </c>
      <c r="EF15" s="691">
        <f t="shared" si="36"/>
        <v>0</v>
      </c>
      <c r="EG15" s="691">
        <f t="shared" si="37"/>
        <v>0</v>
      </c>
    </row>
    <row r="16" spans="1:137" x14ac:dyDescent="0.2">
      <c r="A16" s="920" t="s">
        <v>411</v>
      </c>
      <c r="B16" s="721" t="s">
        <v>433</v>
      </c>
      <c r="C16" s="920" t="s">
        <v>636</v>
      </c>
      <c r="D16" s="721" t="s">
        <v>637</v>
      </c>
      <c r="E16" s="721">
        <v>0</v>
      </c>
      <c r="F16" s="721">
        <v>0</v>
      </c>
      <c r="G16" s="721">
        <v>21600000</v>
      </c>
      <c r="H16" s="920">
        <f t="shared" si="7"/>
        <v>0</v>
      </c>
      <c r="I16" s="920">
        <f t="shared" si="8"/>
        <v>0</v>
      </c>
      <c r="J16" s="920">
        <f t="shared" si="9"/>
        <v>21600</v>
      </c>
      <c r="T16" s="655" t="s">
        <v>411</v>
      </c>
      <c r="U16" s="655" t="s">
        <v>433</v>
      </c>
      <c r="V16" s="664" t="s">
        <v>636</v>
      </c>
      <c r="W16" s="655" t="s">
        <v>637</v>
      </c>
      <c r="X16" s="920">
        <v>71812000</v>
      </c>
      <c r="Y16" s="920">
        <v>0</v>
      </c>
      <c r="Z16" s="920">
        <v>0</v>
      </c>
      <c r="AA16" s="920">
        <f t="shared" si="11"/>
        <v>71812</v>
      </c>
      <c r="AB16" s="920">
        <f t="shared" si="12"/>
        <v>0</v>
      </c>
      <c r="AC16" s="920">
        <f t="shared" si="13"/>
        <v>0</v>
      </c>
      <c r="AL16" s="655" t="s">
        <v>411</v>
      </c>
      <c r="AM16" s="655" t="s">
        <v>433</v>
      </c>
      <c r="AN16" s="655" t="s">
        <v>636</v>
      </c>
      <c r="AO16" s="655" t="s">
        <v>637</v>
      </c>
      <c r="AP16" s="721">
        <v>71812000</v>
      </c>
      <c r="AQ16" s="721">
        <v>0</v>
      </c>
      <c r="AR16" s="721">
        <v>0</v>
      </c>
      <c r="AS16" s="721">
        <f t="shared" si="15"/>
        <v>71812</v>
      </c>
      <c r="AT16" s="721">
        <f t="shared" si="16"/>
        <v>0</v>
      </c>
      <c r="AU16" s="721">
        <f t="shared" si="17"/>
        <v>0</v>
      </c>
      <c r="BD16" s="688" t="s">
        <v>411</v>
      </c>
      <c r="BE16" s="689" t="s">
        <v>433</v>
      </c>
      <c r="BF16" s="688" t="s">
        <v>636</v>
      </c>
      <c r="BG16" s="921" t="s">
        <v>637</v>
      </c>
      <c r="BH16" s="690">
        <v>71812000</v>
      </c>
      <c r="BI16" s="690">
        <v>0</v>
      </c>
      <c r="BJ16" s="690">
        <v>0</v>
      </c>
      <c r="BK16" s="690">
        <f t="shared" si="19"/>
        <v>71812</v>
      </c>
      <c r="BL16" s="690">
        <f t="shared" si="20"/>
        <v>0</v>
      </c>
      <c r="BM16" s="690">
        <f t="shared" si="21"/>
        <v>0</v>
      </c>
      <c r="BV16" s="667" t="s">
        <v>411</v>
      </c>
      <c r="BW16" s="663" t="s">
        <v>433</v>
      </c>
      <c r="BX16" s="668" t="s">
        <v>636</v>
      </c>
      <c r="BY16" s="663" t="s">
        <v>637</v>
      </c>
      <c r="BZ16" s="665">
        <v>71812000</v>
      </c>
      <c r="CA16" s="665">
        <v>0</v>
      </c>
      <c r="CB16" s="665">
        <v>0</v>
      </c>
      <c r="CC16" s="669">
        <f t="shared" si="23"/>
        <v>71812</v>
      </c>
      <c r="CD16" s="669">
        <f t="shared" si="24"/>
        <v>0</v>
      </c>
      <c r="CE16" s="670">
        <f t="shared" si="25"/>
        <v>0</v>
      </c>
      <c r="CN16" s="655" t="s">
        <v>411</v>
      </c>
      <c r="CO16" s="655" t="s">
        <v>433</v>
      </c>
      <c r="CP16" s="655" t="s">
        <v>636</v>
      </c>
      <c r="CQ16" s="655" t="s">
        <v>637</v>
      </c>
      <c r="CR16" s="721">
        <v>71812000</v>
      </c>
      <c r="CS16" s="721">
        <v>0</v>
      </c>
      <c r="CT16" s="721">
        <v>0</v>
      </c>
      <c r="CU16" s="721">
        <f t="shared" si="27"/>
        <v>71812</v>
      </c>
      <c r="CV16" s="721">
        <f t="shared" si="28"/>
        <v>0</v>
      </c>
      <c r="CW16" s="721">
        <f t="shared" si="29"/>
        <v>0</v>
      </c>
      <c r="DF16" s="655" t="s">
        <v>411</v>
      </c>
      <c r="DG16" s="655" t="s">
        <v>433</v>
      </c>
      <c r="DH16" s="655" t="s">
        <v>636</v>
      </c>
      <c r="DI16" s="655" t="s">
        <v>637</v>
      </c>
      <c r="DJ16" s="721">
        <v>71812000</v>
      </c>
      <c r="DK16" s="721">
        <v>0</v>
      </c>
      <c r="DL16" s="721">
        <v>0</v>
      </c>
      <c r="DM16" s="721">
        <f t="shared" si="31"/>
        <v>71812</v>
      </c>
      <c r="DN16" s="721">
        <f t="shared" si="32"/>
        <v>0</v>
      </c>
      <c r="DO16" s="721">
        <f t="shared" si="33"/>
        <v>0</v>
      </c>
      <c r="DX16" s="655" t="s">
        <v>411</v>
      </c>
      <c r="DY16" s="655" t="s">
        <v>433</v>
      </c>
      <c r="DZ16" s="655" t="s">
        <v>434</v>
      </c>
      <c r="EA16" s="655" t="s">
        <v>435</v>
      </c>
      <c r="EB16" s="691">
        <v>5000000</v>
      </c>
      <c r="EC16" s="691">
        <v>0</v>
      </c>
      <c r="ED16" s="691">
        <v>0</v>
      </c>
      <c r="EE16" s="691">
        <f t="shared" si="35"/>
        <v>5000</v>
      </c>
      <c r="EF16" s="691">
        <f t="shared" si="36"/>
        <v>0</v>
      </c>
      <c r="EG16" s="691">
        <f t="shared" si="37"/>
        <v>0</v>
      </c>
    </row>
    <row r="17" spans="1:137" x14ac:dyDescent="0.2">
      <c r="A17" s="920" t="s">
        <v>411</v>
      </c>
      <c r="B17" s="721" t="s">
        <v>433</v>
      </c>
      <c r="C17" s="920" t="s">
        <v>436</v>
      </c>
      <c r="D17" s="721" t="s">
        <v>265</v>
      </c>
      <c r="E17" s="721">
        <v>0</v>
      </c>
      <c r="F17" s="721">
        <v>0</v>
      </c>
      <c r="G17" s="721">
        <v>14550000</v>
      </c>
      <c r="H17" s="920">
        <f t="shared" si="7"/>
        <v>0</v>
      </c>
      <c r="I17" s="920">
        <f t="shared" si="8"/>
        <v>0</v>
      </c>
      <c r="J17" s="920">
        <f t="shared" si="9"/>
        <v>14550</v>
      </c>
      <c r="T17" s="655" t="s">
        <v>411</v>
      </c>
      <c r="U17" s="655" t="s">
        <v>433</v>
      </c>
      <c r="V17" s="664" t="s">
        <v>636</v>
      </c>
      <c r="W17" s="655" t="s">
        <v>637</v>
      </c>
      <c r="X17" s="920">
        <v>0</v>
      </c>
      <c r="Y17" s="920">
        <v>4008999</v>
      </c>
      <c r="Z17" s="920">
        <v>22909000</v>
      </c>
      <c r="AA17" s="920">
        <f t="shared" si="11"/>
        <v>0</v>
      </c>
      <c r="AB17" s="920">
        <f t="shared" si="12"/>
        <v>4008.9989999999998</v>
      </c>
      <c r="AC17" s="920">
        <f t="shared" si="13"/>
        <v>22909</v>
      </c>
      <c r="AL17" s="655" t="s">
        <v>411</v>
      </c>
      <c r="AM17" s="655" t="s">
        <v>433</v>
      </c>
      <c r="AN17" s="655" t="s">
        <v>426</v>
      </c>
      <c r="AO17" s="655" t="s">
        <v>426</v>
      </c>
      <c r="AP17" s="721">
        <v>0</v>
      </c>
      <c r="AQ17" s="721">
        <v>0</v>
      </c>
      <c r="AR17" s="721">
        <v>0</v>
      </c>
      <c r="AS17" s="721">
        <f t="shared" si="15"/>
        <v>0</v>
      </c>
      <c r="AT17" s="721">
        <f t="shared" si="16"/>
        <v>0</v>
      </c>
      <c r="AU17" s="721">
        <f t="shared" si="17"/>
        <v>0</v>
      </c>
      <c r="BD17" s="688" t="s">
        <v>411</v>
      </c>
      <c r="BE17" s="689" t="s">
        <v>433</v>
      </c>
      <c r="BF17" s="688" t="s">
        <v>436</v>
      </c>
      <c r="BG17" s="921" t="s">
        <v>265</v>
      </c>
      <c r="BH17" s="690">
        <v>0</v>
      </c>
      <c r="BI17" s="690">
        <v>14550000</v>
      </c>
      <c r="BJ17" s="690">
        <v>14550000</v>
      </c>
      <c r="BK17" s="690">
        <f t="shared" si="19"/>
        <v>0</v>
      </c>
      <c r="BL17" s="690">
        <f t="shared" si="20"/>
        <v>14550</v>
      </c>
      <c r="BM17" s="690">
        <f t="shared" si="21"/>
        <v>14550</v>
      </c>
      <c r="BV17" s="667" t="s">
        <v>411</v>
      </c>
      <c r="BW17" s="663" t="s">
        <v>433</v>
      </c>
      <c r="BX17" s="668" t="s">
        <v>426</v>
      </c>
      <c r="BY17" s="663" t="s">
        <v>426</v>
      </c>
      <c r="BZ17" s="665">
        <v>0</v>
      </c>
      <c r="CA17" s="665">
        <v>0</v>
      </c>
      <c r="CB17" s="665">
        <v>0</v>
      </c>
      <c r="CC17" s="669">
        <f t="shared" si="23"/>
        <v>0</v>
      </c>
      <c r="CD17" s="669">
        <f t="shared" si="24"/>
        <v>0</v>
      </c>
      <c r="CE17" s="670">
        <f t="shared" si="25"/>
        <v>0</v>
      </c>
      <c r="CN17" s="655" t="s">
        <v>411</v>
      </c>
      <c r="CO17" s="655" t="s">
        <v>433</v>
      </c>
      <c r="CP17" s="655" t="s">
        <v>434</v>
      </c>
      <c r="CQ17" s="655" t="s">
        <v>435</v>
      </c>
      <c r="CR17" s="721">
        <v>0</v>
      </c>
      <c r="CS17" s="721">
        <v>5000000</v>
      </c>
      <c r="CT17" s="721">
        <v>5000000</v>
      </c>
      <c r="CU17" s="721">
        <f t="shared" si="27"/>
        <v>0</v>
      </c>
      <c r="CV17" s="721">
        <f t="shared" si="28"/>
        <v>5000</v>
      </c>
      <c r="CW17" s="721">
        <f t="shared" si="29"/>
        <v>5000</v>
      </c>
      <c r="DF17" s="655" t="s">
        <v>411</v>
      </c>
      <c r="DG17" s="655" t="s">
        <v>433</v>
      </c>
      <c r="DH17" s="655" t="s">
        <v>426</v>
      </c>
      <c r="DI17" s="655" t="s">
        <v>426</v>
      </c>
      <c r="DJ17" s="721">
        <v>0</v>
      </c>
      <c r="DK17" s="721">
        <v>0</v>
      </c>
      <c r="DL17" s="721">
        <v>0</v>
      </c>
      <c r="DM17" s="721">
        <f t="shared" si="31"/>
        <v>0</v>
      </c>
      <c r="DN17" s="721">
        <f t="shared" si="32"/>
        <v>0</v>
      </c>
      <c r="DO17" s="721">
        <f t="shared" si="33"/>
        <v>0</v>
      </c>
      <c r="DX17" s="655" t="s">
        <v>411</v>
      </c>
      <c r="DY17" s="655" t="s">
        <v>433</v>
      </c>
      <c r="DZ17" s="655" t="s">
        <v>636</v>
      </c>
      <c r="EA17" s="655" t="s">
        <v>637</v>
      </c>
      <c r="EB17" s="691">
        <v>0</v>
      </c>
      <c r="EC17" s="691">
        <v>22909000</v>
      </c>
      <c r="ED17" s="691">
        <v>20208999</v>
      </c>
      <c r="EE17" s="691">
        <f t="shared" si="35"/>
        <v>0</v>
      </c>
      <c r="EF17" s="691">
        <f t="shared" si="36"/>
        <v>22909</v>
      </c>
      <c r="EG17" s="691">
        <f t="shared" si="37"/>
        <v>20208.999</v>
      </c>
    </row>
    <row r="18" spans="1:137" x14ac:dyDescent="0.2">
      <c r="A18" s="920" t="s">
        <v>418</v>
      </c>
      <c r="B18" s="721" t="s">
        <v>323</v>
      </c>
      <c r="C18" s="920" t="s">
        <v>464</v>
      </c>
      <c r="D18" s="721" t="s">
        <v>588</v>
      </c>
      <c r="E18" s="721">
        <v>305741514</v>
      </c>
      <c r="F18" s="721">
        <v>0</v>
      </c>
      <c r="G18" s="721">
        <v>0</v>
      </c>
      <c r="H18" s="920">
        <f t="shared" si="7"/>
        <v>305741.51400000002</v>
      </c>
      <c r="I18" s="920">
        <f t="shared" si="8"/>
        <v>0</v>
      </c>
      <c r="J18" s="920">
        <f t="shared" si="9"/>
        <v>0</v>
      </c>
      <c r="T18" s="655" t="s">
        <v>411</v>
      </c>
      <c r="U18" s="655" t="s">
        <v>433</v>
      </c>
      <c r="V18" s="664" t="s">
        <v>436</v>
      </c>
      <c r="W18" s="655" t="s">
        <v>265</v>
      </c>
      <c r="X18" s="920">
        <v>0</v>
      </c>
      <c r="Y18" s="920">
        <v>14550000</v>
      </c>
      <c r="Z18" s="920">
        <v>14550000</v>
      </c>
      <c r="AA18" s="920">
        <f t="shared" si="11"/>
        <v>0</v>
      </c>
      <c r="AB18" s="920">
        <f t="shared" si="12"/>
        <v>14550</v>
      </c>
      <c r="AC18" s="920">
        <f t="shared" si="13"/>
        <v>14550</v>
      </c>
      <c r="AL18" s="655" t="s">
        <v>411</v>
      </c>
      <c r="AM18" s="655" t="s">
        <v>433</v>
      </c>
      <c r="AN18" s="655" t="s">
        <v>636</v>
      </c>
      <c r="AO18" s="655" t="s">
        <v>637</v>
      </c>
      <c r="AP18" s="721">
        <v>0</v>
      </c>
      <c r="AQ18" s="721">
        <v>4008999</v>
      </c>
      <c r="AR18" s="721">
        <v>22909000</v>
      </c>
      <c r="AS18" s="721">
        <f t="shared" si="15"/>
        <v>0</v>
      </c>
      <c r="AT18" s="721">
        <f t="shared" si="16"/>
        <v>4008.9989999999998</v>
      </c>
      <c r="AU18" s="721">
        <f t="shared" si="17"/>
        <v>22909</v>
      </c>
      <c r="BD18" s="688" t="s">
        <v>411</v>
      </c>
      <c r="BE18" s="689" t="s">
        <v>433</v>
      </c>
      <c r="BF18" s="688" t="s">
        <v>426</v>
      </c>
      <c r="BG18" s="921" t="s">
        <v>426</v>
      </c>
      <c r="BH18" s="690">
        <v>0</v>
      </c>
      <c r="BI18" s="690">
        <v>0</v>
      </c>
      <c r="BJ18" s="690">
        <v>0</v>
      </c>
      <c r="BK18" s="690">
        <f t="shared" si="19"/>
        <v>0</v>
      </c>
      <c r="BL18" s="690">
        <f t="shared" si="20"/>
        <v>0</v>
      </c>
      <c r="BM18" s="690">
        <f t="shared" si="21"/>
        <v>0</v>
      </c>
      <c r="BV18" s="667" t="s">
        <v>411</v>
      </c>
      <c r="BW18" s="663" t="s">
        <v>433</v>
      </c>
      <c r="BX18" s="668" t="s">
        <v>436</v>
      </c>
      <c r="BY18" s="663" t="s">
        <v>265</v>
      </c>
      <c r="BZ18" s="665">
        <v>0</v>
      </c>
      <c r="CA18" s="665">
        <v>14550000</v>
      </c>
      <c r="CB18" s="665">
        <v>14550000</v>
      </c>
      <c r="CC18" s="669">
        <f t="shared" si="23"/>
        <v>0</v>
      </c>
      <c r="CD18" s="669">
        <f t="shared" si="24"/>
        <v>14550</v>
      </c>
      <c r="CE18" s="670">
        <f t="shared" si="25"/>
        <v>14550</v>
      </c>
      <c r="CN18" s="655" t="s">
        <v>411</v>
      </c>
      <c r="CO18" s="655" t="s">
        <v>433</v>
      </c>
      <c r="CP18" s="655" t="s">
        <v>426</v>
      </c>
      <c r="CQ18" s="655" t="s">
        <v>426</v>
      </c>
      <c r="CR18" s="721">
        <v>0</v>
      </c>
      <c r="CS18" s="721">
        <v>0</v>
      </c>
      <c r="CT18" s="721">
        <v>0</v>
      </c>
      <c r="CU18" s="721">
        <f t="shared" si="27"/>
        <v>0</v>
      </c>
      <c r="CV18" s="721">
        <f t="shared" si="28"/>
        <v>0</v>
      </c>
      <c r="CW18" s="721">
        <f t="shared" si="29"/>
        <v>0</v>
      </c>
      <c r="DF18" s="655" t="s">
        <v>411</v>
      </c>
      <c r="DG18" s="655" t="s">
        <v>433</v>
      </c>
      <c r="DH18" s="655" t="s">
        <v>434</v>
      </c>
      <c r="DI18" s="655" t="s">
        <v>435</v>
      </c>
      <c r="DJ18" s="721">
        <v>0</v>
      </c>
      <c r="DK18" s="721">
        <v>5000000</v>
      </c>
      <c r="DL18" s="721">
        <v>5000000</v>
      </c>
      <c r="DM18" s="721">
        <f t="shared" si="31"/>
        <v>0</v>
      </c>
      <c r="DN18" s="721">
        <f t="shared" si="32"/>
        <v>5000</v>
      </c>
      <c r="DO18" s="721">
        <f t="shared" si="33"/>
        <v>5000</v>
      </c>
      <c r="DX18" s="655" t="s">
        <v>411</v>
      </c>
      <c r="DY18" s="655" t="s">
        <v>433</v>
      </c>
      <c r="DZ18" s="655" t="s">
        <v>436</v>
      </c>
      <c r="EA18" s="655" t="s">
        <v>265</v>
      </c>
      <c r="EB18" s="691">
        <v>0</v>
      </c>
      <c r="EC18" s="691">
        <v>877955000</v>
      </c>
      <c r="ED18" s="691">
        <v>39662500</v>
      </c>
      <c r="EE18" s="691">
        <f t="shared" si="35"/>
        <v>0</v>
      </c>
      <c r="EF18" s="691">
        <f t="shared" si="36"/>
        <v>877955</v>
      </c>
      <c r="EG18" s="691">
        <f t="shared" si="37"/>
        <v>39662.5</v>
      </c>
    </row>
    <row r="19" spans="1:137" x14ac:dyDescent="0.2">
      <c r="A19" s="920" t="s">
        <v>418</v>
      </c>
      <c r="B19" s="721" t="s">
        <v>323</v>
      </c>
      <c r="C19" s="920" t="s">
        <v>473</v>
      </c>
      <c r="D19" s="721" t="s">
        <v>589</v>
      </c>
      <c r="E19" s="721">
        <v>221922562</v>
      </c>
      <c r="F19" s="721">
        <v>0</v>
      </c>
      <c r="G19" s="721">
        <v>0</v>
      </c>
      <c r="H19" s="920">
        <f t="shared" si="7"/>
        <v>221922.56200000001</v>
      </c>
      <c r="I19" s="920">
        <f t="shared" si="8"/>
        <v>0</v>
      </c>
      <c r="J19" s="920">
        <f t="shared" si="9"/>
        <v>0</v>
      </c>
      <c r="T19" s="655" t="s">
        <v>411</v>
      </c>
      <c r="U19" s="655" t="s">
        <v>433</v>
      </c>
      <c r="V19" s="664" t="s">
        <v>426</v>
      </c>
      <c r="W19" s="655" t="s">
        <v>426</v>
      </c>
      <c r="X19" s="920">
        <v>0</v>
      </c>
      <c r="Y19" s="920">
        <v>0</v>
      </c>
      <c r="Z19" s="920">
        <v>0</v>
      </c>
      <c r="AA19" s="920">
        <f t="shared" si="11"/>
        <v>0</v>
      </c>
      <c r="AB19" s="920">
        <f t="shared" si="12"/>
        <v>0</v>
      </c>
      <c r="AC19" s="920">
        <f t="shared" si="13"/>
        <v>0</v>
      </c>
      <c r="AL19" s="655" t="s">
        <v>411</v>
      </c>
      <c r="AM19" s="655" t="s">
        <v>433</v>
      </c>
      <c r="AN19" s="655" t="s">
        <v>436</v>
      </c>
      <c r="AO19" s="655" t="s">
        <v>265</v>
      </c>
      <c r="AP19" s="721">
        <v>0</v>
      </c>
      <c r="AQ19" s="721">
        <v>14550000</v>
      </c>
      <c r="AR19" s="721">
        <v>14550000</v>
      </c>
      <c r="AS19" s="721">
        <f t="shared" si="15"/>
        <v>0</v>
      </c>
      <c r="AT19" s="721">
        <f t="shared" si="16"/>
        <v>14550</v>
      </c>
      <c r="AU19" s="721">
        <f t="shared" si="17"/>
        <v>14550</v>
      </c>
      <c r="BD19" s="688" t="s">
        <v>411</v>
      </c>
      <c r="BE19" s="689" t="s">
        <v>433</v>
      </c>
      <c r="BF19" s="688" t="s">
        <v>636</v>
      </c>
      <c r="BG19" s="921" t="s">
        <v>637</v>
      </c>
      <c r="BH19" s="690">
        <v>0</v>
      </c>
      <c r="BI19" s="690">
        <v>4008999</v>
      </c>
      <c r="BJ19" s="690">
        <v>22909000</v>
      </c>
      <c r="BK19" s="690">
        <f t="shared" si="19"/>
        <v>0</v>
      </c>
      <c r="BL19" s="690">
        <f t="shared" si="20"/>
        <v>4008.9989999999998</v>
      </c>
      <c r="BM19" s="690">
        <f t="shared" si="21"/>
        <v>22909</v>
      </c>
      <c r="BV19" s="667" t="s">
        <v>411</v>
      </c>
      <c r="BW19" s="663" t="s">
        <v>433</v>
      </c>
      <c r="BX19" s="668" t="s">
        <v>636</v>
      </c>
      <c r="BY19" s="663" t="s">
        <v>637</v>
      </c>
      <c r="BZ19" s="665">
        <v>0</v>
      </c>
      <c r="CA19" s="665">
        <v>22909000</v>
      </c>
      <c r="CB19" s="665">
        <v>4008999</v>
      </c>
      <c r="CC19" s="669">
        <f t="shared" si="23"/>
        <v>0</v>
      </c>
      <c r="CD19" s="669">
        <f t="shared" si="24"/>
        <v>22909</v>
      </c>
      <c r="CE19" s="670">
        <f t="shared" si="25"/>
        <v>4008.9989999999998</v>
      </c>
      <c r="CN19" s="655" t="s">
        <v>411</v>
      </c>
      <c r="CO19" s="655" t="s">
        <v>433</v>
      </c>
      <c r="CP19" s="655" t="s">
        <v>436</v>
      </c>
      <c r="CQ19" s="655" t="s">
        <v>265</v>
      </c>
      <c r="CR19" s="721">
        <v>0</v>
      </c>
      <c r="CS19" s="721">
        <v>14550000</v>
      </c>
      <c r="CT19" s="721">
        <v>14550000</v>
      </c>
      <c r="CU19" s="721">
        <f t="shared" si="27"/>
        <v>0</v>
      </c>
      <c r="CV19" s="721">
        <f t="shared" si="28"/>
        <v>14550</v>
      </c>
      <c r="CW19" s="721">
        <f t="shared" si="29"/>
        <v>14550</v>
      </c>
      <c r="DF19" s="655" t="s">
        <v>411</v>
      </c>
      <c r="DG19" s="655" t="s">
        <v>433</v>
      </c>
      <c r="DH19" s="655" t="s">
        <v>636</v>
      </c>
      <c r="DI19" s="655" t="s">
        <v>637</v>
      </c>
      <c r="DJ19" s="721">
        <v>0</v>
      </c>
      <c r="DK19" s="721">
        <v>14808999</v>
      </c>
      <c r="DL19" s="721">
        <v>22909000</v>
      </c>
      <c r="DM19" s="721">
        <f t="shared" si="31"/>
        <v>0</v>
      </c>
      <c r="DN19" s="721">
        <f t="shared" si="32"/>
        <v>14808.999</v>
      </c>
      <c r="DO19" s="721">
        <f t="shared" si="33"/>
        <v>22909</v>
      </c>
      <c r="DX19" s="655" t="s">
        <v>411</v>
      </c>
      <c r="DY19" s="655" t="s">
        <v>433</v>
      </c>
      <c r="DZ19" s="655" t="s">
        <v>426</v>
      </c>
      <c r="EA19" s="655" t="s">
        <v>426</v>
      </c>
      <c r="EB19" s="691">
        <v>0</v>
      </c>
      <c r="EC19" s="691">
        <v>0</v>
      </c>
      <c r="ED19" s="691">
        <v>0</v>
      </c>
      <c r="EE19" s="691">
        <f t="shared" si="35"/>
        <v>0</v>
      </c>
      <c r="EF19" s="691">
        <f t="shared" si="36"/>
        <v>0</v>
      </c>
      <c r="EG19" s="691">
        <f t="shared" si="37"/>
        <v>0</v>
      </c>
    </row>
    <row r="20" spans="1:137" x14ac:dyDescent="0.2">
      <c r="A20" s="920" t="s">
        <v>418</v>
      </c>
      <c r="B20" s="721" t="s">
        <v>323</v>
      </c>
      <c r="C20" s="920" t="s">
        <v>439</v>
      </c>
      <c r="D20" s="721" t="s">
        <v>590</v>
      </c>
      <c r="E20" s="721">
        <v>114543464</v>
      </c>
      <c r="F20" s="721">
        <v>0</v>
      </c>
      <c r="G20" s="721">
        <v>0</v>
      </c>
      <c r="H20" s="920">
        <f t="shared" si="7"/>
        <v>114543.46400000001</v>
      </c>
      <c r="I20" s="920">
        <f t="shared" si="8"/>
        <v>0</v>
      </c>
      <c r="J20" s="920">
        <f t="shared" si="9"/>
        <v>0</v>
      </c>
      <c r="T20" s="655" t="s">
        <v>418</v>
      </c>
      <c r="U20" s="655" t="s">
        <v>323</v>
      </c>
      <c r="V20" s="664" t="s">
        <v>464</v>
      </c>
      <c r="W20" s="655" t="s">
        <v>588</v>
      </c>
      <c r="X20" s="920">
        <v>355520000</v>
      </c>
      <c r="Y20" s="920">
        <v>0</v>
      </c>
      <c r="Z20" s="920">
        <v>0</v>
      </c>
      <c r="AA20" s="920">
        <f t="shared" si="11"/>
        <v>355520</v>
      </c>
      <c r="AB20" s="920">
        <f t="shared" si="12"/>
        <v>0</v>
      </c>
      <c r="AC20" s="920">
        <f t="shared" si="13"/>
        <v>0</v>
      </c>
      <c r="AL20" s="655" t="s">
        <v>418</v>
      </c>
      <c r="AM20" s="655" t="s">
        <v>323</v>
      </c>
      <c r="AN20" s="655" t="s">
        <v>464</v>
      </c>
      <c r="AO20" s="655" t="s">
        <v>588</v>
      </c>
      <c r="AP20" s="721">
        <v>355520000</v>
      </c>
      <c r="AQ20" s="721">
        <v>0</v>
      </c>
      <c r="AR20" s="721">
        <v>0</v>
      </c>
      <c r="AS20" s="721">
        <f t="shared" si="15"/>
        <v>355520</v>
      </c>
      <c r="AT20" s="721">
        <f t="shared" si="16"/>
        <v>0</v>
      </c>
      <c r="AU20" s="721">
        <f t="shared" si="17"/>
        <v>0</v>
      </c>
      <c r="BD20" s="688" t="s">
        <v>418</v>
      </c>
      <c r="BE20" s="689" t="s">
        <v>323</v>
      </c>
      <c r="BF20" s="688" t="s">
        <v>464</v>
      </c>
      <c r="BG20" s="921" t="s">
        <v>588</v>
      </c>
      <c r="BH20" s="690">
        <v>355520000</v>
      </c>
      <c r="BI20" s="690">
        <v>0</v>
      </c>
      <c r="BJ20" s="690">
        <v>0</v>
      </c>
      <c r="BK20" s="690">
        <f t="shared" si="19"/>
        <v>355520</v>
      </c>
      <c r="BL20" s="690">
        <f t="shared" si="20"/>
        <v>0</v>
      </c>
      <c r="BM20" s="690">
        <f t="shared" si="21"/>
        <v>0</v>
      </c>
      <c r="BV20" s="667" t="s">
        <v>418</v>
      </c>
      <c r="BW20" s="663" t="s">
        <v>323</v>
      </c>
      <c r="BX20" s="668" t="s">
        <v>464</v>
      </c>
      <c r="BY20" s="663" t="s">
        <v>588</v>
      </c>
      <c r="BZ20" s="665">
        <v>355520000</v>
      </c>
      <c r="CA20" s="665">
        <v>0</v>
      </c>
      <c r="CB20" s="665">
        <v>0</v>
      </c>
      <c r="CC20" s="669">
        <f t="shared" si="23"/>
        <v>355520</v>
      </c>
      <c r="CD20" s="669">
        <f t="shared" si="24"/>
        <v>0</v>
      </c>
      <c r="CE20" s="670">
        <f t="shared" si="25"/>
        <v>0</v>
      </c>
      <c r="CN20" s="655" t="s">
        <v>411</v>
      </c>
      <c r="CO20" s="655" t="s">
        <v>433</v>
      </c>
      <c r="CP20" s="655" t="s">
        <v>636</v>
      </c>
      <c r="CQ20" s="655" t="s">
        <v>637</v>
      </c>
      <c r="CR20" s="721">
        <v>0</v>
      </c>
      <c r="CS20" s="721">
        <v>22909000</v>
      </c>
      <c r="CT20" s="721">
        <v>9408999</v>
      </c>
      <c r="CU20" s="721">
        <f t="shared" si="27"/>
        <v>0</v>
      </c>
      <c r="CV20" s="721">
        <f t="shared" si="28"/>
        <v>22909</v>
      </c>
      <c r="CW20" s="721">
        <f t="shared" si="29"/>
        <v>9408.9989999999998</v>
      </c>
      <c r="DF20" s="655" t="s">
        <v>411</v>
      </c>
      <c r="DG20" s="655" t="s">
        <v>433</v>
      </c>
      <c r="DH20" s="655" t="s">
        <v>436</v>
      </c>
      <c r="DI20" s="655" t="s">
        <v>265</v>
      </c>
      <c r="DJ20" s="721">
        <v>0</v>
      </c>
      <c r="DK20" s="721">
        <v>14550000</v>
      </c>
      <c r="DL20" s="721">
        <v>616145000</v>
      </c>
      <c r="DM20" s="721">
        <f t="shared" si="31"/>
        <v>0</v>
      </c>
      <c r="DN20" s="721">
        <f t="shared" si="32"/>
        <v>14550</v>
      </c>
      <c r="DO20" s="721">
        <f t="shared" si="33"/>
        <v>616145</v>
      </c>
      <c r="DX20" s="655" t="s">
        <v>411</v>
      </c>
      <c r="DY20" s="655" t="s">
        <v>433</v>
      </c>
      <c r="DZ20" s="655" t="s">
        <v>434</v>
      </c>
      <c r="EA20" s="655" t="s">
        <v>435</v>
      </c>
      <c r="EB20" s="691">
        <v>0</v>
      </c>
      <c r="EC20" s="691">
        <v>5000000</v>
      </c>
      <c r="ED20" s="691">
        <v>5000000</v>
      </c>
      <c r="EE20" s="691">
        <f t="shared" si="35"/>
        <v>0</v>
      </c>
      <c r="EF20" s="691">
        <f t="shared" si="36"/>
        <v>5000</v>
      </c>
      <c r="EG20" s="691">
        <f t="shared" si="37"/>
        <v>5000</v>
      </c>
    </row>
    <row r="21" spans="1:137" x14ac:dyDescent="0.2">
      <c r="A21" s="920" t="s">
        <v>418</v>
      </c>
      <c r="B21" s="721" t="s">
        <v>323</v>
      </c>
      <c r="C21" s="920" t="s">
        <v>419</v>
      </c>
      <c r="D21" s="721" t="s">
        <v>467</v>
      </c>
      <c r="E21" s="721">
        <v>84290798</v>
      </c>
      <c r="F21" s="721">
        <v>0</v>
      </c>
      <c r="G21" s="721">
        <v>0</v>
      </c>
      <c r="H21" s="920">
        <f t="shared" si="7"/>
        <v>84290.797999999995</v>
      </c>
      <c r="I21" s="920">
        <f t="shared" si="8"/>
        <v>0</v>
      </c>
      <c r="J21" s="920">
        <f t="shared" si="9"/>
        <v>0</v>
      </c>
      <c r="T21" s="655" t="s">
        <v>418</v>
      </c>
      <c r="U21" s="655" t="s">
        <v>323</v>
      </c>
      <c r="V21" s="664" t="s">
        <v>473</v>
      </c>
      <c r="W21" s="655" t="s">
        <v>589</v>
      </c>
      <c r="X21" s="920">
        <v>172144076</v>
      </c>
      <c r="Y21" s="920">
        <v>0</v>
      </c>
      <c r="Z21" s="920">
        <v>0</v>
      </c>
      <c r="AA21" s="920">
        <f t="shared" si="11"/>
        <v>172144.076</v>
      </c>
      <c r="AB21" s="920">
        <f t="shared" si="12"/>
        <v>0</v>
      </c>
      <c r="AC21" s="920">
        <f t="shared" si="13"/>
        <v>0</v>
      </c>
      <c r="AL21" s="655" t="s">
        <v>418</v>
      </c>
      <c r="AM21" s="655" t="s">
        <v>323</v>
      </c>
      <c r="AN21" s="655" t="s">
        <v>473</v>
      </c>
      <c r="AO21" s="655" t="s">
        <v>589</v>
      </c>
      <c r="AP21" s="721">
        <v>172144076</v>
      </c>
      <c r="AQ21" s="721">
        <v>0</v>
      </c>
      <c r="AR21" s="721">
        <v>0</v>
      </c>
      <c r="AS21" s="721">
        <f t="shared" si="15"/>
        <v>172144.076</v>
      </c>
      <c r="AT21" s="721">
        <f t="shared" si="16"/>
        <v>0</v>
      </c>
      <c r="AU21" s="721">
        <f t="shared" si="17"/>
        <v>0</v>
      </c>
      <c r="BD21" s="688" t="s">
        <v>418</v>
      </c>
      <c r="BE21" s="689" t="s">
        <v>323</v>
      </c>
      <c r="BF21" s="688" t="s">
        <v>473</v>
      </c>
      <c r="BG21" s="921" t="s">
        <v>589</v>
      </c>
      <c r="BH21" s="690">
        <v>172144076</v>
      </c>
      <c r="BI21" s="690">
        <v>0</v>
      </c>
      <c r="BJ21" s="690">
        <v>0</v>
      </c>
      <c r="BK21" s="690">
        <f t="shared" si="19"/>
        <v>172144.076</v>
      </c>
      <c r="BL21" s="690">
        <f t="shared" si="20"/>
        <v>0</v>
      </c>
      <c r="BM21" s="690">
        <f t="shared" si="21"/>
        <v>0</v>
      </c>
      <c r="BV21" s="667" t="s">
        <v>418</v>
      </c>
      <c r="BW21" s="663" t="s">
        <v>323</v>
      </c>
      <c r="BX21" s="668" t="s">
        <v>473</v>
      </c>
      <c r="BY21" s="663" t="s">
        <v>589</v>
      </c>
      <c r="BZ21" s="665">
        <v>172144076</v>
      </c>
      <c r="CA21" s="665">
        <v>0</v>
      </c>
      <c r="CB21" s="665">
        <v>0</v>
      </c>
      <c r="CC21" s="669">
        <f t="shared" si="23"/>
        <v>172144.076</v>
      </c>
      <c r="CD21" s="669">
        <f t="shared" si="24"/>
        <v>0</v>
      </c>
      <c r="CE21" s="670">
        <f t="shared" si="25"/>
        <v>0</v>
      </c>
      <c r="CN21" s="655" t="s">
        <v>418</v>
      </c>
      <c r="CO21" s="655" t="s">
        <v>323</v>
      </c>
      <c r="CP21" s="655" t="s">
        <v>464</v>
      </c>
      <c r="CQ21" s="655" t="s">
        <v>588</v>
      </c>
      <c r="CR21" s="721">
        <v>355520000</v>
      </c>
      <c r="CS21" s="721">
        <v>0</v>
      </c>
      <c r="CT21" s="721">
        <v>0</v>
      </c>
      <c r="CU21" s="721">
        <f t="shared" si="27"/>
        <v>355520</v>
      </c>
      <c r="CV21" s="721">
        <f t="shared" si="28"/>
        <v>0</v>
      </c>
      <c r="CW21" s="721">
        <f t="shared" si="29"/>
        <v>0</v>
      </c>
      <c r="DF21" s="655" t="s">
        <v>418</v>
      </c>
      <c r="DG21" s="655" t="s">
        <v>323</v>
      </c>
      <c r="DH21" s="655" t="s">
        <v>464</v>
      </c>
      <c r="DI21" s="655" t="s">
        <v>588</v>
      </c>
      <c r="DJ21" s="721">
        <v>355520000</v>
      </c>
      <c r="DK21" s="721">
        <v>0</v>
      </c>
      <c r="DL21" s="721">
        <v>0</v>
      </c>
      <c r="DM21" s="721">
        <f t="shared" si="31"/>
        <v>355520</v>
      </c>
      <c r="DN21" s="721">
        <f t="shared" si="32"/>
        <v>0</v>
      </c>
      <c r="DO21" s="721">
        <f t="shared" si="33"/>
        <v>0</v>
      </c>
      <c r="DX21" s="655" t="s">
        <v>418</v>
      </c>
      <c r="DY21" s="655" t="s">
        <v>323</v>
      </c>
      <c r="DZ21" s="655" t="s">
        <v>464</v>
      </c>
      <c r="EA21" s="655" t="s">
        <v>588</v>
      </c>
      <c r="EB21" s="691">
        <v>355520000</v>
      </c>
      <c r="EC21" s="691">
        <v>0</v>
      </c>
      <c r="ED21" s="691">
        <v>0</v>
      </c>
      <c r="EE21" s="691">
        <f t="shared" si="35"/>
        <v>355520</v>
      </c>
      <c r="EF21" s="691">
        <f t="shared" si="36"/>
        <v>0</v>
      </c>
      <c r="EG21" s="691">
        <f t="shared" si="37"/>
        <v>0</v>
      </c>
    </row>
    <row r="22" spans="1:137" x14ac:dyDescent="0.2">
      <c r="A22" s="920" t="s">
        <v>418</v>
      </c>
      <c r="B22" s="721" t="s">
        <v>323</v>
      </c>
      <c r="C22" s="920" t="s">
        <v>586</v>
      </c>
      <c r="D22" s="721" t="s">
        <v>587</v>
      </c>
      <c r="E22" s="721">
        <v>14400662</v>
      </c>
      <c r="F22" s="721">
        <v>0</v>
      </c>
      <c r="G22" s="721">
        <v>0</v>
      </c>
      <c r="H22" s="920">
        <f t="shared" si="7"/>
        <v>14400.662</v>
      </c>
      <c r="I22" s="920">
        <f t="shared" si="8"/>
        <v>0</v>
      </c>
      <c r="J22" s="920">
        <f t="shared" si="9"/>
        <v>0</v>
      </c>
      <c r="T22" s="655" t="s">
        <v>418</v>
      </c>
      <c r="U22" s="655" t="s">
        <v>323</v>
      </c>
      <c r="V22" s="664" t="s">
        <v>439</v>
      </c>
      <c r="W22" s="655" t="s">
        <v>590</v>
      </c>
      <c r="X22" s="920">
        <v>114543464</v>
      </c>
      <c r="Y22" s="920">
        <v>0</v>
      </c>
      <c r="Z22" s="920">
        <v>0</v>
      </c>
      <c r="AA22" s="920">
        <f t="shared" si="11"/>
        <v>114543.46400000001</v>
      </c>
      <c r="AB22" s="920">
        <f t="shared" si="12"/>
        <v>0</v>
      </c>
      <c r="AC22" s="920">
        <f t="shared" si="13"/>
        <v>0</v>
      </c>
      <c r="AL22" s="655" t="s">
        <v>418</v>
      </c>
      <c r="AM22" s="655" t="s">
        <v>323</v>
      </c>
      <c r="AN22" s="655" t="s">
        <v>439</v>
      </c>
      <c r="AO22" s="655" t="s">
        <v>590</v>
      </c>
      <c r="AP22" s="721">
        <v>114543464</v>
      </c>
      <c r="AQ22" s="721">
        <v>0</v>
      </c>
      <c r="AR22" s="721">
        <v>0</v>
      </c>
      <c r="AS22" s="721">
        <f t="shared" si="15"/>
        <v>114543.46400000001</v>
      </c>
      <c r="AT22" s="721">
        <f t="shared" si="16"/>
        <v>0</v>
      </c>
      <c r="AU22" s="721">
        <f t="shared" si="17"/>
        <v>0</v>
      </c>
      <c r="BD22" s="688" t="s">
        <v>418</v>
      </c>
      <c r="BE22" s="689" t="s">
        <v>323</v>
      </c>
      <c r="BF22" s="688" t="s">
        <v>439</v>
      </c>
      <c r="BG22" s="921" t="s">
        <v>590</v>
      </c>
      <c r="BH22" s="690">
        <v>114543464</v>
      </c>
      <c r="BI22" s="690">
        <v>0</v>
      </c>
      <c r="BJ22" s="690">
        <v>0</v>
      </c>
      <c r="BK22" s="690">
        <f t="shared" si="19"/>
        <v>114543.46400000001</v>
      </c>
      <c r="BL22" s="690">
        <f t="shared" si="20"/>
        <v>0</v>
      </c>
      <c r="BM22" s="690">
        <f t="shared" si="21"/>
        <v>0</v>
      </c>
      <c r="BV22" s="667" t="s">
        <v>418</v>
      </c>
      <c r="BW22" s="663" t="s">
        <v>323</v>
      </c>
      <c r="BX22" s="668" t="s">
        <v>439</v>
      </c>
      <c r="BY22" s="663" t="s">
        <v>590</v>
      </c>
      <c r="BZ22" s="665">
        <v>114543464</v>
      </c>
      <c r="CA22" s="665">
        <v>0</v>
      </c>
      <c r="CB22" s="665">
        <v>0</v>
      </c>
      <c r="CC22" s="669">
        <f t="shared" si="23"/>
        <v>114543.46400000001</v>
      </c>
      <c r="CD22" s="669">
        <f t="shared" si="24"/>
        <v>0</v>
      </c>
      <c r="CE22" s="670">
        <f t="shared" si="25"/>
        <v>0</v>
      </c>
      <c r="CN22" s="655" t="s">
        <v>418</v>
      </c>
      <c r="CO22" s="655" t="s">
        <v>323</v>
      </c>
      <c r="CP22" s="655" t="s">
        <v>473</v>
      </c>
      <c r="CQ22" s="655" t="s">
        <v>589</v>
      </c>
      <c r="CR22" s="721">
        <v>172144076</v>
      </c>
      <c r="CS22" s="721">
        <v>0</v>
      </c>
      <c r="CT22" s="721">
        <v>0</v>
      </c>
      <c r="CU22" s="721">
        <f t="shared" si="27"/>
        <v>172144.076</v>
      </c>
      <c r="CV22" s="721">
        <f t="shared" si="28"/>
        <v>0</v>
      </c>
      <c r="CW22" s="721">
        <f t="shared" si="29"/>
        <v>0</v>
      </c>
      <c r="DF22" s="655" t="s">
        <v>418</v>
      </c>
      <c r="DG22" s="655" t="s">
        <v>323</v>
      </c>
      <c r="DH22" s="655" t="s">
        <v>473</v>
      </c>
      <c r="DI22" s="655" t="s">
        <v>589</v>
      </c>
      <c r="DJ22" s="721">
        <v>172144076</v>
      </c>
      <c r="DK22" s="721">
        <v>0</v>
      </c>
      <c r="DL22" s="721">
        <v>0</v>
      </c>
      <c r="DM22" s="721">
        <f t="shared" si="31"/>
        <v>172144.076</v>
      </c>
      <c r="DN22" s="721">
        <f t="shared" si="32"/>
        <v>0</v>
      </c>
      <c r="DO22" s="721">
        <f t="shared" si="33"/>
        <v>0</v>
      </c>
      <c r="DX22" s="655" t="s">
        <v>418</v>
      </c>
      <c r="DY22" s="655" t="s">
        <v>323</v>
      </c>
      <c r="DZ22" s="655" t="s">
        <v>473</v>
      </c>
      <c r="EA22" s="655" t="s">
        <v>589</v>
      </c>
      <c r="EB22" s="691">
        <v>172144076</v>
      </c>
      <c r="EC22" s="691">
        <v>0</v>
      </c>
      <c r="ED22" s="691">
        <v>0</v>
      </c>
      <c r="EE22" s="691">
        <f t="shared" si="35"/>
        <v>172144.076</v>
      </c>
      <c r="EF22" s="691">
        <f t="shared" si="36"/>
        <v>0</v>
      </c>
      <c r="EG22" s="691">
        <f t="shared" si="37"/>
        <v>0</v>
      </c>
    </row>
    <row r="23" spans="1:137" x14ac:dyDescent="0.2">
      <c r="A23" s="920" t="s">
        <v>418</v>
      </c>
      <c r="B23" s="721" t="s">
        <v>323</v>
      </c>
      <c r="C23" s="920" t="s">
        <v>473</v>
      </c>
      <c r="D23" s="721" t="s">
        <v>589</v>
      </c>
      <c r="E23" s="721">
        <v>0</v>
      </c>
      <c r="F23" s="721">
        <v>0</v>
      </c>
      <c r="G23" s="721">
        <v>89818844</v>
      </c>
      <c r="H23" s="920">
        <f t="shared" si="7"/>
        <v>0</v>
      </c>
      <c r="I23" s="920">
        <f t="shared" si="8"/>
        <v>0</v>
      </c>
      <c r="J23" s="920">
        <f t="shared" si="9"/>
        <v>89818.843999999997</v>
      </c>
      <c r="T23" s="655" t="s">
        <v>418</v>
      </c>
      <c r="U23" s="655" t="s">
        <v>323</v>
      </c>
      <c r="V23" s="664" t="s">
        <v>419</v>
      </c>
      <c r="W23" s="655" t="s">
        <v>467</v>
      </c>
      <c r="X23" s="920">
        <v>84290798</v>
      </c>
      <c r="Y23" s="920">
        <v>0</v>
      </c>
      <c r="Z23" s="920">
        <v>0</v>
      </c>
      <c r="AA23" s="920">
        <f t="shared" si="11"/>
        <v>84290.797999999995</v>
      </c>
      <c r="AB23" s="920">
        <f t="shared" si="12"/>
        <v>0</v>
      </c>
      <c r="AC23" s="920">
        <f t="shared" si="13"/>
        <v>0</v>
      </c>
      <c r="AL23" s="655" t="s">
        <v>418</v>
      </c>
      <c r="AM23" s="655" t="s">
        <v>323</v>
      </c>
      <c r="AN23" s="655" t="s">
        <v>419</v>
      </c>
      <c r="AO23" s="655" t="s">
        <v>467</v>
      </c>
      <c r="AP23" s="721">
        <v>84290798</v>
      </c>
      <c r="AQ23" s="721">
        <v>0</v>
      </c>
      <c r="AR23" s="721">
        <v>0</v>
      </c>
      <c r="AS23" s="721">
        <f t="shared" si="15"/>
        <v>84290.797999999995</v>
      </c>
      <c r="AT23" s="721">
        <f t="shared" si="16"/>
        <v>0</v>
      </c>
      <c r="AU23" s="721">
        <f t="shared" si="17"/>
        <v>0</v>
      </c>
      <c r="BD23" s="688" t="s">
        <v>418</v>
      </c>
      <c r="BE23" s="689" t="s">
        <v>323</v>
      </c>
      <c r="BF23" s="688" t="s">
        <v>419</v>
      </c>
      <c r="BG23" s="921" t="s">
        <v>467</v>
      </c>
      <c r="BH23" s="690">
        <v>84290798</v>
      </c>
      <c r="BI23" s="690">
        <v>0</v>
      </c>
      <c r="BJ23" s="690">
        <v>0</v>
      </c>
      <c r="BK23" s="690">
        <f t="shared" si="19"/>
        <v>84290.797999999995</v>
      </c>
      <c r="BL23" s="690">
        <f t="shared" si="20"/>
        <v>0</v>
      </c>
      <c r="BM23" s="690">
        <f t="shared" si="21"/>
        <v>0</v>
      </c>
      <c r="BV23" s="667" t="s">
        <v>418</v>
      </c>
      <c r="BW23" s="663" t="s">
        <v>323</v>
      </c>
      <c r="BX23" s="668" t="s">
        <v>419</v>
      </c>
      <c r="BY23" s="663" t="s">
        <v>467</v>
      </c>
      <c r="BZ23" s="665">
        <v>84290798</v>
      </c>
      <c r="CA23" s="665">
        <v>0</v>
      </c>
      <c r="CB23" s="665">
        <v>0</v>
      </c>
      <c r="CC23" s="669">
        <f t="shared" si="23"/>
        <v>84290.797999999995</v>
      </c>
      <c r="CD23" s="669">
        <f t="shared" si="24"/>
        <v>0</v>
      </c>
      <c r="CE23" s="670">
        <f t="shared" si="25"/>
        <v>0</v>
      </c>
      <c r="CN23" s="655" t="s">
        <v>418</v>
      </c>
      <c r="CO23" s="655" t="s">
        <v>323</v>
      </c>
      <c r="CP23" s="655" t="s">
        <v>439</v>
      </c>
      <c r="CQ23" s="655" t="s">
        <v>590</v>
      </c>
      <c r="CR23" s="721">
        <v>114543464</v>
      </c>
      <c r="CS23" s="721">
        <v>0</v>
      </c>
      <c r="CT23" s="721">
        <v>0</v>
      </c>
      <c r="CU23" s="721">
        <f t="shared" si="27"/>
        <v>114543.46400000001</v>
      </c>
      <c r="CV23" s="721">
        <f t="shared" si="28"/>
        <v>0</v>
      </c>
      <c r="CW23" s="721">
        <f t="shared" si="29"/>
        <v>0</v>
      </c>
      <c r="DF23" s="655" t="s">
        <v>418</v>
      </c>
      <c r="DG23" s="655" t="s">
        <v>323</v>
      </c>
      <c r="DH23" s="655" t="s">
        <v>439</v>
      </c>
      <c r="DI23" s="655" t="s">
        <v>590</v>
      </c>
      <c r="DJ23" s="721">
        <v>114543464</v>
      </c>
      <c r="DK23" s="721">
        <v>0</v>
      </c>
      <c r="DL23" s="721">
        <v>0</v>
      </c>
      <c r="DM23" s="721">
        <f t="shared" si="31"/>
        <v>114543.46400000001</v>
      </c>
      <c r="DN23" s="721">
        <f t="shared" si="32"/>
        <v>0</v>
      </c>
      <c r="DO23" s="721">
        <f t="shared" si="33"/>
        <v>0</v>
      </c>
      <c r="DX23" s="655" t="s">
        <v>418</v>
      </c>
      <c r="DY23" s="655" t="s">
        <v>323</v>
      </c>
      <c r="DZ23" s="655" t="s">
        <v>439</v>
      </c>
      <c r="EA23" s="655" t="s">
        <v>590</v>
      </c>
      <c r="EB23" s="691">
        <v>114543464</v>
      </c>
      <c r="EC23" s="691">
        <v>0</v>
      </c>
      <c r="ED23" s="691">
        <v>0</v>
      </c>
      <c r="EE23" s="691">
        <f t="shared" si="35"/>
        <v>114543.46400000001</v>
      </c>
      <c r="EF23" s="691">
        <f t="shared" si="36"/>
        <v>0</v>
      </c>
      <c r="EG23" s="691">
        <f t="shared" si="37"/>
        <v>0</v>
      </c>
    </row>
    <row r="24" spans="1:137" x14ac:dyDescent="0.2">
      <c r="A24" s="920" t="s">
        <v>418</v>
      </c>
      <c r="B24" s="721" t="s">
        <v>323</v>
      </c>
      <c r="C24" s="920" t="s">
        <v>586</v>
      </c>
      <c r="D24" s="721" t="s">
        <v>587</v>
      </c>
      <c r="E24" s="721">
        <v>0</v>
      </c>
      <c r="F24" s="721">
        <v>0</v>
      </c>
      <c r="G24" s="721">
        <v>2340000</v>
      </c>
      <c r="H24" s="920">
        <f t="shared" si="7"/>
        <v>0</v>
      </c>
      <c r="I24" s="920">
        <f t="shared" si="8"/>
        <v>0</v>
      </c>
      <c r="J24" s="920">
        <f t="shared" si="9"/>
        <v>2340</v>
      </c>
      <c r="T24" s="655" t="s">
        <v>418</v>
      </c>
      <c r="U24" s="655" t="s">
        <v>323</v>
      </c>
      <c r="V24" s="664" t="s">
        <v>586</v>
      </c>
      <c r="W24" s="655" t="s">
        <v>587</v>
      </c>
      <c r="X24" s="920">
        <v>14400662</v>
      </c>
      <c r="Y24" s="920">
        <v>0</v>
      </c>
      <c r="Z24" s="920">
        <v>0</v>
      </c>
      <c r="AA24" s="920">
        <f t="shared" si="11"/>
        <v>14400.662</v>
      </c>
      <c r="AB24" s="920">
        <f t="shared" si="12"/>
        <v>0</v>
      </c>
      <c r="AC24" s="920">
        <f t="shared" si="13"/>
        <v>0</v>
      </c>
      <c r="AL24" s="655" t="s">
        <v>418</v>
      </c>
      <c r="AM24" s="655" t="s">
        <v>323</v>
      </c>
      <c r="AN24" s="655" t="s">
        <v>586</v>
      </c>
      <c r="AO24" s="655" t="s">
        <v>587</v>
      </c>
      <c r="AP24" s="721">
        <v>14400662</v>
      </c>
      <c r="AQ24" s="721">
        <v>0</v>
      </c>
      <c r="AR24" s="721">
        <v>0</v>
      </c>
      <c r="AS24" s="721">
        <f t="shared" si="15"/>
        <v>14400.662</v>
      </c>
      <c r="AT24" s="721">
        <f t="shared" si="16"/>
        <v>0</v>
      </c>
      <c r="AU24" s="721">
        <f t="shared" si="17"/>
        <v>0</v>
      </c>
      <c r="BD24" s="688" t="s">
        <v>418</v>
      </c>
      <c r="BE24" s="689" t="s">
        <v>323</v>
      </c>
      <c r="BF24" s="688" t="s">
        <v>586</v>
      </c>
      <c r="BG24" s="921" t="s">
        <v>587</v>
      </c>
      <c r="BH24" s="690">
        <v>14400662</v>
      </c>
      <c r="BI24" s="690">
        <v>0</v>
      </c>
      <c r="BJ24" s="690">
        <v>0</v>
      </c>
      <c r="BK24" s="690">
        <f t="shared" si="19"/>
        <v>14400.662</v>
      </c>
      <c r="BL24" s="690">
        <f t="shared" si="20"/>
        <v>0</v>
      </c>
      <c r="BM24" s="690">
        <f t="shared" si="21"/>
        <v>0</v>
      </c>
      <c r="BV24" s="667" t="s">
        <v>418</v>
      </c>
      <c r="BW24" s="663" t="s">
        <v>323</v>
      </c>
      <c r="BX24" s="668" t="s">
        <v>586</v>
      </c>
      <c r="BY24" s="663" t="s">
        <v>587</v>
      </c>
      <c r="BZ24" s="665">
        <v>14400662</v>
      </c>
      <c r="CA24" s="665">
        <v>0</v>
      </c>
      <c r="CB24" s="665">
        <v>0</v>
      </c>
      <c r="CC24" s="669">
        <f t="shared" si="23"/>
        <v>14400.662</v>
      </c>
      <c r="CD24" s="669">
        <f t="shared" si="24"/>
        <v>0</v>
      </c>
      <c r="CE24" s="670">
        <f t="shared" si="25"/>
        <v>0</v>
      </c>
      <c r="CN24" s="655" t="s">
        <v>418</v>
      </c>
      <c r="CO24" s="655" t="s">
        <v>323</v>
      </c>
      <c r="CP24" s="655" t="s">
        <v>419</v>
      </c>
      <c r="CQ24" s="655" t="s">
        <v>467</v>
      </c>
      <c r="CR24" s="721">
        <v>84290798</v>
      </c>
      <c r="CS24" s="721">
        <v>0</v>
      </c>
      <c r="CT24" s="721">
        <v>0</v>
      </c>
      <c r="CU24" s="721">
        <f t="shared" si="27"/>
        <v>84290.797999999995</v>
      </c>
      <c r="CV24" s="721">
        <f t="shared" si="28"/>
        <v>0</v>
      </c>
      <c r="CW24" s="721">
        <f t="shared" si="29"/>
        <v>0</v>
      </c>
      <c r="DF24" s="655" t="s">
        <v>418</v>
      </c>
      <c r="DG24" s="655" t="s">
        <v>323</v>
      </c>
      <c r="DH24" s="655" t="s">
        <v>419</v>
      </c>
      <c r="DI24" s="655" t="s">
        <v>467</v>
      </c>
      <c r="DJ24" s="721">
        <v>84290798</v>
      </c>
      <c r="DK24" s="721">
        <v>0</v>
      </c>
      <c r="DL24" s="721">
        <v>0</v>
      </c>
      <c r="DM24" s="721">
        <f t="shared" si="31"/>
        <v>84290.797999999995</v>
      </c>
      <c r="DN24" s="721">
        <f t="shared" si="32"/>
        <v>0</v>
      </c>
      <c r="DO24" s="721">
        <f t="shared" si="33"/>
        <v>0</v>
      </c>
      <c r="DX24" s="655" t="s">
        <v>418</v>
      </c>
      <c r="DY24" s="655" t="s">
        <v>323</v>
      </c>
      <c r="DZ24" s="655" t="s">
        <v>419</v>
      </c>
      <c r="EA24" s="655" t="s">
        <v>467</v>
      </c>
      <c r="EB24" s="691">
        <v>84290798</v>
      </c>
      <c r="EC24" s="691">
        <v>0</v>
      </c>
      <c r="ED24" s="691">
        <v>0</v>
      </c>
      <c r="EE24" s="691">
        <f t="shared" si="35"/>
        <v>84290.797999999995</v>
      </c>
      <c r="EF24" s="691">
        <f t="shared" si="36"/>
        <v>0</v>
      </c>
      <c r="EG24" s="691">
        <f t="shared" si="37"/>
        <v>0</v>
      </c>
    </row>
    <row r="25" spans="1:137" x14ac:dyDescent="0.2">
      <c r="A25" s="920" t="s">
        <v>418</v>
      </c>
      <c r="B25" s="721" t="s">
        <v>323</v>
      </c>
      <c r="C25" s="920" t="s">
        <v>474</v>
      </c>
      <c r="D25" s="721" t="s">
        <v>465</v>
      </c>
      <c r="E25" s="721">
        <v>0</v>
      </c>
      <c r="F25" s="721">
        <v>0</v>
      </c>
      <c r="G25" s="721">
        <v>0</v>
      </c>
      <c r="H25" s="920">
        <f t="shared" si="7"/>
        <v>0</v>
      </c>
      <c r="I25" s="920">
        <f t="shared" si="8"/>
        <v>0</v>
      </c>
      <c r="J25" s="920">
        <f t="shared" si="9"/>
        <v>0</v>
      </c>
      <c r="T25" s="655" t="s">
        <v>418</v>
      </c>
      <c r="U25" s="655" t="s">
        <v>323</v>
      </c>
      <c r="V25" s="664" t="s">
        <v>474</v>
      </c>
      <c r="W25" s="655" t="s">
        <v>465</v>
      </c>
      <c r="X25" s="920">
        <v>0</v>
      </c>
      <c r="Y25" s="920">
        <v>0</v>
      </c>
      <c r="Z25" s="920">
        <v>0</v>
      </c>
      <c r="AA25" s="920">
        <f t="shared" si="11"/>
        <v>0</v>
      </c>
      <c r="AB25" s="920">
        <f t="shared" si="12"/>
        <v>0</v>
      </c>
      <c r="AC25" s="920">
        <f t="shared" si="13"/>
        <v>0</v>
      </c>
      <c r="AL25" s="655" t="s">
        <v>418</v>
      </c>
      <c r="AM25" s="655" t="s">
        <v>323</v>
      </c>
      <c r="AN25" s="655" t="s">
        <v>586</v>
      </c>
      <c r="AO25" s="655" t="s">
        <v>587</v>
      </c>
      <c r="AP25" s="721">
        <v>0</v>
      </c>
      <c r="AQ25" s="721">
        <v>780000</v>
      </c>
      <c r="AR25" s="721">
        <v>2340000</v>
      </c>
      <c r="AS25" s="721">
        <f t="shared" si="15"/>
        <v>0</v>
      </c>
      <c r="AT25" s="721">
        <f t="shared" si="16"/>
        <v>780</v>
      </c>
      <c r="AU25" s="721">
        <f t="shared" si="17"/>
        <v>2340</v>
      </c>
      <c r="BD25" s="688" t="s">
        <v>418</v>
      </c>
      <c r="BE25" s="689" t="s">
        <v>323</v>
      </c>
      <c r="BF25" s="688" t="s">
        <v>464</v>
      </c>
      <c r="BG25" s="921" t="s">
        <v>588</v>
      </c>
      <c r="BH25" s="690">
        <v>0</v>
      </c>
      <c r="BI25" s="690">
        <v>3808000</v>
      </c>
      <c r="BJ25" s="690">
        <v>9520000</v>
      </c>
      <c r="BK25" s="690">
        <f t="shared" si="19"/>
        <v>0</v>
      </c>
      <c r="BL25" s="690">
        <f t="shared" si="20"/>
        <v>3808</v>
      </c>
      <c r="BM25" s="690">
        <f t="shared" si="21"/>
        <v>9520</v>
      </c>
      <c r="BV25" s="667" t="s">
        <v>418</v>
      </c>
      <c r="BW25" s="663" t="s">
        <v>323</v>
      </c>
      <c r="BX25" s="668" t="s">
        <v>586</v>
      </c>
      <c r="BY25" s="663" t="s">
        <v>587</v>
      </c>
      <c r="BZ25" s="665">
        <v>0</v>
      </c>
      <c r="CA25" s="665">
        <v>2340000</v>
      </c>
      <c r="CB25" s="665">
        <v>1560000</v>
      </c>
      <c r="CC25" s="669">
        <f t="shared" si="23"/>
        <v>0</v>
      </c>
      <c r="CD25" s="669">
        <f t="shared" si="24"/>
        <v>2340</v>
      </c>
      <c r="CE25" s="670">
        <f t="shared" si="25"/>
        <v>1560</v>
      </c>
      <c r="CN25" s="655" t="s">
        <v>418</v>
      </c>
      <c r="CO25" s="655" t="s">
        <v>323</v>
      </c>
      <c r="CP25" s="655" t="s">
        <v>586</v>
      </c>
      <c r="CQ25" s="655" t="s">
        <v>587</v>
      </c>
      <c r="CR25" s="721">
        <v>14400662</v>
      </c>
      <c r="CS25" s="721">
        <v>0</v>
      </c>
      <c r="CT25" s="721">
        <v>0</v>
      </c>
      <c r="CU25" s="721">
        <f t="shared" si="27"/>
        <v>14400.662</v>
      </c>
      <c r="CV25" s="721">
        <f t="shared" si="28"/>
        <v>0</v>
      </c>
      <c r="CW25" s="721">
        <f t="shared" si="29"/>
        <v>0</v>
      </c>
      <c r="DF25" s="655" t="s">
        <v>418</v>
      </c>
      <c r="DG25" s="655" t="s">
        <v>323</v>
      </c>
      <c r="DH25" s="655" t="s">
        <v>586</v>
      </c>
      <c r="DI25" s="655" t="s">
        <v>587</v>
      </c>
      <c r="DJ25" s="721">
        <v>14400662</v>
      </c>
      <c r="DK25" s="721">
        <v>0</v>
      </c>
      <c r="DL25" s="721">
        <v>0</v>
      </c>
      <c r="DM25" s="721">
        <f t="shared" si="31"/>
        <v>14400.662</v>
      </c>
      <c r="DN25" s="721">
        <f t="shared" si="32"/>
        <v>0</v>
      </c>
      <c r="DO25" s="721">
        <f t="shared" si="33"/>
        <v>0</v>
      </c>
      <c r="DX25" s="655" t="s">
        <v>418</v>
      </c>
      <c r="DY25" s="655" t="s">
        <v>323</v>
      </c>
      <c r="DZ25" s="655" t="s">
        <v>586</v>
      </c>
      <c r="EA25" s="655" t="s">
        <v>587</v>
      </c>
      <c r="EB25" s="691">
        <v>14400662</v>
      </c>
      <c r="EC25" s="691">
        <v>0</v>
      </c>
      <c r="ED25" s="691">
        <v>0</v>
      </c>
      <c r="EE25" s="691">
        <f t="shared" si="35"/>
        <v>14400.662</v>
      </c>
      <c r="EF25" s="691">
        <f t="shared" si="36"/>
        <v>0</v>
      </c>
      <c r="EG25" s="691">
        <f t="shared" si="37"/>
        <v>0</v>
      </c>
    </row>
    <row r="26" spans="1:137" x14ac:dyDescent="0.2">
      <c r="A26" s="920" t="s">
        <v>1016</v>
      </c>
      <c r="B26" s="721" t="s">
        <v>495</v>
      </c>
      <c r="C26" s="920" t="s">
        <v>426</v>
      </c>
      <c r="D26" s="721" t="s">
        <v>426</v>
      </c>
      <c r="E26" s="721">
        <v>31260000</v>
      </c>
      <c r="F26" s="721">
        <v>0</v>
      </c>
      <c r="G26" s="721">
        <v>0</v>
      </c>
      <c r="H26" s="920">
        <f t="shared" si="7"/>
        <v>31260</v>
      </c>
      <c r="I26" s="920">
        <f t="shared" si="8"/>
        <v>0</v>
      </c>
      <c r="J26" s="920">
        <f t="shared" si="9"/>
        <v>0</v>
      </c>
      <c r="T26" s="655" t="s">
        <v>418</v>
      </c>
      <c r="U26" s="655" t="s">
        <v>323</v>
      </c>
      <c r="V26" s="664" t="s">
        <v>586</v>
      </c>
      <c r="W26" s="655" t="s">
        <v>587</v>
      </c>
      <c r="X26" s="920">
        <v>0</v>
      </c>
      <c r="Y26" s="920">
        <v>0</v>
      </c>
      <c r="Z26" s="920">
        <v>2340000</v>
      </c>
      <c r="AA26" s="920">
        <f t="shared" si="11"/>
        <v>0</v>
      </c>
      <c r="AB26" s="920">
        <f t="shared" si="12"/>
        <v>0</v>
      </c>
      <c r="AC26" s="920">
        <f t="shared" si="13"/>
        <v>2340</v>
      </c>
      <c r="AL26" s="655" t="s">
        <v>418</v>
      </c>
      <c r="AM26" s="655" t="s">
        <v>323</v>
      </c>
      <c r="AN26" s="655" t="s">
        <v>474</v>
      </c>
      <c r="AO26" s="655" t="s">
        <v>465</v>
      </c>
      <c r="AP26" s="721">
        <v>0</v>
      </c>
      <c r="AQ26" s="721">
        <v>0</v>
      </c>
      <c r="AR26" s="721">
        <v>0</v>
      </c>
      <c r="AS26" s="721">
        <f t="shared" si="15"/>
        <v>0</v>
      </c>
      <c r="AT26" s="721">
        <f t="shared" si="16"/>
        <v>0</v>
      </c>
      <c r="AU26" s="721">
        <f t="shared" si="17"/>
        <v>0</v>
      </c>
      <c r="BD26" s="688" t="s">
        <v>418</v>
      </c>
      <c r="BE26" s="689" t="s">
        <v>323</v>
      </c>
      <c r="BF26" s="688" t="s">
        <v>426</v>
      </c>
      <c r="BG26" s="921" t="s">
        <v>426</v>
      </c>
      <c r="BH26" s="690">
        <v>0</v>
      </c>
      <c r="BI26" s="690">
        <v>0</v>
      </c>
      <c r="BJ26" s="690">
        <v>0</v>
      </c>
      <c r="BK26" s="690">
        <f t="shared" si="19"/>
        <v>0</v>
      </c>
      <c r="BL26" s="690">
        <f t="shared" si="20"/>
        <v>0</v>
      </c>
      <c r="BM26" s="690">
        <f t="shared" si="21"/>
        <v>0</v>
      </c>
      <c r="BV26" s="667" t="s">
        <v>418</v>
      </c>
      <c r="BW26" s="663" t="s">
        <v>323</v>
      </c>
      <c r="BX26" s="668" t="s">
        <v>474</v>
      </c>
      <c r="BY26" s="663" t="s">
        <v>465</v>
      </c>
      <c r="BZ26" s="665">
        <v>0</v>
      </c>
      <c r="CA26" s="665">
        <v>0</v>
      </c>
      <c r="CB26" s="665">
        <v>0</v>
      </c>
      <c r="CC26" s="669">
        <f t="shared" si="23"/>
        <v>0</v>
      </c>
      <c r="CD26" s="669">
        <f t="shared" si="24"/>
        <v>0</v>
      </c>
      <c r="CE26" s="670">
        <f t="shared" si="25"/>
        <v>0</v>
      </c>
      <c r="CN26" s="655" t="s">
        <v>418</v>
      </c>
      <c r="CO26" s="655" t="s">
        <v>323</v>
      </c>
      <c r="CP26" s="655" t="s">
        <v>474</v>
      </c>
      <c r="CQ26" s="655" t="s">
        <v>465</v>
      </c>
      <c r="CR26" s="721">
        <v>0</v>
      </c>
      <c r="CS26" s="721">
        <v>0</v>
      </c>
      <c r="CT26" s="721">
        <v>0</v>
      </c>
      <c r="CU26" s="721">
        <f t="shared" si="27"/>
        <v>0</v>
      </c>
      <c r="CV26" s="721">
        <f t="shared" si="28"/>
        <v>0</v>
      </c>
      <c r="CW26" s="721">
        <f t="shared" si="29"/>
        <v>0</v>
      </c>
      <c r="DF26" s="655" t="s">
        <v>418</v>
      </c>
      <c r="DG26" s="655" t="s">
        <v>323</v>
      </c>
      <c r="DH26" s="655" t="s">
        <v>426</v>
      </c>
      <c r="DI26" s="655" t="s">
        <v>426</v>
      </c>
      <c r="DJ26" s="721">
        <v>0</v>
      </c>
      <c r="DK26" s="721">
        <v>0</v>
      </c>
      <c r="DL26" s="721">
        <v>0</v>
      </c>
      <c r="DM26" s="721">
        <f t="shared" si="31"/>
        <v>0</v>
      </c>
      <c r="DN26" s="721">
        <f t="shared" si="32"/>
        <v>0</v>
      </c>
      <c r="DO26" s="721">
        <f t="shared" si="33"/>
        <v>0</v>
      </c>
      <c r="DX26" s="655" t="s">
        <v>418</v>
      </c>
      <c r="DY26" s="655" t="s">
        <v>323</v>
      </c>
      <c r="DZ26" s="655" t="s">
        <v>586</v>
      </c>
      <c r="EA26" s="655" t="s">
        <v>587</v>
      </c>
      <c r="EB26" s="691">
        <v>0</v>
      </c>
      <c r="EC26" s="691">
        <v>2340000</v>
      </c>
      <c r="ED26" s="691">
        <v>2340000</v>
      </c>
      <c r="EE26" s="691">
        <f t="shared" si="35"/>
        <v>0</v>
      </c>
      <c r="EF26" s="691">
        <f t="shared" si="36"/>
        <v>2340</v>
      </c>
      <c r="EG26" s="691">
        <f t="shared" si="37"/>
        <v>2340</v>
      </c>
    </row>
    <row r="27" spans="1:137" x14ac:dyDescent="0.2">
      <c r="A27" s="920" t="s">
        <v>1016</v>
      </c>
      <c r="B27" s="721" t="s">
        <v>495</v>
      </c>
      <c r="C27" s="920" t="s">
        <v>426</v>
      </c>
      <c r="D27" s="721" t="s">
        <v>426</v>
      </c>
      <c r="E27" s="721">
        <v>0</v>
      </c>
      <c r="F27" s="721">
        <v>0</v>
      </c>
      <c r="G27" s="721">
        <v>22571207</v>
      </c>
      <c r="H27" s="920">
        <f t="shared" si="7"/>
        <v>0</v>
      </c>
      <c r="I27" s="920">
        <f t="shared" si="8"/>
        <v>0</v>
      </c>
      <c r="J27" s="920">
        <f t="shared" si="9"/>
        <v>22571.206999999999</v>
      </c>
      <c r="T27" s="655" t="s">
        <v>418</v>
      </c>
      <c r="U27" s="655" t="s">
        <v>323</v>
      </c>
      <c r="V27" s="664" t="s">
        <v>426</v>
      </c>
      <c r="W27" s="655" t="s">
        <v>426</v>
      </c>
      <c r="X27" s="920">
        <v>0</v>
      </c>
      <c r="Y27" s="920">
        <v>0</v>
      </c>
      <c r="Z27" s="920">
        <v>0</v>
      </c>
      <c r="AA27" s="920">
        <f t="shared" si="11"/>
        <v>0</v>
      </c>
      <c r="AB27" s="920">
        <f t="shared" si="12"/>
        <v>0</v>
      </c>
      <c r="AC27" s="920">
        <f t="shared" si="13"/>
        <v>0</v>
      </c>
      <c r="AL27" s="655" t="s">
        <v>418</v>
      </c>
      <c r="AM27" s="655" t="s">
        <v>323</v>
      </c>
      <c r="AN27" s="655" t="s">
        <v>464</v>
      </c>
      <c r="AO27" s="655" t="s">
        <v>588</v>
      </c>
      <c r="AP27" s="721">
        <v>0</v>
      </c>
      <c r="AQ27" s="721">
        <v>0</v>
      </c>
      <c r="AR27" s="721">
        <v>9520000</v>
      </c>
      <c r="AS27" s="721">
        <f t="shared" si="15"/>
        <v>0</v>
      </c>
      <c r="AT27" s="721">
        <f t="shared" si="16"/>
        <v>0</v>
      </c>
      <c r="AU27" s="721">
        <f t="shared" si="17"/>
        <v>9520</v>
      </c>
      <c r="BD27" s="688" t="s">
        <v>418</v>
      </c>
      <c r="BE27" s="689" t="s">
        <v>323</v>
      </c>
      <c r="BF27" s="688" t="s">
        <v>426</v>
      </c>
      <c r="BG27" s="921" t="s">
        <v>426</v>
      </c>
      <c r="BH27" s="690">
        <v>0</v>
      </c>
      <c r="BI27" s="690">
        <v>0</v>
      </c>
      <c r="BJ27" s="690">
        <v>0</v>
      </c>
      <c r="BK27" s="690">
        <f t="shared" si="19"/>
        <v>0</v>
      </c>
      <c r="BL27" s="690">
        <f t="shared" si="20"/>
        <v>0</v>
      </c>
      <c r="BM27" s="690">
        <f t="shared" si="21"/>
        <v>0</v>
      </c>
      <c r="BV27" s="667" t="s">
        <v>418</v>
      </c>
      <c r="BW27" s="663" t="s">
        <v>323</v>
      </c>
      <c r="BX27" s="668" t="s">
        <v>439</v>
      </c>
      <c r="BY27" s="663" t="s">
        <v>590</v>
      </c>
      <c r="BZ27" s="665">
        <v>0</v>
      </c>
      <c r="CA27" s="665">
        <v>23859500</v>
      </c>
      <c r="CB27" s="665">
        <v>0</v>
      </c>
      <c r="CC27" s="669">
        <f t="shared" si="23"/>
        <v>0</v>
      </c>
      <c r="CD27" s="669">
        <f t="shared" si="24"/>
        <v>23859.5</v>
      </c>
      <c r="CE27" s="670">
        <f t="shared" si="25"/>
        <v>0</v>
      </c>
      <c r="CN27" s="655" t="s">
        <v>418</v>
      </c>
      <c r="CO27" s="655" t="s">
        <v>323</v>
      </c>
      <c r="CP27" s="655" t="s">
        <v>439</v>
      </c>
      <c r="CQ27" s="655" t="s">
        <v>590</v>
      </c>
      <c r="CR27" s="721">
        <v>0</v>
      </c>
      <c r="CS27" s="721">
        <v>23859500</v>
      </c>
      <c r="CT27" s="721">
        <v>0</v>
      </c>
      <c r="CU27" s="721">
        <f t="shared" si="27"/>
        <v>0</v>
      </c>
      <c r="CV27" s="721">
        <f t="shared" si="28"/>
        <v>23859.5</v>
      </c>
      <c r="CW27" s="721">
        <f t="shared" si="29"/>
        <v>0</v>
      </c>
      <c r="DF27" s="655" t="s">
        <v>418</v>
      </c>
      <c r="DG27" s="655" t="s">
        <v>323</v>
      </c>
      <c r="DH27" s="655" t="s">
        <v>426</v>
      </c>
      <c r="DI27" s="655" t="s">
        <v>426</v>
      </c>
      <c r="DJ27" s="721">
        <v>0</v>
      </c>
      <c r="DK27" s="721">
        <v>0</v>
      </c>
      <c r="DL27" s="721">
        <v>0</v>
      </c>
      <c r="DM27" s="721">
        <f t="shared" si="31"/>
        <v>0</v>
      </c>
      <c r="DN27" s="721">
        <f t="shared" si="32"/>
        <v>0</v>
      </c>
      <c r="DO27" s="721">
        <f t="shared" si="33"/>
        <v>0</v>
      </c>
      <c r="DX27" s="655" t="s">
        <v>418</v>
      </c>
      <c r="DY27" s="655" t="s">
        <v>323</v>
      </c>
      <c r="DZ27" s="655" t="s">
        <v>426</v>
      </c>
      <c r="EA27" s="655" t="s">
        <v>426</v>
      </c>
      <c r="EB27" s="691">
        <v>0</v>
      </c>
      <c r="EC27" s="691">
        <v>0</v>
      </c>
      <c r="ED27" s="691">
        <v>0</v>
      </c>
      <c r="EE27" s="691">
        <f t="shared" si="35"/>
        <v>0</v>
      </c>
      <c r="EF27" s="691">
        <f t="shared" si="36"/>
        <v>0</v>
      </c>
      <c r="EG27" s="691">
        <f t="shared" si="37"/>
        <v>0</v>
      </c>
    </row>
    <row r="28" spans="1:137" x14ac:dyDescent="0.2">
      <c r="A28" s="920" t="s">
        <v>1017</v>
      </c>
      <c r="B28" s="721" t="s">
        <v>846</v>
      </c>
      <c r="C28" s="920" t="s">
        <v>426</v>
      </c>
      <c r="D28" s="721" t="s">
        <v>426</v>
      </c>
      <c r="E28" s="721">
        <v>1000</v>
      </c>
      <c r="F28" s="721">
        <v>0</v>
      </c>
      <c r="G28" s="721">
        <v>0</v>
      </c>
      <c r="H28" s="920">
        <f t="shared" si="7"/>
        <v>1</v>
      </c>
      <c r="I28" s="920">
        <f t="shared" si="8"/>
        <v>0</v>
      </c>
      <c r="J28" s="920">
        <f t="shared" si="9"/>
        <v>0</v>
      </c>
      <c r="T28" s="655" t="s">
        <v>418</v>
      </c>
      <c r="U28" s="655" t="s">
        <v>323</v>
      </c>
      <c r="V28" s="664" t="s">
        <v>473</v>
      </c>
      <c r="W28" s="655" t="s">
        <v>589</v>
      </c>
      <c r="X28" s="920">
        <v>0</v>
      </c>
      <c r="Y28" s="920">
        <v>89818844</v>
      </c>
      <c r="Z28" s="920">
        <v>89818844</v>
      </c>
      <c r="AA28" s="920">
        <f t="shared" si="11"/>
        <v>0</v>
      </c>
      <c r="AB28" s="920">
        <f t="shared" si="12"/>
        <v>89818.843999999997</v>
      </c>
      <c r="AC28" s="920">
        <f t="shared" si="13"/>
        <v>89818.843999999997</v>
      </c>
      <c r="AL28" s="655" t="s">
        <v>418</v>
      </c>
      <c r="AM28" s="655" t="s">
        <v>323</v>
      </c>
      <c r="AN28" s="655" t="s">
        <v>426</v>
      </c>
      <c r="AO28" s="655" t="s">
        <v>426</v>
      </c>
      <c r="AP28" s="721">
        <v>0</v>
      </c>
      <c r="AQ28" s="721">
        <v>0</v>
      </c>
      <c r="AR28" s="721">
        <v>0</v>
      </c>
      <c r="AS28" s="721">
        <f t="shared" si="15"/>
        <v>0</v>
      </c>
      <c r="AT28" s="721">
        <f t="shared" si="16"/>
        <v>0</v>
      </c>
      <c r="AU28" s="721">
        <f t="shared" si="17"/>
        <v>0</v>
      </c>
      <c r="BD28" s="688" t="s">
        <v>418</v>
      </c>
      <c r="BE28" s="689" t="s">
        <v>323</v>
      </c>
      <c r="BF28" s="688" t="s">
        <v>586</v>
      </c>
      <c r="BG28" s="921" t="s">
        <v>587</v>
      </c>
      <c r="BH28" s="690">
        <v>0</v>
      </c>
      <c r="BI28" s="690">
        <v>780000</v>
      </c>
      <c r="BJ28" s="690">
        <v>2340000</v>
      </c>
      <c r="BK28" s="690">
        <f t="shared" si="19"/>
        <v>0</v>
      </c>
      <c r="BL28" s="690">
        <f t="shared" si="20"/>
        <v>780</v>
      </c>
      <c r="BM28" s="690">
        <f t="shared" si="21"/>
        <v>2340</v>
      </c>
      <c r="BV28" s="667" t="s">
        <v>418</v>
      </c>
      <c r="BW28" s="663" t="s">
        <v>323</v>
      </c>
      <c r="BX28" s="668" t="s">
        <v>426</v>
      </c>
      <c r="BY28" s="663" t="s">
        <v>426</v>
      </c>
      <c r="BZ28" s="665">
        <v>0</v>
      </c>
      <c r="CA28" s="665">
        <v>0</v>
      </c>
      <c r="CB28" s="665">
        <v>0</v>
      </c>
      <c r="CC28" s="669">
        <f t="shared" si="23"/>
        <v>0</v>
      </c>
      <c r="CD28" s="669">
        <f t="shared" si="24"/>
        <v>0</v>
      </c>
      <c r="CE28" s="670">
        <f t="shared" si="25"/>
        <v>0</v>
      </c>
      <c r="CN28" s="655" t="s">
        <v>418</v>
      </c>
      <c r="CO28" s="655" t="s">
        <v>323</v>
      </c>
      <c r="CP28" s="655" t="s">
        <v>464</v>
      </c>
      <c r="CQ28" s="655" t="s">
        <v>588</v>
      </c>
      <c r="CR28" s="721">
        <v>0</v>
      </c>
      <c r="CS28" s="721">
        <v>345520000</v>
      </c>
      <c r="CT28" s="721">
        <v>339808000</v>
      </c>
      <c r="CU28" s="721">
        <f t="shared" si="27"/>
        <v>0</v>
      </c>
      <c r="CV28" s="721">
        <f t="shared" si="28"/>
        <v>345520</v>
      </c>
      <c r="CW28" s="721">
        <f t="shared" si="29"/>
        <v>339808</v>
      </c>
      <c r="DF28" s="655" t="s">
        <v>418</v>
      </c>
      <c r="DG28" s="655" t="s">
        <v>323</v>
      </c>
      <c r="DH28" s="655" t="s">
        <v>473</v>
      </c>
      <c r="DI28" s="655" t="s">
        <v>589</v>
      </c>
      <c r="DJ28" s="721">
        <v>0</v>
      </c>
      <c r="DK28" s="721">
        <v>119818844</v>
      </c>
      <c r="DL28" s="721">
        <v>119818844</v>
      </c>
      <c r="DM28" s="721">
        <f t="shared" si="31"/>
        <v>0</v>
      </c>
      <c r="DN28" s="721">
        <f t="shared" si="32"/>
        <v>119818.844</v>
      </c>
      <c r="DO28" s="721">
        <f t="shared" si="33"/>
        <v>119818.844</v>
      </c>
      <c r="DX28" s="655" t="s">
        <v>418</v>
      </c>
      <c r="DY28" s="655" t="s">
        <v>323</v>
      </c>
      <c r="DZ28" s="655" t="s">
        <v>426</v>
      </c>
      <c r="EA28" s="655" t="s">
        <v>426</v>
      </c>
      <c r="EB28" s="691">
        <v>0</v>
      </c>
      <c r="EC28" s="691">
        <v>0</v>
      </c>
      <c r="ED28" s="691">
        <v>0</v>
      </c>
      <c r="EE28" s="691">
        <f t="shared" si="35"/>
        <v>0</v>
      </c>
      <c r="EF28" s="691">
        <f t="shared" si="36"/>
        <v>0</v>
      </c>
      <c r="EG28" s="691">
        <f t="shared" si="37"/>
        <v>0</v>
      </c>
    </row>
    <row r="29" spans="1:137" x14ac:dyDescent="0.2">
      <c r="A29" s="920" t="s">
        <v>884</v>
      </c>
      <c r="B29" s="721" t="s">
        <v>885</v>
      </c>
      <c r="C29" s="920" t="s">
        <v>426</v>
      </c>
      <c r="D29" s="721" t="s">
        <v>426</v>
      </c>
      <c r="E29" s="721">
        <v>1000</v>
      </c>
      <c r="F29" s="721">
        <v>0</v>
      </c>
      <c r="G29" s="721">
        <v>0</v>
      </c>
      <c r="H29" s="920">
        <f t="shared" si="7"/>
        <v>1</v>
      </c>
      <c r="I29" s="920">
        <f t="shared" si="8"/>
        <v>0</v>
      </c>
      <c r="J29" s="920">
        <f t="shared" si="9"/>
        <v>0</v>
      </c>
      <c r="T29" s="655" t="s">
        <v>1016</v>
      </c>
      <c r="U29" s="655" t="s">
        <v>495</v>
      </c>
      <c r="V29" s="664" t="s">
        <v>426</v>
      </c>
      <c r="W29" s="655" t="s">
        <v>426</v>
      </c>
      <c r="X29" s="920">
        <v>31260000</v>
      </c>
      <c r="Y29" s="920">
        <v>0</v>
      </c>
      <c r="Z29" s="920">
        <v>0</v>
      </c>
      <c r="AA29" s="920">
        <f t="shared" si="11"/>
        <v>31260</v>
      </c>
      <c r="AB29" s="920">
        <f t="shared" si="12"/>
        <v>0</v>
      </c>
      <c r="AC29" s="920">
        <f t="shared" si="13"/>
        <v>0</v>
      </c>
      <c r="AL29" s="655" t="s">
        <v>418</v>
      </c>
      <c r="AM29" s="655" t="s">
        <v>323</v>
      </c>
      <c r="AN29" s="655" t="s">
        <v>426</v>
      </c>
      <c r="AO29" s="655" t="s">
        <v>426</v>
      </c>
      <c r="AP29" s="721">
        <v>0</v>
      </c>
      <c r="AQ29" s="721">
        <v>0</v>
      </c>
      <c r="AR29" s="721">
        <v>0</v>
      </c>
      <c r="AS29" s="721">
        <f t="shared" si="15"/>
        <v>0</v>
      </c>
      <c r="AT29" s="721">
        <f t="shared" si="16"/>
        <v>0</v>
      </c>
      <c r="AU29" s="721">
        <f t="shared" si="17"/>
        <v>0</v>
      </c>
      <c r="BD29" s="688" t="s">
        <v>418</v>
      </c>
      <c r="BE29" s="689" t="s">
        <v>323</v>
      </c>
      <c r="BF29" s="688" t="s">
        <v>439</v>
      </c>
      <c r="BG29" s="921" t="s">
        <v>590</v>
      </c>
      <c r="BH29" s="690">
        <v>0</v>
      </c>
      <c r="BI29" s="690">
        <v>0</v>
      </c>
      <c r="BJ29" s="690">
        <v>23859500</v>
      </c>
      <c r="BK29" s="690">
        <f t="shared" si="19"/>
        <v>0</v>
      </c>
      <c r="BL29" s="690">
        <f t="shared" si="20"/>
        <v>0</v>
      </c>
      <c r="BM29" s="690">
        <f t="shared" si="21"/>
        <v>23859.5</v>
      </c>
      <c r="BV29" s="667" t="s">
        <v>418</v>
      </c>
      <c r="BW29" s="663" t="s">
        <v>323</v>
      </c>
      <c r="BX29" s="668" t="s">
        <v>464</v>
      </c>
      <c r="BY29" s="663" t="s">
        <v>588</v>
      </c>
      <c r="BZ29" s="665">
        <v>0</v>
      </c>
      <c r="CA29" s="665">
        <v>9520000</v>
      </c>
      <c r="CB29" s="665">
        <v>3808000</v>
      </c>
      <c r="CC29" s="669">
        <f t="shared" si="23"/>
        <v>0</v>
      </c>
      <c r="CD29" s="669">
        <f t="shared" si="24"/>
        <v>9520</v>
      </c>
      <c r="CE29" s="670">
        <f t="shared" si="25"/>
        <v>3808</v>
      </c>
      <c r="CN29" s="655" t="s">
        <v>418</v>
      </c>
      <c r="CO29" s="655" t="s">
        <v>323</v>
      </c>
      <c r="CP29" s="655" t="s">
        <v>473</v>
      </c>
      <c r="CQ29" s="655" t="s">
        <v>589</v>
      </c>
      <c r="CR29" s="721">
        <v>0</v>
      </c>
      <c r="CS29" s="721">
        <v>119818844</v>
      </c>
      <c r="CT29" s="721">
        <v>119818844</v>
      </c>
      <c r="CU29" s="721">
        <f t="shared" si="27"/>
        <v>0</v>
      </c>
      <c r="CV29" s="721">
        <f t="shared" si="28"/>
        <v>119818.844</v>
      </c>
      <c r="CW29" s="721">
        <f t="shared" si="29"/>
        <v>119818.844</v>
      </c>
      <c r="DF29" s="655" t="s">
        <v>418</v>
      </c>
      <c r="DG29" s="655" t="s">
        <v>323</v>
      </c>
      <c r="DH29" s="655" t="s">
        <v>439</v>
      </c>
      <c r="DI29" s="655" t="s">
        <v>590</v>
      </c>
      <c r="DJ29" s="721">
        <v>0</v>
      </c>
      <c r="DK29" s="721">
        <v>7157850</v>
      </c>
      <c r="DL29" s="721">
        <v>23859500</v>
      </c>
      <c r="DM29" s="721">
        <f t="shared" si="31"/>
        <v>0</v>
      </c>
      <c r="DN29" s="721">
        <f t="shared" si="32"/>
        <v>7157.85</v>
      </c>
      <c r="DO29" s="721">
        <f t="shared" si="33"/>
        <v>23859.5</v>
      </c>
      <c r="DX29" s="655" t="s">
        <v>418</v>
      </c>
      <c r="DY29" s="655" t="s">
        <v>323</v>
      </c>
      <c r="DZ29" s="655" t="s">
        <v>439</v>
      </c>
      <c r="EA29" s="655" t="s">
        <v>590</v>
      </c>
      <c r="EB29" s="691">
        <v>0</v>
      </c>
      <c r="EC29" s="691">
        <v>98829500</v>
      </c>
      <c r="ED29" s="691">
        <v>7157850</v>
      </c>
      <c r="EE29" s="691">
        <f t="shared" si="35"/>
        <v>0</v>
      </c>
      <c r="EF29" s="691">
        <f t="shared" si="36"/>
        <v>98829.5</v>
      </c>
      <c r="EG29" s="691">
        <f t="shared" si="37"/>
        <v>7157.85</v>
      </c>
    </row>
    <row r="30" spans="1:137" x14ac:dyDescent="0.2">
      <c r="A30" s="920" t="s">
        <v>987</v>
      </c>
      <c r="B30" s="721" t="s">
        <v>855</v>
      </c>
      <c r="C30" s="920" t="s">
        <v>426</v>
      </c>
      <c r="D30" s="721" t="s">
        <v>426</v>
      </c>
      <c r="E30" s="721">
        <v>1000</v>
      </c>
      <c r="F30" s="721">
        <v>0</v>
      </c>
      <c r="G30" s="721">
        <v>0</v>
      </c>
      <c r="H30" s="920">
        <f t="shared" si="7"/>
        <v>1</v>
      </c>
      <c r="I30" s="920">
        <f t="shared" si="8"/>
        <v>0</v>
      </c>
      <c r="J30" s="920">
        <f t="shared" si="9"/>
        <v>0</v>
      </c>
      <c r="T30" s="655" t="s">
        <v>1016</v>
      </c>
      <c r="U30" s="655" t="s">
        <v>495</v>
      </c>
      <c r="V30" s="664" t="s">
        <v>426</v>
      </c>
      <c r="W30" s="655" t="s">
        <v>426</v>
      </c>
      <c r="X30" s="920">
        <v>0</v>
      </c>
      <c r="Y30" s="920">
        <v>2700000</v>
      </c>
      <c r="Z30" s="920">
        <v>22571207</v>
      </c>
      <c r="AA30" s="920">
        <f t="shared" si="11"/>
        <v>0</v>
      </c>
      <c r="AB30" s="920">
        <f t="shared" si="12"/>
        <v>2700</v>
      </c>
      <c r="AC30" s="920">
        <f t="shared" si="13"/>
        <v>22571.206999999999</v>
      </c>
      <c r="AL30" s="655" t="s">
        <v>418</v>
      </c>
      <c r="AM30" s="655" t="s">
        <v>323</v>
      </c>
      <c r="AN30" s="655" t="s">
        <v>473</v>
      </c>
      <c r="AO30" s="655" t="s">
        <v>589</v>
      </c>
      <c r="AP30" s="721">
        <v>0</v>
      </c>
      <c r="AQ30" s="721">
        <v>89818844</v>
      </c>
      <c r="AR30" s="721">
        <v>89818844</v>
      </c>
      <c r="AS30" s="721">
        <f t="shared" si="15"/>
        <v>0</v>
      </c>
      <c r="AT30" s="721">
        <f t="shared" si="16"/>
        <v>89818.843999999997</v>
      </c>
      <c r="AU30" s="721">
        <f t="shared" si="17"/>
        <v>89818.843999999997</v>
      </c>
      <c r="BD30" s="688" t="s">
        <v>418</v>
      </c>
      <c r="BE30" s="689" t="s">
        <v>323</v>
      </c>
      <c r="BF30" s="688" t="s">
        <v>473</v>
      </c>
      <c r="BG30" s="921" t="s">
        <v>589</v>
      </c>
      <c r="BH30" s="690">
        <v>0</v>
      </c>
      <c r="BI30" s="690">
        <v>89818844</v>
      </c>
      <c r="BJ30" s="690">
        <v>89818844</v>
      </c>
      <c r="BK30" s="690">
        <f t="shared" si="19"/>
        <v>0</v>
      </c>
      <c r="BL30" s="690">
        <f t="shared" si="20"/>
        <v>89818.843999999997</v>
      </c>
      <c r="BM30" s="690">
        <f t="shared" si="21"/>
        <v>89818.843999999997</v>
      </c>
      <c r="BV30" s="667" t="s">
        <v>418</v>
      </c>
      <c r="BW30" s="663" t="s">
        <v>323</v>
      </c>
      <c r="BX30" s="668" t="s">
        <v>426</v>
      </c>
      <c r="BY30" s="663" t="s">
        <v>426</v>
      </c>
      <c r="BZ30" s="665">
        <v>0</v>
      </c>
      <c r="CA30" s="665">
        <v>0</v>
      </c>
      <c r="CB30" s="665">
        <v>0</v>
      </c>
      <c r="CC30" s="669">
        <f t="shared" si="23"/>
        <v>0</v>
      </c>
      <c r="CD30" s="669">
        <f t="shared" si="24"/>
        <v>0</v>
      </c>
      <c r="CE30" s="670">
        <f t="shared" si="25"/>
        <v>0</v>
      </c>
      <c r="CN30" s="655" t="s">
        <v>418</v>
      </c>
      <c r="CO30" s="655" t="s">
        <v>323</v>
      </c>
      <c r="CP30" s="655" t="s">
        <v>426</v>
      </c>
      <c r="CQ30" s="655" t="s">
        <v>426</v>
      </c>
      <c r="CR30" s="721">
        <v>0</v>
      </c>
      <c r="CS30" s="721">
        <v>0</v>
      </c>
      <c r="CT30" s="721">
        <v>0</v>
      </c>
      <c r="CU30" s="721">
        <f t="shared" si="27"/>
        <v>0</v>
      </c>
      <c r="CV30" s="721">
        <f t="shared" si="28"/>
        <v>0</v>
      </c>
      <c r="CW30" s="721">
        <f t="shared" si="29"/>
        <v>0</v>
      </c>
      <c r="DF30" s="655" t="s">
        <v>418</v>
      </c>
      <c r="DG30" s="655" t="s">
        <v>323</v>
      </c>
      <c r="DH30" s="655" t="s">
        <v>426</v>
      </c>
      <c r="DI30" s="655" t="s">
        <v>426</v>
      </c>
      <c r="DJ30" s="721">
        <v>0</v>
      </c>
      <c r="DK30" s="721">
        <v>0</v>
      </c>
      <c r="DL30" s="721">
        <v>0</v>
      </c>
      <c r="DM30" s="721">
        <f t="shared" si="31"/>
        <v>0</v>
      </c>
      <c r="DN30" s="721">
        <f t="shared" si="32"/>
        <v>0</v>
      </c>
      <c r="DO30" s="721">
        <f t="shared" si="33"/>
        <v>0</v>
      </c>
      <c r="DX30" s="655" t="s">
        <v>418</v>
      </c>
      <c r="DY30" s="655" t="s">
        <v>323</v>
      </c>
      <c r="DZ30" s="655" t="s">
        <v>473</v>
      </c>
      <c r="EA30" s="655" t="s">
        <v>589</v>
      </c>
      <c r="EB30" s="691">
        <v>0</v>
      </c>
      <c r="EC30" s="691">
        <v>119818844</v>
      </c>
      <c r="ED30" s="691">
        <v>119818844</v>
      </c>
      <c r="EE30" s="691">
        <f t="shared" si="35"/>
        <v>0</v>
      </c>
      <c r="EF30" s="691">
        <f t="shared" si="36"/>
        <v>119818.844</v>
      </c>
      <c r="EG30" s="691">
        <f t="shared" si="37"/>
        <v>119818.844</v>
      </c>
    </row>
    <row r="31" spans="1:137" x14ac:dyDescent="0.2">
      <c r="A31" s="920" t="s">
        <v>1018</v>
      </c>
      <c r="B31" s="721" t="s">
        <v>856</v>
      </c>
      <c r="C31" s="920" t="s">
        <v>426</v>
      </c>
      <c r="D31" s="721" t="s">
        <v>426</v>
      </c>
      <c r="E31" s="721">
        <v>1000</v>
      </c>
      <c r="F31" s="721">
        <v>0</v>
      </c>
      <c r="G31" s="721">
        <v>0</v>
      </c>
      <c r="H31" s="920">
        <f t="shared" si="7"/>
        <v>1</v>
      </c>
      <c r="I31" s="920">
        <f t="shared" si="8"/>
        <v>0</v>
      </c>
      <c r="J31" s="920">
        <f t="shared" si="9"/>
        <v>0</v>
      </c>
      <c r="T31" s="655" t="s">
        <v>1017</v>
      </c>
      <c r="U31" s="655" t="s">
        <v>846</v>
      </c>
      <c r="V31" s="664" t="s">
        <v>426</v>
      </c>
      <c r="W31" s="655" t="s">
        <v>426</v>
      </c>
      <c r="X31" s="920">
        <v>1000</v>
      </c>
      <c r="Y31" s="920">
        <v>0</v>
      </c>
      <c r="Z31" s="920">
        <v>0</v>
      </c>
      <c r="AA31" s="920">
        <f t="shared" si="11"/>
        <v>1</v>
      </c>
      <c r="AB31" s="920">
        <f t="shared" si="12"/>
        <v>0</v>
      </c>
      <c r="AC31" s="920">
        <f t="shared" si="13"/>
        <v>0</v>
      </c>
      <c r="AL31" s="655" t="s">
        <v>1016</v>
      </c>
      <c r="AM31" s="655" t="s">
        <v>495</v>
      </c>
      <c r="AN31" s="655" t="s">
        <v>426</v>
      </c>
      <c r="AO31" s="655" t="s">
        <v>426</v>
      </c>
      <c r="AP31" s="721">
        <v>31260000</v>
      </c>
      <c r="AQ31" s="721">
        <v>0</v>
      </c>
      <c r="AR31" s="721">
        <v>0</v>
      </c>
      <c r="AS31" s="721">
        <f t="shared" si="15"/>
        <v>31260</v>
      </c>
      <c r="AT31" s="721">
        <f t="shared" si="16"/>
        <v>0</v>
      </c>
      <c r="AU31" s="721">
        <f t="shared" si="17"/>
        <v>0</v>
      </c>
      <c r="BD31" s="688" t="s">
        <v>418</v>
      </c>
      <c r="BE31" s="689" t="s">
        <v>323</v>
      </c>
      <c r="BF31" s="688" t="s">
        <v>474</v>
      </c>
      <c r="BG31" s="921" t="s">
        <v>465</v>
      </c>
      <c r="BH31" s="690">
        <v>0</v>
      </c>
      <c r="BI31" s="690">
        <v>0</v>
      </c>
      <c r="BJ31" s="690">
        <v>0</v>
      </c>
      <c r="BK31" s="690">
        <f t="shared" si="19"/>
        <v>0</v>
      </c>
      <c r="BL31" s="690">
        <f t="shared" si="20"/>
        <v>0</v>
      </c>
      <c r="BM31" s="690">
        <f t="shared" si="21"/>
        <v>0</v>
      </c>
      <c r="BV31" s="667" t="s">
        <v>418</v>
      </c>
      <c r="BW31" s="663" t="s">
        <v>323</v>
      </c>
      <c r="BX31" s="668" t="s">
        <v>426</v>
      </c>
      <c r="BY31" s="663" t="s">
        <v>426</v>
      </c>
      <c r="BZ31" s="665">
        <v>0</v>
      </c>
      <c r="CA31" s="665">
        <v>0</v>
      </c>
      <c r="CB31" s="665">
        <v>0</v>
      </c>
      <c r="CC31" s="669">
        <f t="shared" si="23"/>
        <v>0</v>
      </c>
      <c r="CD31" s="669">
        <f t="shared" si="24"/>
        <v>0</v>
      </c>
      <c r="CE31" s="670">
        <f t="shared" si="25"/>
        <v>0</v>
      </c>
      <c r="CN31" s="655" t="s">
        <v>418</v>
      </c>
      <c r="CO31" s="655" t="s">
        <v>323</v>
      </c>
      <c r="CP31" s="655" t="s">
        <v>426</v>
      </c>
      <c r="CQ31" s="655" t="s">
        <v>426</v>
      </c>
      <c r="CR31" s="721">
        <v>0</v>
      </c>
      <c r="CS31" s="721">
        <v>0</v>
      </c>
      <c r="CT31" s="721">
        <v>0</v>
      </c>
      <c r="CU31" s="721">
        <f t="shared" si="27"/>
        <v>0</v>
      </c>
      <c r="CV31" s="721">
        <f t="shared" si="28"/>
        <v>0</v>
      </c>
      <c r="CW31" s="721">
        <f t="shared" si="29"/>
        <v>0</v>
      </c>
      <c r="DF31" s="655" t="s">
        <v>418</v>
      </c>
      <c r="DG31" s="655" t="s">
        <v>323</v>
      </c>
      <c r="DH31" s="655" t="s">
        <v>464</v>
      </c>
      <c r="DI31" s="655" t="s">
        <v>588</v>
      </c>
      <c r="DJ31" s="721">
        <v>0</v>
      </c>
      <c r="DK31" s="721">
        <v>339808000</v>
      </c>
      <c r="DL31" s="721">
        <v>345520000</v>
      </c>
      <c r="DM31" s="721">
        <f t="shared" si="31"/>
        <v>0</v>
      </c>
      <c r="DN31" s="721">
        <f t="shared" si="32"/>
        <v>339808</v>
      </c>
      <c r="DO31" s="721">
        <f t="shared" si="33"/>
        <v>345520</v>
      </c>
      <c r="DX31" s="655" t="s">
        <v>418</v>
      </c>
      <c r="DY31" s="655" t="s">
        <v>323</v>
      </c>
      <c r="DZ31" s="655" t="s">
        <v>426</v>
      </c>
      <c r="EA31" s="655" t="s">
        <v>426</v>
      </c>
      <c r="EB31" s="691">
        <v>0</v>
      </c>
      <c r="EC31" s="691">
        <v>0</v>
      </c>
      <c r="ED31" s="691">
        <v>0</v>
      </c>
      <c r="EE31" s="691">
        <f t="shared" si="35"/>
        <v>0</v>
      </c>
      <c r="EF31" s="691">
        <f t="shared" si="36"/>
        <v>0</v>
      </c>
      <c r="EG31" s="691">
        <f t="shared" si="37"/>
        <v>0</v>
      </c>
    </row>
    <row r="32" spans="1:137" x14ac:dyDescent="0.2">
      <c r="A32" s="920" t="s">
        <v>852</v>
      </c>
      <c r="B32" s="721" t="s">
        <v>51</v>
      </c>
      <c r="C32" s="920" t="s">
        <v>426</v>
      </c>
      <c r="D32" s="721" t="s">
        <v>426</v>
      </c>
      <c r="E32" s="721">
        <v>16000</v>
      </c>
      <c r="F32" s="721">
        <v>0</v>
      </c>
      <c r="G32" s="721">
        <v>0</v>
      </c>
      <c r="H32" s="920">
        <f t="shared" si="7"/>
        <v>16</v>
      </c>
      <c r="I32" s="920">
        <f t="shared" si="8"/>
        <v>0</v>
      </c>
      <c r="J32" s="920">
        <f t="shared" si="9"/>
        <v>0</v>
      </c>
      <c r="T32" s="655" t="s">
        <v>884</v>
      </c>
      <c r="U32" s="655" t="s">
        <v>885</v>
      </c>
      <c r="V32" s="664" t="s">
        <v>426</v>
      </c>
      <c r="W32" s="655" t="s">
        <v>426</v>
      </c>
      <c r="X32" s="920">
        <v>1000</v>
      </c>
      <c r="Y32" s="920">
        <v>0</v>
      </c>
      <c r="Z32" s="920">
        <v>0</v>
      </c>
      <c r="AA32" s="920">
        <f t="shared" si="11"/>
        <v>1</v>
      </c>
      <c r="AB32" s="920">
        <f t="shared" si="12"/>
        <v>0</v>
      </c>
      <c r="AC32" s="920">
        <f t="shared" si="13"/>
        <v>0</v>
      </c>
      <c r="AL32" s="655" t="s">
        <v>1016</v>
      </c>
      <c r="AM32" s="655" t="s">
        <v>495</v>
      </c>
      <c r="AN32" s="655" t="s">
        <v>426</v>
      </c>
      <c r="AO32" s="655" t="s">
        <v>426</v>
      </c>
      <c r="AP32" s="721">
        <v>0</v>
      </c>
      <c r="AQ32" s="721">
        <v>16271207</v>
      </c>
      <c r="AR32" s="721">
        <v>22571207</v>
      </c>
      <c r="AS32" s="721">
        <f t="shared" si="15"/>
        <v>0</v>
      </c>
      <c r="AT32" s="721">
        <f t="shared" si="16"/>
        <v>16271.207</v>
      </c>
      <c r="AU32" s="721">
        <f t="shared" si="17"/>
        <v>22571.206999999999</v>
      </c>
      <c r="BD32" s="688" t="s">
        <v>1016</v>
      </c>
      <c r="BE32" s="689" t="s">
        <v>495</v>
      </c>
      <c r="BF32" s="688" t="s">
        <v>426</v>
      </c>
      <c r="BG32" s="921" t="s">
        <v>426</v>
      </c>
      <c r="BH32" s="690">
        <v>31260000</v>
      </c>
      <c r="BI32" s="690">
        <v>0</v>
      </c>
      <c r="BJ32" s="690">
        <v>0</v>
      </c>
      <c r="BK32" s="690">
        <f t="shared" si="19"/>
        <v>31260</v>
      </c>
      <c r="BL32" s="690">
        <f t="shared" si="20"/>
        <v>0</v>
      </c>
      <c r="BM32" s="690">
        <f t="shared" si="21"/>
        <v>0</v>
      </c>
      <c r="BV32" s="667" t="s">
        <v>418</v>
      </c>
      <c r="BW32" s="663" t="s">
        <v>323</v>
      </c>
      <c r="BX32" s="668" t="s">
        <v>473</v>
      </c>
      <c r="BY32" s="663" t="s">
        <v>589</v>
      </c>
      <c r="BZ32" s="665">
        <v>0</v>
      </c>
      <c r="CA32" s="665">
        <v>119818844</v>
      </c>
      <c r="CB32" s="665">
        <v>119818844</v>
      </c>
      <c r="CC32" s="669">
        <f t="shared" si="23"/>
        <v>0</v>
      </c>
      <c r="CD32" s="669">
        <f t="shared" si="24"/>
        <v>119818.844</v>
      </c>
      <c r="CE32" s="670">
        <f t="shared" si="25"/>
        <v>119818.844</v>
      </c>
      <c r="CN32" s="655" t="s">
        <v>418</v>
      </c>
      <c r="CO32" s="655" t="s">
        <v>323</v>
      </c>
      <c r="CP32" s="655" t="s">
        <v>426</v>
      </c>
      <c r="CQ32" s="655" t="s">
        <v>426</v>
      </c>
      <c r="CR32" s="721">
        <v>0</v>
      </c>
      <c r="CS32" s="721">
        <v>0</v>
      </c>
      <c r="CT32" s="721">
        <v>0</v>
      </c>
      <c r="CU32" s="721">
        <f t="shared" si="27"/>
        <v>0</v>
      </c>
      <c r="CV32" s="721">
        <f t="shared" si="28"/>
        <v>0</v>
      </c>
      <c r="CW32" s="721">
        <f t="shared" si="29"/>
        <v>0</v>
      </c>
      <c r="DF32" s="655" t="s">
        <v>418</v>
      </c>
      <c r="DG32" s="655" t="s">
        <v>323</v>
      </c>
      <c r="DH32" s="655" t="s">
        <v>586</v>
      </c>
      <c r="DI32" s="655" t="s">
        <v>587</v>
      </c>
      <c r="DJ32" s="721">
        <v>0</v>
      </c>
      <c r="DK32" s="721">
        <v>1560000</v>
      </c>
      <c r="DL32" s="721">
        <v>2340000</v>
      </c>
      <c r="DM32" s="721">
        <f t="shared" si="31"/>
        <v>0</v>
      </c>
      <c r="DN32" s="721">
        <f t="shared" si="32"/>
        <v>1560</v>
      </c>
      <c r="DO32" s="721">
        <f t="shared" si="33"/>
        <v>2340</v>
      </c>
      <c r="DX32" s="655" t="s">
        <v>418</v>
      </c>
      <c r="DY32" s="655" t="s">
        <v>323</v>
      </c>
      <c r="DZ32" s="655" t="s">
        <v>464</v>
      </c>
      <c r="EA32" s="655" t="s">
        <v>588</v>
      </c>
      <c r="EB32" s="691">
        <v>0</v>
      </c>
      <c r="EC32" s="691">
        <v>345520000</v>
      </c>
      <c r="ED32" s="691">
        <v>339808000</v>
      </c>
      <c r="EE32" s="691">
        <f t="shared" si="35"/>
        <v>0</v>
      </c>
      <c r="EF32" s="691">
        <f t="shared" si="36"/>
        <v>345520</v>
      </c>
      <c r="EG32" s="691">
        <f t="shared" si="37"/>
        <v>339808</v>
      </c>
    </row>
    <row r="33" spans="1:137" x14ac:dyDescent="0.2">
      <c r="A33" s="920" t="s">
        <v>440</v>
      </c>
      <c r="B33" s="721" t="s">
        <v>441</v>
      </c>
      <c r="C33" s="920" t="s">
        <v>426</v>
      </c>
      <c r="D33" s="721" t="s">
        <v>426</v>
      </c>
      <c r="E33" s="721">
        <v>636942000</v>
      </c>
      <c r="F33" s="721">
        <v>0</v>
      </c>
      <c r="G33" s="721">
        <v>0</v>
      </c>
      <c r="H33" s="920">
        <f t="shared" si="7"/>
        <v>636942</v>
      </c>
      <c r="I33" s="920">
        <f t="shared" si="8"/>
        <v>0</v>
      </c>
      <c r="J33" s="920">
        <f t="shared" si="9"/>
        <v>0</v>
      </c>
      <c r="T33" s="655" t="s">
        <v>987</v>
      </c>
      <c r="U33" s="655" t="s">
        <v>855</v>
      </c>
      <c r="V33" s="664" t="s">
        <v>426</v>
      </c>
      <c r="W33" s="655" t="s">
        <v>426</v>
      </c>
      <c r="X33" s="920">
        <v>1000</v>
      </c>
      <c r="Y33" s="920">
        <v>0</v>
      </c>
      <c r="Z33" s="920">
        <v>0</v>
      </c>
      <c r="AA33" s="920">
        <f t="shared" si="11"/>
        <v>1</v>
      </c>
      <c r="AB33" s="920">
        <f t="shared" si="12"/>
        <v>0</v>
      </c>
      <c r="AC33" s="920">
        <f t="shared" si="13"/>
        <v>0</v>
      </c>
      <c r="AL33" s="655" t="s">
        <v>1017</v>
      </c>
      <c r="AM33" s="655" t="s">
        <v>846</v>
      </c>
      <c r="AN33" s="655" t="s">
        <v>426</v>
      </c>
      <c r="AO33" s="655" t="s">
        <v>426</v>
      </c>
      <c r="AP33" s="721">
        <v>1000</v>
      </c>
      <c r="AQ33" s="721">
        <v>0</v>
      </c>
      <c r="AR33" s="721">
        <v>0</v>
      </c>
      <c r="AS33" s="721">
        <f t="shared" si="15"/>
        <v>1</v>
      </c>
      <c r="AT33" s="721">
        <f t="shared" si="16"/>
        <v>0</v>
      </c>
      <c r="AU33" s="721">
        <f t="shared" si="17"/>
        <v>0</v>
      </c>
      <c r="BD33" s="688" t="s">
        <v>1016</v>
      </c>
      <c r="BE33" s="689" t="s">
        <v>495</v>
      </c>
      <c r="BF33" s="688" t="s">
        <v>426</v>
      </c>
      <c r="BG33" s="921" t="s">
        <v>426</v>
      </c>
      <c r="BH33" s="690">
        <v>0</v>
      </c>
      <c r="BI33" s="690">
        <v>16271207</v>
      </c>
      <c r="BJ33" s="690">
        <v>22571207</v>
      </c>
      <c r="BK33" s="690">
        <f t="shared" si="19"/>
        <v>0</v>
      </c>
      <c r="BL33" s="690">
        <f t="shared" si="20"/>
        <v>16271.207</v>
      </c>
      <c r="BM33" s="690">
        <f t="shared" si="21"/>
        <v>22571.206999999999</v>
      </c>
      <c r="BV33" s="667" t="s">
        <v>1016</v>
      </c>
      <c r="BW33" s="663" t="s">
        <v>495</v>
      </c>
      <c r="BX33" s="668" t="s">
        <v>426</v>
      </c>
      <c r="BY33" s="663" t="s">
        <v>426</v>
      </c>
      <c r="BZ33" s="665">
        <v>31260000</v>
      </c>
      <c r="CA33" s="665">
        <v>0</v>
      </c>
      <c r="CB33" s="665">
        <v>0</v>
      </c>
      <c r="CC33" s="669">
        <f t="shared" si="23"/>
        <v>31260</v>
      </c>
      <c r="CD33" s="669">
        <f t="shared" si="24"/>
        <v>0</v>
      </c>
      <c r="CE33" s="670">
        <f t="shared" si="25"/>
        <v>0</v>
      </c>
      <c r="CN33" s="655" t="s">
        <v>418</v>
      </c>
      <c r="CO33" s="655" t="s">
        <v>323</v>
      </c>
      <c r="CP33" s="655" t="s">
        <v>586</v>
      </c>
      <c r="CQ33" s="655" t="s">
        <v>587</v>
      </c>
      <c r="CR33" s="721">
        <v>0</v>
      </c>
      <c r="CS33" s="721">
        <v>2340000</v>
      </c>
      <c r="CT33" s="721">
        <v>1560000</v>
      </c>
      <c r="CU33" s="721">
        <f t="shared" si="27"/>
        <v>0</v>
      </c>
      <c r="CV33" s="721">
        <f t="shared" si="28"/>
        <v>2340</v>
      </c>
      <c r="CW33" s="721">
        <f t="shared" si="29"/>
        <v>1560</v>
      </c>
      <c r="DF33" s="655" t="s">
        <v>418</v>
      </c>
      <c r="DG33" s="655" t="s">
        <v>323</v>
      </c>
      <c r="DH33" s="655" t="s">
        <v>474</v>
      </c>
      <c r="DI33" s="655" t="s">
        <v>465</v>
      </c>
      <c r="DJ33" s="721">
        <v>0</v>
      </c>
      <c r="DK33" s="721">
        <v>0</v>
      </c>
      <c r="DL33" s="721">
        <v>0</v>
      </c>
      <c r="DM33" s="721">
        <f t="shared" si="31"/>
        <v>0</v>
      </c>
      <c r="DN33" s="721">
        <f t="shared" si="32"/>
        <v>0</v>
      </c>
      <c r="DO33" s="721">
        <f t="shared" si="33"/>
        <v>0</v>
      </c>
      <c r="DX33" s="655" t="s">
        <v>418</v>
      </c>
      <c r="DY33" s="655" t="s">
        <v>323</v>
      </c>
      <c r="DZ33" s="655" t="s">
        <v>474</v>
      </c>
      <c r="EA33" s="655" t="s">
        <v>465</v>
      </c>
      <c r="EB33" s="691">
        <v>0</v>
      </c>
      <c r="EC33" s="691">
        <v>0</v>
      </c>
      <c r="ED33" s="691">
        <v>0</v>
      </c>
      <c r="EE33" s="691">
        <f t="shared" si="35"/>
        <v>0</v>
      </c>
      <c r="EF33" s="691">
        <f t="shared" si="36"/>
        <v>0</v>
      </c>
      <c r="EG33" s="691">
        <f t="shared" si="37"/>
        <v>0</v>
      </c>
    </row>
    <row r="34" spans="1:137" x14ac:dyDescent="0.2">
      <c r="A34" s="920" t="s">
        <v>442</v>
      </c>
      <c r="B34" s="721" t="s">
        <v>443</v>
      </c>
      <c r="C34" s="920" t="s">
        <v>426</v>
      </c>
      <c r="D34" s="721" t="s">
        <v>426</v>
      </c>
      <c r="E34" s="721">
        <v>311367398</v>
      </c>
      <c r="F34" s="721">
        <v>0</v>
      </c>
      <c r="G34" s="721">
        <v>0</v>
      </c>
      <c r="H34" s="920">
        <f t="shared" si="7"/>
        <v>311367.39799999999</v>
      </c>
      <c r="I34" s="920">
        <f t="shared" si="8"/>
        <v>0</v>
      </c>
      <c r="J34" s="920">
        <f t="shared" si="9"/>
        <v>0</v>
      </c>
      <c r="T34" s="655" t="s">
        <v>1018</v>
      </c>
      <c r="U34" s="655" t="s">
        <v>856</v>
      </c>
      <c r="V34" s="664" t="s">
        <v>426</v>
      </c>
      <c r="W34" s="655" t="s">
        <v>426</v>
      </c>
      <c r="X34" s="920">
        <v>1000</v>
      </c>
      <c r="Y34" s="920">
        <v>0</v>
      </c>
      <c r="Z34" s="920">
        <v>0</v>
      </c>
      <c r="AA34" s="920">
        <f t="shared" si="11"/>
        <v>1</v>
      </c>
      <c r="AB34" s="920">
        <f t="shared" si="12"/>
        <v>0</v>
      </c>
      <c r="AC34" s="920">
        <f t="shared" si="13"/>
        <v>0</v>
      </c>
      <c r="AL34" s="655" t="s">
        <v>884</v>
      </c>
      <c r="AM34" s="655" t="s">
        <v>885</v>
      </c>
      <c r="AN34" s="655" t="s">
        <v>426</v>
      </c>
      <c r="AO34" s="655" t="s">
        <v>426</v>
      </c>
      <c r="AP34" s="721">
        <v>1000</v>
      </c>
      <c r="AQ34" s="721">
        <v>0</v>
      </c>
      <c r="AR34" s="721">
        <v>0</v>
      </c>
      <c r="AS34" s="721">
        <f t="shared" si="15"/>
        <v>1</v>
      </c>
      <c r="AT34" s="721">
        <f t="shared" si="16"/>
        <v>0</v>
      </c>
      <c r="AU34" s="721">
        <f t="shared" si="17"/>
        <v>0</v>
      </c>
      <c r="BD34" s="688" t="s">
        <v>1017</v>
      </c>
      <c r="BE34" s="689" t="s">
        <v>846</v>
      </c>
      <c r="BF34" s="688" t="s">
        <v>426</v>
      </c>
      <c r="BG34" s="921" t="s">
        <v>426</v>
      </c>
      <c r="BH34" s="690">
        <v>1000</v>
      </c>
      <c r="BI34" s="690">
        <v>0</v>
      </c>
      <c r="BJ34" s="690">
        <v>0</v>
      </c>
      <c r="BK34" s="690">
        <f t="shared" si="19"/>
        <v>1</v>
      </c>
      <c r="BL34" s="690">
        <f t="shared" si="20"/>
        <v>0</v>
      </c>
      <c r="BM34" s="690">
        <f t="shared" si="21"/>
        <v>0</v>
      </c>
      <c r="BV34" s="667" t="s">
        <v>1016</v>
      </c>
      <c r="BW34" s="663" t="s">
        <v>495</v>
      </c>
      <c r="BX34" s="668" t="s">
        <v>426</v>
      </c>
      <c r="BY34" s="663" t="s">
        <v>426</v>
      </c>
      <c r="BZ34" s="665">
        <v>0</v>
      </c>
      <c r="CA34" s="665">
        <v>22571207</v>
      </c>
      <c r="CB34" s="665">
        <v>16271207</v>
      </c>
      <c r="CC34" s="669">
        <f t="shared" si="23"/>
        <v>0</v>
      </c>
      <c r="CD34" s="669">
        <f t="shared" si="24"/>
        <v>22571.206999999999</v>
      </c>
      <c r="CE34" s="670">
        <f t="shared" si="25"/>
        <v>16271.207</v>
      </c>
      <c r="CN34" s="655" t="s">
        <v>1016</v>
      </c>
      <c r="CO34" s="655" t="s">
        <v>495</v>
      </c>
      <c r="CP34" s="655" t="s">
        <v>426</v>
      </c>
      <c r="CQ34" s="655" t="s">
        <v>426</v>
      </c>
      <c r="CR34" s="721">
        <v>31260000</v>
      </c>
      <c r="CS34" s="721">
        <v>0</v>
      </c>
      <c r="CT34" s="721">
        <v>0</v>
      </c>
      <c r="CU34" s="721">
        <f t="shared" si="27"/>
        <v>31260</v>
      </c>
      <c r="CV34" s="721">
        <f t="shared" si="28"/>
        <v>0</v>
      </c>
      <c r="CW34" s="721">
        <f t="shared" si="29"/>
        <v>0</v>
      </c>
      <c r="DF34" s="655" t="s">
        <v>1016</v>
      </c>
      <c r="DG34" s="655" t="s">
        <v>495</v>
      </c>
      <c r="DH34" s="655" t="s">
        <v>426</v>
      </c>
      <c r="DI34" s="655" t="s">
        <v>426</v>
      </c>
      <c r="DJ34" s="721">
        <v>31260000</v>
      </c>
      <c r="DK34" s="721">
        <v>0</v>
      </c>
      <c r="DL34" s="721">
        <v>0</v>
      </c>
      <c r="DM34" s="721">
        <f t="shared" si="31"/>
        <v>31260</v>
      </c>
      <c r="DN34" s="721">
        <f t="shared" si="32"/>
        <v>0</v>
      </c>
      <c r="DO34" s="721">
        <f t="shared" si="33"/>
        <v>0</v>
      </c>
      <c r="DX34" s="655" t="s">
        <v>1016</v>
      </c>
      <c r="DY34" s="655" t="s">
        <v>495</v>
      </c>
      <c r="DZ34" s="655" t="s">
        <v>426</v>
      </c>
      <c r="EA34" s="655" t="s">
        <v>426</v>
      </c>
      <c r="EB34" s="691">
        <v>31260000</v>
      </c>
      <c r="EC34" s="691">
        <v>0</v>
      </c>
      <c r="ED34" s="691">
        <v>0</v>
      </c>
      <c r="EE34" s="691">
        <f t="shared" si="35"/>
        <v>31260</v>
      </c>
      <c r="EF34" s="691">
        <f t="shared" si="36"/>
        <v>0</v>
      </c>
      <c r="EG34" s="691">
        <f t="shared" si="37"/>
        <v>0</v>
      </c>
    </row>
    <row r="35" spans="1:137" x14ac:dyDescent="0.2">
      <c r="A35" s="920" t="s">
        <v>442</v>
      </c>
      <c r="B35" s="721" t="s">
        <v>443</v>
      </c>
      <c r="C35" s="920" t="s">
        <v>426</v>
      </c>
      <c r="D35" s="721" t="s">
        <v>426</v>
      </c>
      <c r="E35" s="721">
        <v>0</v>
      </c>
      <c r="F35" s="721">
        <v>0</v>
      </c>
      <c r="G35" s="721">
        <v>171606990</v>
      </c>
      <c r="H35" s="920">
        <f t="shared" si="7"/>
        <v>0</v>
      </c>
      <c r="I35" s="920">
        <f t="shared" si="8"/>
        <v>0</v>
      </c>
      <c r="J35" s="920">
        <f t="shared" si="9"/>
        <v>171606.99</v>
      </c>
      <c r="T35" s="655" t="s">
        <v>852</v>
      </c>
      <c r="U35" s="655" t="s">
        <v>51</v>
      </c>
      <c r="V35" s="664" t="s">
        <v>426</v>
      </c>
      <c r="W35" s="655" t="s">
        <v>426</v>
      </c>
      <c r="X35" s="920">
        <v>16000</v>
      </c>
      <c r="Y35" s="920">
        <v>0</v>
      </c>
      <c r="Z35" s="920">
        <v>0</v>
      </c>
      <c r="AA35" s="920">
        <f t="shared" si="11"/>
        <v>16</v>
      </c>
      <c r="AB35" s="920">
        <f t="shared" si="12"/>
        <v>0</v>
      </c>
      <c r="AC35" s="920">
        <f t="shared" si="13"/>
        <v>0</v>
      </c>
      <c r="AL35" s="655" t="s">
        <v>987</v>
      </c>
      <c r="AM35" s="655" t="s">
        <v>855</v>
      </c>
      <c r="AN35" s="655" t="s">
        <v>426</v>
      </c>
      <c r="AO35" s="655" t="s">
        <v>426</v>
      </c>
      <c r="AP35" s="721">
        <v>1000</v>
      </c>
      <c r="AQ35" s="721">
        <v>0</v>
      </c>
      <c r="AR35" s="721">
        <v>0</v>
      </c>
      <c r="AS35" s="721">
        <f t="shared" si="15"/>
        <v>1</v>
      </c>
      <c r="AT35" s="721">
        <f t="shared" si="16"/>
        <v>0</v>
      </c>
      <c r="AU35" s="721">
        <f t="shared" si="17"/>
        <v>0</v>
      </c>
      <c r="BD35" s="688" t="s">
        <v>884</v>
      </c>
      <c r="BE35" s="689" t="s">
        <v>885</v>
      </c>
      <c r="BF35" s="688" t="s">
        <v>426</v>
      </c>
      <c r="BG35" s="921" t="s">
        <v>426</v>
      </c>
      <c r="BH35" s="690">
        <v>1000</v>
      </c>
      <c r="BI35" s="690">
        <v>0</v>
      </c>
      <c r="BJ35" s="690">
        <v>0</v>
      </c>
      <c r="BK35" s="690">
        <f t="shared" si="19"/>
        <v>1</v>
      </c>
      <c r="BL35" s="690">
        <f t="shared" si="20"/>
        <v>0</v>
      </c>
      <c r="BM35" s="690">
        <f t="shared" si="21"/>
        <v>0</v>
      </c>
      <c r="BV35" s="667" t="s">
        <v>1017</v>
      </c>
      <c r="BW35" s="663" t="s">
        <v>846</v>
      </c>
      <c r="BX35" s="668" t="s">
        <v>426</v>
      </c>
      <c r="BY35" s="663" t="s">
        <v>426</v>
      </c>
      <c r="BZ35" s="665">
        <v>1000</v>
      </c>
      <c r="CA35" s="665">
        <v>0</v>
      </c>
      <c r="CB35" s="665">
        <v>0</v>
      </c>
      <c r="CC35" s="669">
        <f t="shared" si="23"/>
        <v>1</v>
      </c>
      <c r="CD35" s="669">
        <f t="shared" si="24"/>
        <v>0</v>
      </c>
      <c r="CE35" s="670">
        <f t="shared" si="25"/>
        <v>0</v>
      </c>
      <c r="CN35" s="655" t="s">
        <v>1016</v>
      </c>
      <c r="CO35" s="655" t="s">
        <v>495</v>
      </c>
      <c r="CP35" s="655" t="s">
        <v>426</v>
      </c>
      <c r="CQ35" s="655" t="s">
        <v>426</v>
      </c>
      <c r="CR35" s="721">
        <v>0</v>
      </c>
      <c r="CS35" s="721">
        <v>22571207</v>
      </c>
      <c r="CT35" s="721">
        <v>16271207</v>
      </c>
      <c r="CU35" s="721">
        <f t="shared" si="27"/>
        <v>0</v>
      </c>
      <c r="CV35" s="721">
        <f t="shared" si="28"/>
        <v>22571.206999999999</v>
      </c>
      <c r="CW35" s="721">
        <f t="shared" si="29"/>
        <v>16271.207</v>
      </c>
      <c r="DF35" s="655" t="s">
        <v>1016</v>
      </c>
      <c r="DG35" s="655" t="s">
        <v>495</v>
      </c>
      <c r="DH35" s="655" t="s">
        <v>426</v>
      </c>
      <c r="DI35" s="655" t="s">
        <v>426</v>
      </c>
      <c r="DJ35" s="721">
        <v>0</v>
      </c>
      <c r="DK35" s="721">
        <v>16271207</v>
      </c>
      <c r="DL35" s="721">
        <v>25771207</v>
      </c>
      <c r="DM35" s="721">
        <f t="shared" si="31"/>
        <v>0</v>
      </c>
      <c r="DN35" s="721">
        <f t="shared" si="32"/>
        <v>16271.207</v>
      </c>
      <c r="DO35" s="721">
        <f t="shared" si="33"/>
        <v>25771.206999999999</v>
      </c>
      <c r="DX35" s="655" t="s">
        <v>1016</v>
      </c>
      <c r="DY35" s="655" t="s">
        <v>495</v>
      </c>
      <c r="DZ35" s="655" t="s">
        <v>426</v>
      </c>
      <c r="EA35" s="655" t="s">
        <v>426</v>
      </c>
      <c r="EB35" s="691">
        <v>0</v>
      </c>
      <c r="EC35" s="691">
        <v>25771207</v>
      </c>
      <c r="ED35" s="691">
        <v>16271207</v>
      </c>
      <c r="EE35" s="691">
        <f t="shared" si="35"/>
        <v>0</v>
      </c>
      <c r="EF35" s="691">
        <f t="shared" si="36"/>
        <v>25771.206999999999</v>
      </c>
      <c r="EG35" s="691">
        <f t="shared" si="37"/>
        <v>16271.207</v>
      </c>
    </row>
    <row r="36" spans="1:137" x14ac:dyDescent="0.2">
      <c r="A36" s="920" t="s">
        <v>501</v>
      </c>
      <c r="B36" s="721" t="s">
        <v>504</v>
      </c>
      <c r="C36" s="920" t="s">
        <v>426</v>
      </c>
      <c r="D36" s="721" t="s">
        <v>426</v>
      </c>
      <c r="E36" s="721">
        <v>236820785</v>
      </c>
      <c r="F36" s="721">
        <v>0</v>
      </c>
      <c r="G36" s="721">
        <v>0</v>
      </c>
      <c r="H36" s="920">
        <f t="shared" si="7"/>
        <v>236820.785</v>
      </c>
      <c r="I36" s="920">
        <f t="shared" si="8"/>
        <v>0</v>
      </c>
      <c r="J36" s="920">
        <f t="shared" si="9"/>
        <v>0</v>
      </c>
      <c r="T36" s="655" t="s">
        <v>440</v>
      </c>
      <c r="U36" s="655" t="s">
        <v>441</v>
      </c>
      <c r="V36" s="664" t="s">
        <v>426</v>
      </c>
      <c r="W36" s="655" t="s">
        <v>426</v>
      </c>
      <c r="X36" s="920">
        <v>596942183</v>
      </c>
      <c r="Y36" s="920">
        <v>0</v>
      </c>
      <c r="Z36" s="920">
        <v>0</v>
      </c>
      <c r="AA36" s="920">
        <f t="shared" si="11"/>
        <v>596942.18299999996</v>
      </c>
      <c r="AB36" s="920">
        <f t="shared" si="12"/>
        <v>0</v>
      </c>
      <c r="AC36" s="920">
        <f t="shared" si="13"/>
        <v>0</v>
      </c>
      <c r="AL36" s="655" t="s">
        <v>1018</v>
      </c>
      <c r="AM36" s="655" t="s">
        <v>856</v>
      </c>
      <c r="AN36" s="655" t="s">
        <v>426</v>
      </c>
      <c r="AO36" s="655" t="s">
        <v>426</v>
      </c>
      <c r="AP36" s="721">
        <v>1000</v>
      </c>
      <c r="AQ36" s="721">
        <v>0</v>
      </c>
      <c r="AR36" s="721">
        <v>0</v>
      </c>
      <c r="AS36" s="721">
        <f t="shared" si="15"/>
        <v>1</v>
      </c>
      <c r="AT36" s="721">
        <f t="shared" si="16"/>
        <v>0</v>
      </c>
      <c r="AU36" s="721">
        <f t="shared" si="17"/>
        <v>0</v>
      </c>
      <c r="BD36" s="688" t="s">
        <v>987</v>
      </c>
      <c r="BE36" s="689" t="s">
        <v>855</v>
      </c>
      <c r="BF36" s="688" t="s">
        <v>426</v>
      </c>
      <c r="BG36" s="921" t="s">
        <v>426</v>
      </c>
      <c r="BH36" s="690">
        <v>1000</v>
      </c>
      <c r="BI36" s="690">
        <v>0</v>
      </c>
      <c r="BJ36" s="690">
        <v>0</v>
      </c>
      <c r="BK36" s="690">
        <f t="shared" si="19"/>
        <v>1</v>
      </c>
      <c r="BL36" s="690">
        <f t="shared" si="20"/>
        <v>0</v>
      </c>
      <c r="BM36" s="690">
        <f t="shared" si="21"/>
        <v>0</v>
      </c>
      <c r="BV36" s="667" t="s">
        <v>884</v>
      </c>
      <c r="BW36" s="663" t="s">
        <v>885</v>
      </c>
      <c r="BX36" s="668" t="s">
        <v>426</v>
      </c>
      <c r="BY36" s="663" t="s">
        <v>426</v>
      </c>
      <c r="BZ36" s="665">
        <v>1000</v>
      </c>
      <c r="CA36" s="665">
        <v>0</v>
      </c>
      <c r="CB36" s="665">
        <v>0</v>
      </c>
      <c r="CC36" s="669">
        <f t="shared" si="23"/>
        <v>1</v>
      </c>
      <c r="CD36" s="669">
        <f t="shared" si="24"/>
        <v>0</v>
      </c>
      <c r="CE36" s="670">
        <f t="shared" si="25"/>
        <v>0</v>
      </c>
      <c r="CN36" s="655" t="s">
        <v>1017</v>
      </c>
      <c r="CO36" s="655" t="s">
        <v>846</v>
      </c>
      <c r="CP36" s="655" t="s">
        <v>426</v>
      </c>
      <c r="CQ36" s="655" t="s">
        <v>426</v>
      </c>
      <c r="CR36" s="721">
        <v>1000</v>
      </c>
      <c r="CS36" s="721">
        <v>0</v>
      </c>
      <c r="CT36" s="721">
        <v>0</v>
      </c>
      <c r="CU36" s="721">
        <f t="shared" si="27"/>
        <v>1</v>
      </c>
      <c r="CV36" s="721">
        <f t="shared" si="28"/>
        <v>0</v>
      </c>
      <c r="CW36" s="721">
        <f t="shared" si="29"/>
        <v>0</v>
      </c>
      <c r="DF36" s="655" t="s">
        <v>1017</v>
      </c>
      <c r="DG36" s="655" t="s">
        <v>846</v>
      </c>
      <c r="DH36" s="655" t="s">
        <v>426</v>
      </c>
      <c r="DI36" s="655" t="s">
        <v>426</v>
      </c>
      <c r="DJ36" s="721">
        <v>1000</v>
      </c>
      <c r="DK36" s="721">
        <v>0</v>
      </c>
      <c r="DL36" s="721">
        <v>0</v>
      </c>
      <c r="DM36" s="721">
        <f t="shared" si="31"/>
        <v>1</v>
      </c>
      <c r="DN36" s="721">
        <f t="shared" si="32"/>
        <v>0</v>
      </c>
      <c r="DO36" s="721">
        <f t="shared" si="33"/>
        <v>0</v>
      </c>
      <c r="DX36" s="655" t="s">
        <v>1017</v>
      </c>
      <c r="DY36" s="655" t="s">
        <v>846</v>
      </c>
      <c r="DZ36" s="655" t="s">
        <v>426</v>
      </c>
      <c r="EA36" s="655" t="s">
        <v>426</v>
      </c>
      <c r="EB36" s="691">
        <v>1000</v>
      </c>
      <c r="EC36" s="691">
        <v>0</v>
      </c>
      <c r="ED36" s="691">
        <v>0</v>
      </c>
      <c r="EE36" s="691">
        <f t="shared" si="35"/>
        <v>1</v>
      </c>
      <c r="EF36" s="691">
        <f t="shared" si="36"/>
        <v>0</v>
      </c>
      <c r="EG36" s="691">
        <f t="shared" si="37"/>
        <v>0</v>
      </c>
    </row>
    <row r="37" spans="1:137" x14ac:dyDescent="0.2">
      <c r="A37" s="920" t="s">
        <v>611</v>
      </c>
      <c r="B37" s="721" t="s">
        <v>612</v>
      </c>
      <c r="C37" s="920" t="s">
        <v>426</v>
      </c>
      <c r="D37" s="721" t="s">
        <v>426</v>
      </c>
      <c r="E37" s="721">
        <v>91100817</v>
      </c>
      <c r="F37" s="721">
        <v>0</v>
      </c>
      <c r="G37" s="721">
        <v>0</v>
      </c>
      <c r="H37" s="920">
        <f t="shared" si="7"/>
        <v>91100.816999999995</v>
      </c>
      <c r="I37" s="920">
        <f t="shared" si="8"/>
        <v>0</v>
      </c>
      <c r="J37" s="920">
        <f t="shared" si="9"/>
        <v>0</v>
      </c>
      <c r="T37" s="655" t="s">
        <v>442</v>
      </c>
      <c r="U37" s="655" t="s">
        <v>443</v>
      </c>
      <c r="V37" s="664" t="s">
        <v>426</v>
      </c>
      <c r="W37" s="655" t="s">
        <v>426</v>
      </c>
      <c r="X37" s="920">
        <v>315368000</v>
      </c>
      <c r="Y37" s="920">
        <v>0</v>
      </c>
      <c r="Z37" s="920">
        <v>0</v>
      </c>
      <c r="AA37" s="920">
        <f t="shared" si="11"/>
        <v>315368</v>
      </c>
      <c r="AB37" s="920">
        <f t="shared" si="12"/>
        <v>0</v>
      </c>
      <c r="AC37" s="920">
        <f t="shared" si="13"/>
        <v>0</v>
      </c>
      <c r="AL37" s="655" t="s">
        <v>852</v>
      </c>
      <c r="AM37" s="655" t="s">
        <v>51</v>
      </c>
      <c r="AN37" s="655" t="s">
        <v>426</v>
      </c>
      <c r="AO37" s="655" t="s">
        <v>426</v>
      </c>
      <c r="AP37" s="721">
        <v>16000</v>
      </c>
      <c r="AQ37" s="721">
        <v>0</v>
      </c>
      <c r="AR37" s="721">
        <v>0</v>
      </c>
      <c r="AS37" s="721">
        <f t="shared" si="15"/>
        <v>16</v>
      </c>
      <c r="AT37" s="721">
        <f t="shared" si="16"/>
        <v>0</v>
      </c>
      <c r="AU37" s="721">
        <f t="shared" si="17"/>
        <v>0</v>
      </c>
      <c r="BD37" s="688" t="s">
        <v>1018</v>
      </c>
      <c r="BE37" s="689" t="s">
        <v>856</v>
      </c>
      <c r="BF37" s="688" t="s">
        <v>426</v>
      </c>
      <c r="BG37" s="921" t="s">
        <v>426</v>
      </c>
      <c r="BH37" s="690">
        <v>1000</v>
      </c>
      <c r="BI37" s="690">
        <v>0</v>
      </c>
      <c r="BJ37" s="690">
        <v>0</v>
      </c>
      <c r="BK37" s="690">
        <f t="shared" si="19"/>
        <v>1</v>
      </c>
      <c r="BL37" s="690">
        <f t="shared" si="20"/>
        <v>0</v>
      </c>
      <c r="BM37" s="690">
        <f t="shared" si="21"/>
        <v>0</v>
      </c>
      <c r="BV37" s="667" t="s">
        <v>987</v>
      </c>
      <c r="BW37" s="663" t="s">
        <v>855</v>
      </c>
      <c r="BX37" s="668" t="s">
        <v>426</v>
      </c>
      <c r="BY37" s="663" t="s">
        <v>426</v>
      </c>
      <c r="BZ37" s="665">
        <v>1000</v>
      </c>
      <c r="CA37" s="665">
        <v>0</v>
      </c>
      <c r="CB37" s="665">
        <v>0</v>
      </c>
      <c r="CC37" s="669">
        <f t="shared" si="23"/>
        <v>1</v>
      </c>
      <c r="CD37" s="669">
        <f t="shared" si="24"/>
        <v>0</v>
      </c>
      <c r="CE37" s="670">
        <f t="shared" si="25"/>
        <v>0</v>
      </c>
      <c r="CN37" s="655" t="s">
        <v>884</v>
      </c>
      <c r="CO37" s="655" t="s">
        <v>885</v>
      </c>
      <c r="CP37" s="655" t="s">
        <v>426</v>
      </c>
      <c r="CQ37" s="655" t="s">
        <v>426</v>
      </c>
      <c r="CR37" s="721">
        <v>1000</v>
      </c>
      <c r="CS37" s="721">
        <v>0</v>
      </c>
      <c r="CT37" s="721">
        <v>0</v>
      </c>
      <c r="CU37" s="721">
        <f t="shared" si="27"/>
        <v>1</v>
      </c>
      <c r="CV37" s="721">
        <f t="shared" si="28"/>
        <v>0</v>
      </c>
      <c r="CW37" s="721">
        <f t="shared" si="29"/>
        <v>0</v>
      </c>
      <c r="DF37" s="655" t="s">
        <v>884</v>
      </c>
      <c r="DG37" s="655" t="s">
        <v>885</v>
      </c>
      <c r="DH37" s="655" t="s">
        <v>426</v>
      </c>
      <c r="DI37" s="655" t="s">
        <v>426</v>
      </c>
      <c r="DJ37" s="721">
        <v>1000</v>
      </c>
      <c r="DK37" s="721">
        <v>0</v>
      </c>
      <c r="DL37" s="721">
        <v>0</v>
      </c>
      <c r="DM37" s="721">
        <f t="shared" si="31"/>
        <v>1</v>
      </c>
      <c r="DN37" s="721">
        <f t="shared" si="32"/>
        <v>0</v>
      </c>
      <c r="DO37" s="721">
        <f t="shared" si="33"/>
        <v>0</v>
      </c>
      <c r="DX37" s="655" t="s">
        <v>884</v>
      </c>
      <c r="DY37" s="655" t="s">
        <v>885</v>
      </c>
      <c r="DZ37" s="655" t="s">
        <v>426</v>
      </c>
      <c r="EA37" s="655" t="s">
        <v>426</v>
      </c>
      <c r="EB37" s="691">
        <v>1000</v>
      </c>
      <c r="EC37" s="691">
        <v>0</v>
      </c>
      <c r="ED37" s="691">
        <v>0</v>
      </c>
      <c r="EE37" s="691">
        <f t="shared" si="35"/>
        <v>1</v>
      </c>
      <c r="EF37" s="691">
        <f t="shared" si="36"/>
        <v>0</v>
      </c>
      <c r="EG37" s="691">
        <f t="shared" si="37"/>
        <v>0</v>
      </c>
    </row>
    <row r="38" spans="1:137" x14ac:dyDescent="0.2">
      <c r="A38" s="920" t="s">
        <v>613</v>
      </c>
      <c r="B38" s="721" t="s">
        <v>614</v>
      </c>
      <c r="C38" s="920" t="s">
        <v>426</v>
      </c>
      <c r="D38" s="721" t="s">
        <v>426</v>
      </c>
      <c r="E38" s="721">
        <v>72000000</v>
      </c>
      <c r="F38" s="721">
        <v>0</v>
      </c>
      <c r="G38" s="721">
        <v>0</v>
      </c>
      <c r="H38" s="920">
        <f t="shared" si="7"/>
        <v>72000</v>
      </c>
      <c r="I38" s="920">
        <f t="shared" si="8"/>
        <v>0</v>
      </c>
      <c r="J38" s="920">
        <f t="shared" si="9"/>
        <v>0</v>
      </c>
      <c r="T38" s="655" t="s">
        <v>442</v>
      </c>
      <c r="U38" s="655" t="s">
        <v>443</v>
      </c>
      <c r="V38" s="664" t="s">
        <v>426</v>
      </c>
      <c r="W38" s="655" t="s">
        <v>426</v>
      </c>
      <c r="X38" s="920">
        <v>0</v>
      </c>
      <c r="Y38" s="920">
        <v>4506134</v>
      </c>
      <c r="Z38" s="920">
        <v>171606990</v>
      </c>
      <c r="AA38" s="920">
        <f t="shared" si="11"/>
        <v>0</v>
      </c>
      <c r="AB38" s="920">
        <f t="shared" si="12"/>
        <v>4506.134</v>
      </c>
      <c r="AC38" s="920">
        <f t="shared" si="13"/>
        <v>171606.99</v>
      </c>
      <c r="AL38" s="655" t="s">
        <v>440</v>
      </c>
      <c r="AM38" s="655" t="s">
        <v>441</v>
      </c>
      <c r="AN38" s="655" t="s">
        <v>426</v>
      </c>
      <c r="AO38" s="655" t="s">
        <v>426</v>
      </c>
      <c r="AP38" s="721">
        <v>596942183</v>
      </c>
      <c r="AQ38" s="721">
        <v>0</v>
      </c>
      <c r="AR38" s="721">
        <v>0</v>
      </c>
      <c r="AS38" s="721">
        <f t="shared" si="15"/>
        <v>596942.18299999996</v>
      </c>
      <c r="AT38" s="721">
        <f t="shared" si="16"/>
        <v>0</v>
      </c>
      <c r="AU38" s="721">
        <f t="shared" si="17"/>
        <v>0</v>
      </c>
      <c r="BD38" s="688" t="s">
        <v>852</v>
      </c>
      <c r="BE38" s="689" t="s">
        <v>51</v>
      </c>
      <c r="BF38" s="688" t="s">
        <v>426</v>
      </c>
      <c r="BG38" s="921" t="s">
        <v>426</v>
      </c>
      <c r="BH38" s="690">
        <v>16000</v>
      </c>
      <c r="BI38" s="690">
        <v>0</v>
      </c>
      <c r="BJ38" s="690">
        <v>0</v>
      </c>
      <c r="BK38" s="690">
        <f t="shared" si="19"/>
        <v>16</v>
      </c>
      <c r="BL38" s="690">
        <f t="shared" si="20"/>
        <v>0</v>
      </c>
      <c r="BM38" s="690">
        <f t="shared" si="21"/>
        <v>0</v>
      </c>
      <c r="BV38" s="667" t="s">
        <v>1018</v>
      </c>
      <c r="BW38" s="663" t="s">
        <v>856</v>
      </c>
      <c r="BX38" s="668" t="s">
        <v>426</v>
      </c>
      <c r="BY38" s="663" t="s">
        <v>426</v>
      </c>
      <c r="BZ38" s="665">
        <v>1000</v>
      </c>
      <c r="CA38" s="665">
        <v>0</v>
      </c>
      <c r="CB38" s="665">
        <v>0</v>
      </c>
      <c r="CC38" s="669">
        <f t="shared" si="23"/>
        <v>1</v>
      </c>
      <c r="CD38" s="669">
        <f t="shared" si="24"/>
        <v>0</v>
      </c>
      <c r="CE38" s="670">
        <f t="shared" si="25"/>
        <v>0</v>
      </c>
      <c r="CN38" s="655" t="s">
        <v>987</v>
      </c>
      <c r="CO38" s="655" t="s">
        <v>855</v>
      </c>
      <c r="CP38" s="655" t="s">
        <v>426</v>
      </c>
      <c r="CQ38" s="655" t="s">
        <v>426</v>
      </c>
      <c r="CR38" s="721">
        <v>1000</v>
      </c>
      <c r="CS38" s="721">
        <v>0</v>
      </c>
      <c r="CT38" s="721">
        <v>0</v>
      </c>
      <c r="CU38" s="721">
        <f t="shared" si="27"/>
        <v>1</v>
      </c>
      <c r="CV38" s="721">
        <f t="shared" si="28"/>
        <v>0</v>
      </c>
      <c r="CW38" s="721">
        <f t="shared" si="29"/>
        <v>0</v>
      </c>
      <c r="DF38" s="655" t="s">
        <v>987</v>
      </c>
      <c r="DG38" s="655" t="s">
        <v>855</v>
      </c>
      <c r="DH38" s="655" t="s">
        <v>426</v>
      </c>
      <c r="DI38" s="655" t="s">
        <v>426</v>
      </c>
      <c r="DJ38" s="721">
        <v>1000</v>
      </c>
      <c r="DK38" s="721">
        <v>0</v>
      </c>
      <c r="DL38" s="721">
        <v>0</v>
      </c>
      <c r="DM38" s="721">
        <f t="shared" si="31"/>
        <v>1</v>
      </c>
      <c r="DN38" s="721">
        <f t="shared" si="32"/>
        <v>0</v>
      </c>
      <c r="DO38" s="721">
        <f t="shared" si="33"/>
        <v>0</v>
      </c>
      <c r="DX38" s="655" t="s">
        <v>987</v>
      </c>
      <c r="DY38" s="655" t="s">
        <v>855</v>
      </c>
      <c r="DZ38" s="655" t="s">
        <v>426</v>
      </c>
      <c r="EA38" s="655" t="s">
        <v>426</v>
      </c>
      <c r="EB38" s="691">
        <v>1000</v>
      </c>
      <c r="EC38" s="691">
        <v>0</v>
      </c>
      <c r="ED38" s="691">
        <v>0</v>
      </c>
      <c r="EE38" s="691">
        <f t="shared" si="35"/>
        <v>1</v>
      </c>
      <c r="EF38" s="691">
        <f t="shared" si="36"/>
        <v>0</v>
      </c>
      <c r="EG38" s="691">
        <f t="shared" si="37"/>
        <v>0</v>
      </c>
    </row>
    <row r="39" spans="1:137" x14ac:dyDescent="0.2">
      <c r="A39" s="920" t="s">
        <v>431</v>
      </c>
      <c r="B39" s="721" t="s">
        <v>127</v>
      </c>
      <c r="C39" s="920" t="s">
        <v>426</v>
      </c>
      <c r="D39" s="721" t="s">
        <v>426</v>
      </c>
      <c r="E39" s="721">
        <v>10000</v>
      </c>
      <c r="F39" s="721">
        <v>0</v>
      </c>
      <c r="G39" s="721">
        <v>0</v>
      </c>
      <c r="H39" s="920">
        <f t="shared" si="7"/>
        <v>10</v>
      </c>
      <c r="I39" s="920">
        <f t="shared" si="8"/>
        <v>0</v>
      </c>
      <c r="J39" s="920">
        <f t="shared" si="9"/>
        <v>0</v>
      </c>
      <c r="T39" s="655" t="s">
        <v>501</v>
      </c>
      <c r="U39" s="655" t="s">
        <v>504</v>
      </c>
      <c r="V39" s="664" t="s">
        <v>426</v>
      </c>
      <c r="W39" s="655" t="s">
        <v>426</v>
      </c>
      <c r="X39" s="920">
        <v>272819581</v>
      </c>
      <c r="Y39" s="920">
        <v>0</v>
      </c>
      <c r="Z39" s="920">
        <v>0</v>
      </c>
      <c r="AA39" s="920">
        <f t="shared" si="11"/>
        <v>272819.58100000001</v>
      </c>
      <c r="AB39" s="920">
        <f t="shared" si="12"/>
        <v>0</v>
      </c>
      <c r="AC39" s="920">
        <f t="shared" si="13"/>
        <v>0</v>
      </c>
      <c r="AL39" s="655" t="s">
        <v>442</v>
      </c>
      <c r="AM39" s="655" t="s">
        <v>443</v>
      </c>
      <c r="AN39" s="655" t="s">
        <v>426</v>
      </c>
      <c r="AO39" s="655" t="s">
        <v>426</v>
      </c>
      <c r="AP39" s="721">
        <v>315368000</v>
      </c>
      <c r="AQ39" s="721">
        <v>0</v>
      </c>
      <c r="AR39" s="721">
        <v>0</v>
      </c>
      <c r="AS39" s="721">
        <f t="shared" si="15"/>
        <v>315368</v>
      </c>
      <c r="AT39" s="721">
        <f t="shared" si="16"/>
        <v>0</v>
      </c>
      <c r="AU39" s="721">
        <f t="shared" si="17"/>
        <v>0</v>
      </c>
      <c r="BD39" s="688" t="s">
        <v>440</v>
      </c>
      <c r="BE39" s="689" t="s">
        <v>441</v>
      </c>
      <c r="BF39" s="688" t="s">
        <v>426</v>
      </c>
      <c r="BG39" s="921" t="s">
        <v>426</v>
      </c>
      <c r="BH39" s="690">
        <v>596942183</v>
      </c>
      <c r="BI39" s="690">
        <v>0</v>
      </c>
      <c r="BJ39" s="690">
        <v>0</v>
      </c>
      <c r="BK39" s="690">
        <f t="shared" si="19"/>
        <v>596942.18299999996</v>
      </c>
      <c r="BL39" s="690">
        <f t="shared" si="20"/>
        <v>0</v>
      </c>
      <c r="BM39" s="690">
        <f t="shared" si="21"/>
        <v>0</v>
      </c>
      <c r="BV39" s="667" t="s">
        <v>852</v>
      </c>
      <c r="BW39" s="663" t="s">
        <v>51</v>
      </c>
      <c r="BX39" s="668" t="s">
        <v>426</v>
      </c>
      <c r="BY39" s="663" t="s">
        <v>426</v>
      </c>
      <c r="BZ39" s="665">
        <v>16000</v>
      </c>
      <c r="CA39" s="665">
        <v>0</v>
      </c>
      <c r="CB39" s="665">
        <v>0</v>
      </c>
      <c r="CC39" s="669">
        <f t="shared" si="23"/>
        <v>16</v>
      </c>
      <c r="CD39" s="669">
        <f t="shared" si="24"/>
        <v>0</v>
      </c>
      <c r="CE39" s="670">
        <f t="shared" si="25"/>
        <v>0</v>
      </c>
      <c r="CN39" s="655" t="s">
        <v>1018</v>
      </c>
      <c r="CO39" s="655" t="s">
        <v>856</v>
      </c>
      <c r="CP39" s="655" t="s">
        <v>426</v>
      </c>
      <c r="CQ39" s="655" t="s">
        <v>426</v>
      </c>
      <c r="CR39" s="721">
        <v>1000</v>
      </c>
      <c r="CS39" s="721">
        <v>0</v>
      </c>
      <c r="CT39" s="721">
        <v>0</v>
      </c>
      <c r="CU39" s="721">
        <f t="shared" si="27"/>
        <v>1</v>
      </c>
      <c r="CV39" s="721">
        <f t="shared" si="28"/>
        <v>0</v>
      </c>
      <c r="CW39" s="721">
        <f t="shared" si="29"/>
        <v>0</v>
      </c>
      <c r="DF39" s="655" t="s">
        <v>1018</v>
      </c>
      <c r="DG39" s="655" t="s">
        <v>856</v>
      </c>
      <c r="DH39" s="655" t="s">
        <v>426</v>
      </c>
      <c r="DI39" s="655" t="s">
        <v>426</v>
      </c>
      <c r="DJ39" s="721">
        <v>1000</v>
      </c>
      <c r="DK39" s="721">
        <v>0</v>
      </c>
      <c r="DL39" s="721">
        <v>0</v>
      </c>
      <c r="DM39" s="721">
        <f t="shared" si="31"/>
        <v>1</v>
      </c>
      <c r="DN39" s="721">
        <f t="shared" si="32"/>
        <v>0</v>
      </c>
      <c r="DO39" s="721">
        <f t="shared" si="33"/>
        <v>0</v>
      </c>
      <c r="DX39" s="655" t="s">
        <v>1018</v>
      </c>
      <c r="DY39" s="655" t="s">
        <v>856</v>
      </c>
      <c r="DZ39" s="655" t="s">
        <v>426</v>
      </c>
      <c r="EA39" s="655" t="s">
        <v>426</v>
      </c>
      <c r="EB39" s="691">
        <v>1000</v>
      </c>
      <c r="EC39" s="691">
        <v>0</v>
      </c>
      <c r="ED39" s="691">
        <v>0</v>
      </c>
      <c r="EE39" s="691">
        <f t="shared" si="35"/>
        <v>1</v>
      </c>
      <c r="EF39" s="691">
        <f t="shared" si="36"/>
        <v>0</v>
      </c>
      <c r="EG39" s="691">
        <f t="shared" si="37"/>
        <v>0</v>
      </c>
    </row>
    <row r="40" spans="1:137" x14ac:dyDescent="0.2">
      <c r="A40" s="920" t="s">
        <v>431</v>
      </c>
      <c r="B40" s="721" t="s">
        <v>127</v>
      </c>
      <c r="C40" s="920" t="s">
        <v>426</v>
      </c>
      <c r="D40" s="721" t="s">
        <v>426</v>
      </c>
      <c r="E40" s="721">
        <v>100</v>
      </c>
      <c r="F40" s="721">
        <v>0</v>
      </c>
      <c r="G40" s="721">
        <v>0</v>
      </c>
      <c r="H40" s="920">
        <f t="shared" si="7"/>
        <v>0.1</v>
      </c>
      <c r="I40" s="920">
        <f t="shared" si="8"/>
        <v>0</v>
      </c>
      <c r="J40" s="920">
        <f t="shared" si="9"/>
        <v>0</v>
      </c>
      <c r="T40" s="655" t="s">
        <v>611</v>
      </c>
      <c r="U40" s="655" t="s">
        <v>612</v>
      </c>
      <c r="V40" s="664" t="s">
        <v>426</v>
      </c>
      <c r="W40" s="655" t="s">
        <v>426</v>
      </c>
      <c r="X40" s="920">
        <v>91101236</v>
      </c>
      <c r="Y40" s="920">
        <v>0</v>
      </c>
      <c r="Z40" s="920">
        <v>0</v>
      </c>
      <c r="AA40" s="920">
        <f t="shared" si="11"/>
        <v>91101.236000000004</v>
      </c>
      <c r="AB40" s="920">
        <f t="shared" si="12"/>
        <v>0</v>
      </c>
      <c r="AC40" s="920">
        <f t="shared" si="13"/>
        <v>0</v>
      </c>
      <c r="AL40" s="655" t="s">
        <v>442</v>
      </c>
      <c r="AM40" s="655" t="s">
        <v>443</v>
      </c>
      <c r="AN40" s="655" t="s">
        <v>426</v>
      </c>
      <c r="AO40" s="655" t="s">
        <v>426</v>
      </c>
      <c r="AP40" s="721">
        <v>0</v>
      </c>
      <c r="AQ40" s="721">
        <v>28165308</v>
      </c>
      <c r="AR40" s="721">
        <v>171606990</v>
      </c>
      <c r="AS40" s="721">
        <f t="shared" si="15"/>
        <v>0</v>
      </c>
      <c r="AT40" s="721">
        <f t="shared" si="16"/>
        <v>28165.308000000001</v>
      </c>
      <c r="AU40" s="721">
        <f t="shared" si="17"/>
        <v>171606.99</v>
      </c>
      <c r="BD40" s="688" t="s">
        <v>442</v>
      </c>
      <c r="BE40" s="689" t="s">
        <v>443</v>
      </c>
      <c r="BF40" s="688" t="s">
        <v>426</v>
      </c>
      <c r="BG40" s="921" t="s">
        <v>426</v>
      </c>
      <c r="BH40" s="690">
        <v>315368000</v>
      </c>
      <c r="BI40" s="690">
        <v>0</v>
      </c>
      <c r="BJ40" s="690">
        <v>0</v>
      </c>
      <c r="BK40" s="690">
        <f t="shared" si="19"/>
        <v>315368</v>
      </c>
      <c r="BL40" s="690">
        <f t="shared" si="20"/>
        <v>0</v>
      </c>
      <c r="BM40" s="690">
        <f t="shared" si="21"/>
        <v>0</v>
      </c>
      <c r="BV40" s="667" t="s">
        <v>440</v>
      </c>
      <c r="BW40" s="663" t="s">
        <v>441</v>
      </c>
      <c r="BX40" s="668" t="s">
        <v>426</v>
      </c>
      <c r="BY40" s="663" t="s">
        <v>426</v>
      </c>
      <c r="BZ40" s="665">
        <v>630942183</v>
      </c>
      <c r="CA40" s="665">
        <v>0</v>
      </c>
      <c r="CB40" s="665">
        <v>0</v>
      </c>
      <c r="CC40" s="669">
        <f t="shared" si="23"/>
        <v>630942.18299999996</v>
      </c>
      <c r="CD40" s="669">
        <f t="shared" si="24"/>
        <v>0</v>
      </c>
      <c r="CE40" s="670">
        <f t="shared" si="25"/>
        <v>0</v>
      </c>
      <c r="CN40" s="655" t="s">
        <v>852</v>
      </c>
      <c r="CO40" s="655" t="s">
        <v>51</v>
      </c>
      <c r="CP40" s="655" t="s">
        <v>426</v>
      </c>
      <c r="CQ40" s="655" t="s">
        <v>426</v>
      </c>
      <c r="CR40" s="721">
        <v>16000</v>
      </c>
      <c r="CS40" s="721">
        <v>0</v>
      </c>
      <c r="CT40" s="721">
        <v>0</v>
      </c>
      <c r="CU40" s="721">
        <f t="shared" si="27"/>
        <v>16</v>
      </c>
      <c r="CV40" s="721">
        <f t="shared" si="28"/>
        <v>0</v>
      </c>
      <c r="CW40" s="721">
        <f t="shared" si="29"/>
        <v>0</v>
      </c>
      <c r="DF40" s="655" t="s">
        <v>852</v>
      </c>
      <c r="DG40" s="655" t="s">
        <v>51</v>
      </c>
      <c r="DH40" s="655" t="s">
        <v>426</v>
      </c>
      <c r="DI40" s="655" t="s">
        <v>426</v>
      </c>
      <c r="DJ40" s="721">
        <v>16000</v>
      </c>
      <c r="DK40" s="721">
        <v>0</v>
      </c>
      <c r="DL40" s="721">
        <v>0</v>
      </c>
      <c r="DM40" s="721">
        <f t="shared" si="31"/>
        <v>16</v>
      </c>
      <c r="DN40" s="721">
        <f t="shared" si="32"/>
        <v>0</v>
      </c>
      <c r="DO40" s="721">
        <f t="shared" si="33"/>
        <v>0</v>
      </c>
      <c r="DX40" s="655" t="s">
        <v>852</v>
      </c>
      <c r="DY40" s="655" t="s">
        <v>51</v>
      </c>
      <c r="DZ40" s="655" t="s">
        <v>426</v>
      </c>
      <c r="EA40" s="655" t="s">
        <v>426</v>
      </c>
      <c r="EB40" s="691">
        <v>16000</v>
      </c>
      <c r="EC40" s="691">
        <v>0</v>
      </c>
      <c r="ED40" s="691">
        <v>0</v>
      </c>
      <c r="EE40" s="691">
        <f t="shared" si="35"/>
        <v>16</v>
      </c>
      <c r="EF40" s="691">
        <f t="shared" si="36"/>
        <v>0</v>
      </c>
      <c r="EG40" s="691">
        <f t="shared" si="37"/>
        <v>0</v>
      </c>
    </row>
    <row r="41" spans="1:137" x14ac:dyDescent="0.2">
      <c r="A41" s="920" t="s">
        <v>431</v>
      </c>
      <c r="B41" s="721" t="s">
        <v>127</v>
      </c>
      <c r="C41" s="920" t="s">
        <v>426</v>
      </c>
      <c r="D41" s="721" t="s">
        <v>426</v>
      </c>
      <c r="E41" s="721">
        <v>0</v>
      </c>
      <c r="F41" s="721">
        <v>17434690</v>
      </c>
      <c r="G41" s="721">
        <v>17434690</v>
      </c>
      <c r="H41" s="920">
        <f t="shared" si="7"/>
        <v>0</v>
      </c>
      <c r="I41" s="920">
        <f t="shared" si="8"/>
        <v>17434.689999999999</v>
      </c>
      <c r="J41" s="920">
        <f t="shared" si="9"/>
        <v>17434.689999999999</v>
      </c>
      <c r="T41" s="655" t="s">
        <v>613</v>
      </c>
      <c r="U41" s="655" t="s">
        <v>614</v>
      </c>
      <c r="V41" s="664" t="s">
        <v>426</v>
      </c>
      <c r="W41" s="655" t="s">
        <v>426</v>
      </c>
      <c r="X41" s="920">
        <v>72000000</v>
      </c>
      <c r="Y41" s="920">
        <v>0</v>
      </c>
      <c r="Z41" s="920">
        <v>0</v>
      </c>
      <c r="AA41" s="920">
        <f t="shared" si="11"/>
        <v>72000</v>
      </c>
      <c r="AB41" s="920">
        <f t="shared" si="12"/>
        <v>0</v>
      </c>
      <c r="AC41" s="920">
        <f t="shared" si="13"/>
        <v>0</v>
      </c>
      <c r="AL41" s="655" t="s">
        <v>501</v>
      </c>
      <c r="AM41" s="655" t="s">
        <v>504</v>
      </c>
      <c r="AN41" s="655" t="s">
        <v>426</v>
      </c>
      <c r="AO41" s="655" t="s">
        <v>426</v>
      </c>
      <c r="AP41" s="721">
        <v>272819581</v>
      </c>
      <c r="AQ41" s="721">
        <v>0</v>
      </c>
      <c r="AR41" s="721">
        <v>0</v>
      </c>
      <c r="AS41" s="721">
        <f t="shared" si="15"/>
        <v>272819.58100000001</v>
      </c>
      <c r="AT41" s="721">
        <f t="shared" si="16"/>
        <v>0</v>
      </c>
      <c r="AU41" s="721">
        <f t="shared" si="17"/>
        <v>0</v>
      </c>
      <c r="BD41" s="688" t="s">
        <v>442</v>
      </c>
      <c r="BE41" s="689" t="s">
        <v>443</v>
      </c>
      <c r="BF41" s="688" t="s">
        <v>426</v>
      </c>
      <c r="BG41" s="921" t="s">
        <v>426</v>
      </c>
      <c r="BH41" s="690">
        <v>0</v>
      </c>
      <c r="BI41" s="690">
        <v>48315620</v>
      </c>
      <c r="BJ41" s="690">
        <v>171606990</v>
      </c>
      <c r="BK41" s="690">
        <f t="shared" si="19"/>
        <v>0</v>
      </c>
      <c r="BL41" s="690">
        <f t="shared" si="20"/>
        <v>48315.62</v>
      </c>
      <c r="BM41" s="690">
        <f t="shared" si="21"/>
        <v>171606.99</v>
      </c>
      <c r="BV41" s="667" t="s">
        <v>442</v>
      </c>
      <c r="BW41" s="663" t="s">
        <v>443</v>
      </c>
      <c r="BX41" s="668" t="s">
        <v>426</v>
      </c>
      <c r="BY41" s="663" t="s">
        <v>426</v>
      </c>
      <c r="BZ41" s="665">
        <v>281368000</v>
      </c>
      <c r="CA41" s="665">
        <v>0</v>
      </c>
      <c r="CB41" s="665">
        <v>0</v>
      </c>
      <c r="CC41" s="669">
        <f t="shared" si="23"/>
        <v>281368</v>
      </c>
      <c r="CD41" s="669">
        <f t="shared" si="24"/>
        <v>0</v>
      </c>
      <c r="CE41" s="670">
        <f t="shared" si="25"/>
        <v>0</v>
      </c>
      <c r="CN41" s="655" t="s">
        <v>440</v>
      </c>
      <c r="CO41" s="655" t="s">
        <v>441</v>
      </c>
      <c r="CP41" s="655" t="s">
        <v>426</v>
      </c>
      <c r="CQ41" s="655" t="s">
        <v>426</v>
      </c>
      <c r="CR41" s="721">
        <v>630942183</v>
      </c>
      <c r="CS41" s="721">
        <v>0</v>
      </c>
      <c r="CT41" s="721">
        <v>0</v>
      </c>
      <c r="CU41" s="721">
        <f t="shared" si="27"/>
        <v>630942.18299999996</v>
      </c>
      <c r="CV41" s="721">
        <f t="shared" si="28"/>
        <v>0</v>
      </c>
      <c r="CW41" s="721">
        <f t="shared" si="29"/>
        <v>0</v>
      </c>
      <c r="DF41" s="655" t="s">
        <v>440</v>
      </c>
      <c r="DG41" s="655" t="s">
        <v>441</v>
      </c>
      <c r="DH41" s="655" t="s">
        <v>426</v>
      </c>
      <c r="DI41" s="655" t="s">
        <v>426</v>
      </c>
      <c r="DJ41" s="721">
        <v>630000183</v>
      </c>
      <c r="DK41" s="721">
        <v>0</v>
      </c>
      <c r="DL41" s="721">
        <v>0</v>
      </c>
      <c r="DM41" s="721">
        <f t="shared" si="31"/>
        <v>630000.18299999996</v>
      </c>
      <c r="DN41" s="721">
        <f t="shared" si="32"/>
        <v>0</v>
      </c>
      <c r="DO41" s="721">
        <f t="shared" si="33"/>
        <v>0</v>
      </c>
      <c r="DX41" s="655" t="s">
        <v>440</v>
      </c>
      <c r="DY41" s="655" t="s">
        <v>441</v>
      </c>
      <c r="DZ41" s="655" t="s">
        <v>426</v>
      </c>
      <c r="EA41" s="655" t="s">
        <v>426</v>
      </c>
      <c r="EB41" s="691">
        <v>630000183</v>
      </c>
      <c r="EC41" s="691">
        <v>0</v>
      </c>
      <c r="ED41" s="691">
        <v>0</v>
      </c>
      <c r="EE41" s="691">
        <f t="shared" si="35"/>
        <v>630000.18299999996</v>
      </c>
      <c r="EF41" s="691">
        <f t="shared" si="36"/>
        <v>0</v>
      </c>
      <c r="EG41" s="691">
        <f t="shared" si="37"/>
        <v>0</v>
      </c>
    </row>
    <row r="42" spans="1:137" x14ac:dyDescent="0.2">
      <c r="A42" s="920" t="s">
        <v>431</v>
      </c>
      <c r="B42" s="721" t="s">
        <v>127</v>
      </c>
      <c r="C42" s="920" t="s">
        <v>426</v>
      </c>
      <c r="D42" s="721" t="s">
        <v>426</v>
      </c>
      <c r="E42" s="721">
        <v>0</v>
      </c>
      <c r="F42" s="721">
        <v>1247095345</v>
      </c>
      <c r="G42" s="721">
        <v>1247095345</v>
      </c>
      <c r="H42" s="920">
        <f t="shared" si="7"/>
        <v>0</v>
      </c>
      <c r="I42" s="920">
        <f t="shared" si="8"/>
        <v>1247095.345</v>
      </c>
      <c r="J42" s="920">
        <f t="shared" si="9"/>
        <v>1247095.345</v>
      </c>
      <c r="T42" s="655" t="s">
        <v>431</v>
      </c>
      <c r="U42" s="655" t="s">
        <v>127</v>
      </c>
      <c r="V42" s="664" t="s">
        <v>426</v>
      </c>
      <c r="W42" s="655" t="s">
        <v>426</v>
      </c>
      <c r="X42" s="920">
        <v>10000</v>
      </c>
      <c r="Y42" s="920">
        <v>0</v>
      </c>
      <c r="Z42" s="920">
        <v>0</v>
      </c>
      <c r="AA42" s="920">
        <f t="shared" si="11"/>
        <v>10</v>
      </c>
      <c r="AB42" s="920">
        <f t="shared" si="12"/>
        <v>0</v>
      </c>
      <c r="AC42" s="920">
        <f t="shared" si="13"/>
        <v>0</v>
      </c>
      <c r="AL42" s="655" t="s">
        <v>611</v>
      </c>
      <c r="AM42" s="655" t="s">
        <v>612</v>
      </c>
      <c r="AN42" s="655" t="s">
        <v>426</v>
      </c>
      <c r="AO42" s="655" t="s">
        <v>426</v>
      </c>
      <c r="AP42" s="721">
        <v>91101236</v>
      </c>
      <c r="AQ42" s="721">
        <v>0</v>
      </c>
      <c r="AR42" s="721">
        <v>0</v>
      </c>
      <c r="AS42" s="721">
        <f t="shared" si="15"/>
        <v>91101.236000000004</v>
      </c>
      <c r="AT42" s="721">
        <f t="shared" si="16"/>
        <v>0</v>
      </c>
      <c r="AU42" s="721">
        <f t="shared" si="17"/>
        <v>0</v>
      </c>
      <c r="BD42" s="688" t="s">
        <v>501</v>
      </c>
      <c r="BE42" s="689" t="s">
        <v>504</v>
      </c>
      <c r="BF42" s="688" t="s">
        <v>426</v>
      </c>
      <c r="BG42" s="921" t="s">
        <v>426</v>
      </c>
      <c r="BH42" s="690">
        <v>272819581</v>
      </c>
      <c r="BI42" s="690">
        <v>0</v>
      </c>
      <c r="BJ42" s="690">
        <v>0</v>
      </c>
      <c r="BK42" s="690">
        <f t="shared" si="19"/>
        <v>272819.58100000001</v>
      </c>
      <c r="BL42" s="690">
        <f t="shared" si="20"/>
        <v>0</v>
      </c>
      <c r="BM42" s="690">
        <f t="shared" si="21"/>
        <v>0</v>
      </c>
      <c r="BV42" s="667" t="s">
        <v>442</v>
      </c>
      <c r="BW42" s="663" t="s">
        <v>443</v>
      </c>
      <c r="BX42" s="668" t="s">
        <v>426</v>
      </c>
      <c r="BY42" s="663" t="s">
        <v>426</v>
      </c>
      <c r="BZ42" s="665">
        <v>0</v>
      </c>
      <c r="CA42" s="665">
        <v>188508325</v>
      </c>
      <c r="CB42" s="665">
        <v>59461954</v>
      </c>
      <c r="CC42" s="669">
        <f t="shared" si="23"/>
        <v>0</v>
      </c>
      <c r="CD42" s="669">
        <f t="shared" si="24"/>
        <v>188508.32500000001</v>
      </c>
      <c r="CE42" s="670">
        <f t="shared" si="25"/>
        <v>59461.953999999998</v>
      </c>
      <c r="CN42" s="655" t="s">
        <v>440</v>
      </c>
      <c r="CO42" s="655" t="s">
        <v>441</v>
      </c>
      <c r="CP42" s="655" t="s">
        <v>426</v>
      </c>
      <c r="CQ42" s="655" t="s">
        <v>426</v>
      </c>
      <c r="CR42" s="721">
        <v>0</v>
      </c>
      <c r="CS42" s="721">
        <v>0</v>
      </c>
      <c r="CT42" s="721">
        <v>0</v>
      </c>
      <c r="CU42" s="721">
        <f t="shared" si="27"/>
        <v>0</v>
      </c>
      <c r="CV42" s="721">
        <f t="shared" si="28"/>
        <v>0</v>
      </c>
      <c r="CW42" s="721">
        <f t="shared" si="29"/>
        <v>0</v>
      </c>
      <c r="DF42" s="655" t="s">
        <v>440</v>
      </c>
      <c r="DG42" s="655" t="s">
        <v>441</v>
      </c>
      <c r="DH42" s="655" t="s">
        <v>426</v>
      </c>
      <c r="DI42" s="655" t="s">
        <v>426</v>
      </c>
      <c r="DJ42" s="721">
        <v>0</v>
      </c>
      <c r="DK42" s="721">
        <v>0</v>
      </c>
      <c r="DL42" s="721">
        <v>550000000</v>
      </c>
      <c r="DM42" s="721">
        <f t="shared" si="31"/>
        <v>0</v>
      </c>
      <c r="DN42" s="721">
        <f t="shared" si="32"/>
        <v>0</v>
      </c>
      <c r="DO42" s="721">
        <f t="shared" si="33"/>
        <v>550000</v>
      </c>
      <c r="DX42" s="655" t="s">
        <v>440</v>
      </c>
      <c r="DY42" s="655" t="s">
        <v>441</v>
      </c>
      <c r="DZ42" s="655" t="s">
        <v>426</v>
      </c>
      <c r="EA42" s="655" t="s">
        <v>426</v>
      </c>
      <c r="EB42" s="691">
        <v>0</v>
      </c>
      <c r="EC42" s="691">
        <v>550000000</v>
      </c>
      <c r="ED42" s="691">
        <v>0</v>
      </c>
      <c r="EE42" s="691">
        <f t="shared" si="35"/>
        <v>0</v>
      </c>
      <c r="EF42" s="691">
        <f t="shared" si="36"/>
        <v>550000</v>
      </c>
      <c r="EG42" s="691">
        <f t="shared" si="37"/>
        <v>0</v>
      </c>
    </row>
    <row r="43" spans="1:137" x14ac:dyDescent="0.2">
      <c r="A43" s="920" t="s">
        <v>431</v>
      </c>
      <c r="B43" s="721" t="s">
        <v>127</v>
      </c>
      <c r="C43" s="920" t="s">
        <v>426</v>
      </c>
      <c r="D43" s="721" t="s">
        <v>426</v>
      </c>
      <c r="E43" s="721">
        <v>0</v>
      </c>
      <c r="F43" s="721">
        <v>146002474</v>
      </c>
      <c r="G43" s="721">
        <v>146002474</v>
      </c>
      <c r="H43" s="920">
        <f t="shared" si="7"/>
        <v>0</v>
      </c>
      <c r="I43" s="920">
        <f t="shared" si="8"/>
        <v>146002.47399999999</v>
      </c>
      <c r="J43" s="920">
        <f t="shared" si="9"/>
        <v>146002.47399999999</v>
      </c>
      <c r="T43" s="655" t="s">
        <v>431</v>
      </c>
      <c r="U43" s="655" t="s">
        <v>127</v>
      </c>
      <c r="V43" s="664" t="s">
        <v>426</v>
      </c>
      <c r="W43" s="655" t="s">
        <v>426</v>
      </c>
      <c r="X43" s="920">
        <v>100</v>
      </c>
      <c r="Y43" s="920">
        <v>0</v>
      </c>
      <c r="Z43" s="920">
        <v>0</v>
      </c>
      <c r="AA43" s="920">
        <f t="shared" si="11"/>
        <v>0.1</v>
      </c>
      <c r="AB43" s="920">
        <f t="shared" si="12"/>
        <v>0</v>
      </c>
      <c r="AC43" s="920">
        <f t="shared" si="13"/>
        <v>0</v>
      </c>
      <c r="AL43" s="655" t="s">
        <v>611</v>
      </c>
      <c r="AM43" s="655" t="s">
        <v>612</v>
      </c>
      <c r="AN43" s="655" t="s">
        <v>426</v>
      </c>
      <c r="AO43" s="655" t="s">
        <v>426</v>
      </c>
      <c r="AP43" s="721">
        <v>0</v>
      </c>
      <c r="AQ43" s="721">
        <v>0</v>
      </c>
      <c r="AR43" s="721">
        <v>2598759</v>
      </c>
      <c r="AS43" s="721">
        <f t="shared" si="15"/>
        <v>0</v>
      </c>
      <c r="AT43" s="721">
        <f t="shared" si="16"/>
        <v>0</v>
      </c>
      <c r="AU43" s="721">
        <f t="shared" si="17"/>
        <v>2598.759</v>
      </c>
      <c r="BD43" s="688" t="s">
        <v>611</v>
      </c>
      <c r="BE43" s="689" t="s">
        <v>612</v>
      </c>
      <c r="BF43" s="688" t="s">
        <v>426</v>
      </c>
      <c r="BG43" s="921" t="s">
        <v>426</v>
      </c>
      <c r="BH43" s="690">
        <v>91101236</v>
      </c>
      <c r="BI43" s="690">
        <v>0</v>
      </c>
      <c r="BJ43" s="690">
        <v>0</v>
      </c>
      <c r="BK43" s="690">
        <f t="shared" si="19"/>
        <v>91101.236000000004</v>
      </c>
      <c r="BL43" s="690">
        <f t="shared" si="20"/>
        <v>0</v>
      </c>
      <c r="BM43" s="690">
        <f t="shared" si="21"/>
        <v>0</v>
      </c>
      <c r="BV43" s="667" t="s">
        <v>501</v>
      </c>
      <c r="BW43" s="663" t="s">
        <v>504</v>
      </c>
      <c r="BX43" s="668" t="s">
        <v>426</v>
      </c>
      <c r="BY43" s="663" t="s">
        <v>426</v>
      </c>
      <c r="BZ43" s="665">
        <v>272819581</v>
      </c>
      <c r="CA43" s="665">
        <v>0</v>
      </c>
      <c r="CB43" s="665">
        <v>0</v>
      </c>
      <c r="CC43" s="669">
        <f t="shared" si="23"/>
        <v>272819.58100000001</v>
      </c>
      <c r="CD43" s="669">
        <f t="shared" si="24"/>
        <v>0</v>
      </c>
      <c r="CE43" s="670">
        <f t="shared" si="25"/>
        <v>0</v>
      </c>
      <c r="CN43" s="655" t="s">
        <v>442</v>
      </c>
      <c r="CO43" s="655" t="s">
        <v>443</v>
      </c>
      <c r="CP43" s="655" t="s">
        <v>426</v>
      </c>
      <c r="CQ43" s="655" t="s">
        <v>426</v>
      </c>
      <c r="CR43" s="721">
        <v>281368000</v>
      </c>
      <c r="CS43" s="721">
        <v>0</v>
      </c>
      <c r="CT43" s="721">
        <v>0</v>
      </c>
      <c r="CU43" s="721">
        <f t="shared" si="27"/>
        <v>281368</v>
      </c>
      <c r="CV43" s="721">
        <f t="shared" si="28"/>
        <v>0</v>
      </c>
      <c r="CW43" s="721">
        <f t="shared" si="29"/>
        <v>0</v>
      </c>
      <c r="DF43" s="655" t="s">
        <v>442</v>
      </c>
      <c r="DG43" s="655" t="s">
        <v>443</v>
      </c>
      <c r="DH43" s="655" t="s">
        <v>426</v>
      </c>
      <c r="DI43" s="655" t="s">
        <v>426</v>
      </c>
      <c r="DJ43" s="721">
        <v>349310000</v>
      </c>
      <c r="DK43" s="721">
        <v>0</v>
      </c>
      <c r="DL43" s="721">
        <v>0</v>
      </c>
      <c r="DM43" s="721">
        <f t="shared" si="31"/>
        <v>349310</v>
      </c>
      <c r="DN43" s="721">
        <f t="shared" si="32"/>
        <v>0</v>
      </c>
      <c r="DO43" s="721">
        <f t="shared" si="33"/>
        <v>0</v>
      </c>
      <c r="DX43" s="655" t="s">
        <v>442</v>
      </c>
      <c r="DY43" s="655" t="s">
        <v>443</v>
      </c>
      <c r="DZ43" s="655" t="s">
        <v>426</v>
      </c>
      <c r="EA43" s="655" t="s">
        <v>426</v>
      </c>
      <c r="EB43" s="691">
        <v>349310000</v>
      </c>
      <c r="EC43" s="691">
        <v>0</v>
      </c>
      <c r="ED43" s="691">
        <v>0</v>
      </c>
      <c r="EE43" s="691">
        <f t="shared" si="35"/>
        <v>349310</v>
      </c>
      <c r="EF43" s="691">
        <f t="shared" si="36"/>
        <v>0</v>
      </c>
      <c r="EG43" s="691">
        <f t="shared" si="37"/>
        <v>0</v>
      </c>
    </row>
    <row r="44" spans="1:137" x14ac:dyDescent="0.2">
      <c r="A44" s="920" t="s">
        <v>431</v>
      </c>
      <c r="B44" s="721" t="s">
        <v>127</v>
      </c>
      <c r="C44" s="920" t="s">
        <v>426</v>
      </c>
      <c r="D44" s="721" t="s">
        <v>426</v>
      </c>
      <c r="E44" s="721">
        <v>0</v>
      </c>
      <c r="F44" s="721">
        <v>0</v>
      </c>
      <c r="G44" s="721">
        <v>0</v>
      </c>
      <c r="H44" s="920">
        <f t="shared" si="7"/>
        <v>0</v>
      </c>
      <c r="I44" s="920">
        <f t="shared" si="8"/>
        <v>0</v>
      </c>
      <c r="J44" s="920">
        <f t="shared" si="9"/>
        <v>0</v>
      </c>
      <c r="T44" s="655" t="s">
        <v>431</v>
      </c>
      <c r="U44" s="655" t="s">
        <v>127</v>
      </c>
      <c r="V44" s="664" t="s">
        <v>426</v>
      </c>
      <c r="W44" s="655" t="s">
        <v>426</v>
      </c>
      <c r="X44" s="920">
        <v>0</v>
      </c>
      <c r="Y44" s="920">
        <v>0</v>
      </c>
      <c r="Z44" s="920">
        <v>0</v>
      </c>
      <c r="AA44" s="920">
        <f t="shared" si="11"/>
        <v>0</v>
      </c>
      <c r="AB44" s="920">
        <f t="shared" si="12"/>
        <v>0</v>
      </c>
      <c r="AC44" s="920">
        <f t="shared" si="13"/>
        <v>0</v>
      </c>
      <c r="AL44" s="655" t="s">
        <v>613</v>
      </c>
      <c r="AM44" s="655" t="s">
        <v>614</v>
      </c>
      <c r="AN44" s="655" t="s">
        <v>426</v>
      </c>
      <c r="AO44" s="655" t="s">
        <v>426</v>
      </c>
      <c r="AP44" s="721">
        <v>72000000</v>
      </c>
      <c r="AQ44" s="721">
        <v>0</v>
      </c>
      <c r="AR44" s="721">
        <v>0</v>
      </c>
      <c r="AS44" s="721">
        <f t="shared" si="15"/>
        <v>72000</v>
      </c>
      <c r="AT44" s="721">
        <f t="shared" si="16"/>
        <v>0</v>
      </c>
      <c r="AU44" s="721">
        <f t="shared" si="17"/>
        <v>0</v>
      </c>
      <c r="BD44" s="688" t="s">
        <v>611</v>
      </c>
      <c r="BE44" s="689" t="s">
        <v>612</v>
      </c>
      <c r="BF44" s="688" t="s">
        <v>426</v>
      </c>
      <c r="BG44" s="921" t="s">
        <v>426</v>
      </c>
      <c r="BH44" s="690">
        <v>0</v>
      </c>
      <c r="BI44" s="690">
        <v>2598759</v>
      </c>
      <c r="BJ44" s="690">
        <v>2598759</v>
      </c>
      <c r="BK44" s="690">
        <f t="shared" si="19"/>
        <v>0</v>
      </c>
      <c r="BL44" s="690">
        <f t="shared" si="20"/>
        <v>2598.759</v>
      </c>
      <c r="BM44" s="690">
        <f t="shared" si="21"/>
        <v>2598.759</v>
      </c>
      <c r="BV44" s="667" t="s">
        <v>611</v>
      </c>
      <c r="BW44" s="663" t="s">
        <v>612</v>
      </c>
      <c r="BX44" s="668" t="s">
        <v>426</v>
      </c>
      <c r="BY44" s="663" t="s">
        <v>426</v>
      </c>
      <c r="BZ44" s="665">
        <v>91101236</v>
      </c>
      <c r="CA44" s="665">
        <v>0</v>
      </c>
      <c r="CB44" s="665">
        <v>0</v>
      </c>
      <c r="CC44" s="669">
        <f t="shared" si="23"/>
        <v>91101.236000000004</v>
      </c>
      <c r="CD44" s="669">
        <f t="shared" si="24"/>
        <v>0</v>
      </c>
      <c r="CE44" s="670">
        <f t="shared" si="25"/>
        <v>0</v>
      </c>
      <c r="CN44" s="655" t="s">
        <v>442</v>
      </c>
      <c r="CO44" s="655" t="s">
        <v>443</v>
      </c>
      <c r="CP44" s="655" t="s">
        <v>426</v>
      </c>
      <c r="CQ44" s="655" t="s">
        <v>426</v>
      </c>
      <c r="CR44" s="721">
        <v>0</v>
      </c>
      <c r="CS44" s="721">
        <v>188508325</v>
      </c>
      <c r="CT44" s="721">
        <v>79532424</v>
      </c>
      <c r="CU44" s="721">
        <f t="shared" si="27"/>
        <v>0</v>
      </c>
      <c r="CV44" s="721">
        <f t="shared" si="28"/>
        <v>188508.32500000001</v>
      </c>
      <c r="CW44" s="721">
        <f t="shared" si="29"/>
        <v>79532.423999999999</v>
      </c>
      <c r="DF44" s="655" t="s">
        <v>442</v>
      </c>
      <c r="DG44" s="655" t="s">
        <v>443</v>
      </c>
      <c r="DH44" s="655" t="s">
        <v>426</v>
      </c>
      <c r="DI44" s="655" t="s">
        <v>426</v>
      </c>
      <c r="DJ44" s="721">
        <v>0</v>
      </c>
      <c r="DK44" s="721">
        <v>94086579</v>
      </c>
      <c r="DL44" s="721">
        <v>188508325</v>
      </c>
      <c r="DM44" s="721">
        <f t="shared" si="31"/>
        <v>0</v>
      </c>
      <c r="DN44" s="721">
        <f t="shared" si="32"/>
        <v>94086.578999999998</v>
      </c>
      <c r="DO44" s="721">
        <f t="shared" si="33"/>
        <v>188508.32500000001</v>
      </c>
      <c r="DX44" s="655" t="s">
        <v>442</v>
      </c>
      <c r="DY44" s="655" t="s">
        <v>443</v>
      </c>
      <c r="DZ44" s="655" t="s">
        <v>426</v>
      </c>
      <c r="EA44" s="655" t="s">
        <v>426</v>
      </c>
      <c r="EB44" s="691">
        <v>0</v>
      </c>
      <c r="EC44" s="691">
        <v>188508325</v>
      </c>
      <c r="ED44" s="691">
        <v>102099482</v>
      </c>
      <c r="EE44" s="691">
        <f t="shared" si="35"/>
        <v>0</v>
      </c>
      <c r="EF44" s="691">
        <f t="shared" si="36"/>
        <v>188508.32500000001</v>
      </c>
      <c r="EG44" s="691">
        <f t="shared" si="37"/>
        <v>102099.482</v>
      </c>
    </row>
    <row r="45" spans="1:137" x14ac:dyDescent="0.2">
      <c r="H45" s="920"/>
      <c r="I45" s="920"/>
      <c r="J45" s="920"/>
      <c r="T45" s="655" t="s">
        <v>431</v>
      </c>
      <c r="U45" s="655" t="s">
        <v>127</v>
      </c>
      <c r="V45" s="664" t="s">
        <v>426</v>
      </c>
      <c r="W45" s="655" t="s">
        <v>426</v>
      </c>
      <c r="X45" s="920">
        <v>0</v>
      </c>
      <c r="Y45" s="920">
        <v>17434690</v>
      </c>
      <c r="Z45" s="920">
        <v>17434690</v>
      </c>
      <c r="AA45" s="920">
        <f t="shared" si="11"/>
        <v>0</v>
      </c>
      <c r="AB45" s="920">
        <f t="shared" si="12"/>
        <v>17434.689999999999</v>
      </c>
      <c r="AC45" s="920">
        <f t="shared" si="13"/>
        <v>17434.689999999999</v>
      </c>
      <c r="AL45" s="655" t="s">
        <v>431</v>
      </c>
      <c r="AM45" s="655" t="s">
        <v>127</v>
      </c>
      <c r="AN45" s="655" t="s">
        <v>426</v>
      </c>
      <c r="AO45" s="655" t="s">
        <v>426</v>
      </c>
      <c r="AP45" s="721">
        <v>1410533000</v>
      </c>
      <c r="AQ45" s="721">
        <v>0</v>
      </c>
      <c r="AR45" s="721">
        <v>0</v>
      </c>
      <c r="AS45" s="721">
        <f t="shared" si="15"/>
        <v>1410533</v>
      </c>
      <c r="AT45" s="721">
        <f t="shared" si="16"/>
        <v>0</v>
      </c>
      <c r="AU45" s="721">
        <f t="shared" si="17"/>
        <v>0</v>
      </c>
      <c r="BD45" s="688" t="s">
        <v>613</v>
      </c>
      <c r="BE45" s="689" t="s">
        <v>614</v>
      </c>
      <c r="BF45" s="688" t="s">
        <v>426</v>
      </c>
      <c r="BG45" s="921" t="s">
        <v>426</v>
      </c>
      <c r="BH45" s="690">
        <v>72000000</v>
      </c>
      <c r="BI45" s="690">
        <v>0</v>
      </c>
      <c r="BJ45" s="690">
        <v>0</v>
      </c>
      <c r="BK45" s="690">
        <f t="shared" si="19"/>
        <v>72000</v>
      </c>
      <c r="BL45" s="690">
        <f t="shared" si="20"/>
        <v>0</v>
      </c>
      <c r="BM45" s="690">
        <f t="shared" si="21"/>
        <v>0</v>
      </c>
      <c r="BV45" s="667" t="s">
        <v>611</v>
      </c>
      <c r="BW45" s="663" t="s">
        <v>612</v>
      </c>
      <c r="BX45" s="668" t="s">
        <v>426</v>
      </c>
      <c r="BY45" s="663" t="s">
        <v>426</v>
      </c>
      <c r="BZ45" s="665">
        <v>0</v>
      </c>
      <c r="CA45" s="665">
        <v>2598759</v>
      </c>
      <c r="CB45" s="665">
        <v>2598759</v>
      </c>
      <c r="CC45" s="669">
        <f t="shared" si="23"/>
        <v>0</v>
      </c>
      <c r="CD45" s="669">
        <f t="shared" si="24"/>
        <v>2598.759</v>
      </c>
      <c r="CE45" s="670">
        <f t="shared" si="25"/>
        <v>2598.759</v>
      </c>
      <c r="CN45" s="655" t="s">
        <v>501</v>
      </c>
      <c r="CO45" s="655" t="s">
        <v>504</v>
      </c>
      <c r="CP45" s="655" t="s">
        <v>426</v>
      </c>
      <c r="CQ45" s="655" t="s">
        <v>426</v>
      </c>
      <c r="CR45" s="721">
        <v>272819581</v>
      </c>
      <c r="CS45" s="721">
        <v>0</v>
      </c>
      <c r="CT45" s="721">
        <v>0</v>
      </c>
      <c r="CU45" s="721">
        <f t="shared" si="27"/>
        <v>272819.58100000001</v>
      </c>
      <c r="CV45" s="721">
        <f t="shared" si="28"/>
        <v>0</v>
      </c>
      <c r="CW45" s="721">
        <f t="shared" si="29"/>
        <v>0</v>
      </c>
      <c r="DF45" s="655" t="s">
        <v>501</v>
      </c>
      <c r="DG45" s="655" t="s">
        <v>504</v>
      </c>
      <c r="DH45" s="655" t="s">
        <v>426</v>
      </c>
      <c r="DI45" s="655" t="s">
        <v>426</v>
      </c>
      <c r="DJ45" s="721">
        <v>254819581</v>
      </c>
      <c r="DK45" s="721">
        <v>0</v>
      </c>
      <c r="DL45" s="721">
        <v>0</v>
      </c>
      <c r="DM45" s="721">
        <f t="shared" si="31"/>
        <v>254819.58100000001</v>
      </c>
      <c r="DN45" s="721">
        <f t="shared" si="32"/>
        <v>0</v>
      </c>
      <c r="DO45" s="721">
        <f t="shared" si="33"/>
        <v>0</v>
      </c>
      <c r="DX45" s="655" t="s">
        <v>501</v>
      </c>
      <c r="DY45" s="655" t="s">
        <v>504</v>
      </c>
      <c r="DZ45" s="655" t="s">
        <v>426</v>
      </c>
      <c r="EA45" s="655" t="s">
        <v>426</v>
      </c>
      <c r="EB45" s="691">
        <v>254819581</v>
      </c>
      <c r="EC45" s="691">
        <v>0</v>
      </c>
      <c r="ED45" s="691">
        <v>0</v>
      </c>
      <c r="EE45" s="691">
        <f t="shared" si="35"/>
        <v>254819.58100000001</v>
      </c>
      <c r="EF45" s="691">
        <f t="shared" si="36"/>
        <v>0</v>
      </c>
      <c r="EG45" s="691">
        <f t="shared" si="37"/>
        <v>0</v>
      </c>
    </row>
    <row r="46" spans="1:137" x14ac:dyDescent="0.2">
      <c r="T46" s="655" t="s">
        <v>431</v>
      </c>
      <c r="U46" s="655" t="s">
        <v>127</v>
      </c>
      <c r="V46" s="664" t="s">
        <v>426</v>
      </c>
      <c r="W46" s="655" t="s">
        <v>426</v>
      </c>
      <c r="X46" s="920">
        <v>0</v>
      </c>
      <c r="Y46" s="920">
        <v>1247095345</v>
      </c>
      <c r="Z46" s="920">
        <v>1247095345</v>
      </c>
      <c r="AA46" s="920">
        <f t="shared" si="11"/>
        <v>0</v>
      </c>
      <c r="AB46" s="920">
        <f t="shared" si="12"/>
        <v>1247095.345</v>
      </c>
      <c r="AC46" s="920">
        <f t="shared" si="13"/>
        <v>1247095.345</v>
      </c>
      <c r="AL46" s="655" t="s">
        <v>431</v>
      </c>
      <c r="AM46" s="655" t="s">
        <v>127</v>
      </c>
      <c r="AN46" s="655" t="s">
        <v>426</v>
      </c>
      <c r="AO46" s="655" t="s">
        <v>426</v>
      </c>
      <c r="AP46" s="721">
        <v>100</v>
      </c>
      <c r="AQ46" s="721">
        <v>0</v>
      </c>
      <c r="AR46" s="721">
        <v>0</v>
      </c>
      <c r="AS46" s="721">
        <f t="shared" si="15"/>
        <v>0.1</v>
      </c>
      <c r="AT46" s="721">
        <f t="shared" si="16"/>
        <v>0</v>
      </c>
      <c r="AU46" s="721">
        <f t="shared" si="17"/>
        <v>0</v>
      </c>
      <c r="BD46" s="688" t="s">
        <v>613</v>
      </c>
      <c r="BE46" s="689" t="s">
        <v>614</v>
      </c>
      <c r="BF46" s="688" t="s">
        <v>426</v>
      </c>
      <c r="BG46" s="921" t="s">
        <v>426</v>
      </c>
      <c r="BH46" s="690">
        <v>0</v>
      </c>
      <c r="BI46" s="690">
        <v>0</v>
      </c>
      <c r="BJ46" s="690">
        <v>65000000</v>
      </c>
      <c r="BK46" s="690">
        <f t="shared" si="19"/>
        <v>0</v>
      </c>
      <c r="BL46" s="690">
        <f t="shared" si="20"/>
        <v>0</v>
      </c>
      <c r="BM46" s="690">
        <f t="shared" si="21"/>
        <v>65000</v>
      </c>
      <c r="BV46" s="667" t="s">
        <v>613</v>
      </c>
      <c r="BW46" s="663" t="s">
        <v>614</v>
      </c>
      <c r="BX46" s="668" t="s">
        <v>426</v>
      </c>
      <c r="BY46" s="663" t="s">
        <v>426</v>
      </c>
      <c r="BZ46" s="665">
        <v>72000000</v>
      </c>
      <c r="CA46" s="665">
        <v>0</v>
      </c>
      <c r="CB46" s="665">
        <v>0</v>
      </c>
      <c r="CC46" s="669">
        <f t="shared" si="23"/>
        <v>72000</v>
      </c>
      <c r="CD46" s="669">
        <f t="shared" si="24"/>
        <v>0</v>
      </c>
      <c r="CE46" s="670">
        <f t="shared" si="25"/>
        <v>0</v>
      </c>
      <c r="CN46" s="655" t="s">
        <v>501</v>
      </c>
      <c r="CO46" s="655" t="s">
        <v>504</v>
      </c>
      <c r="CP46" s="655" t="s">
        <v>426</v>
      </c>
      <c r="CQ46" s="655" t="s">
        <v>426</v>
      </c>
      <c r="CR46" s="721">
        <v>0</v>
      </c>
      <c r="CS46" s="721">
        <v>136873453</v>
      </c>
      <c r="CT46" s="721">
        <v>0</v>
      </c>
      <c r="CU46" s="721">
        <f t="shared" si="27"/>
        <v>0</v>
      </c>
      <c r="CV46" s="721">
        <f t="shared" si="28"/>
        <v>136873.45300000001</v>
      </c>
      <c r="CW46" s="721">
        <f t="shared" si="29"/>
        <v>0</v>
      </c>
      <c r="DF46" s="655" t="s">
        <v>501</v>
      </c>
      <c r="DG46" s="655" t="s">
        <v>504</v>
      </c>
      <c r="DH46" s="655" t="s">
        <v>426</v>
      </c>
      <c r="DI46" s="655" t="s">
        <v>426</v>
      </c>
      <c r="DJ46" s="721">
        <v>0</v>
      </c>
      <c r="DK46" s="721">
        <v>136873453</v>
      </c>
      <c r="DL46" s="721">
        <v>254475190</v>
      </c>
      <c r="DM46" s="721">
        <f t="shared" si="31"/>
        <v>0</v>
      </c>
      <c r="DN46" s="721">
        <f t="shared" si="32"/>
        <v>136873.45300000001</v>
      </c>
      <c r="DO46" s="721">
        <f t="shared" si="33"/>
        <v>254475.19</v>
      </c>
      <c r="DX46" s="655" t="s">
        <v>501</v>
      </c>
      <c r="DY46" s="655" t="s">
        <v>504</v>
      </c>
      <c r="DZ46" s="655" t="s">
        <v>426</v>
      </c>
      <c r="EA46" s="655" t="s">
        <v>426</v>
      </c>
      <c r="EB46" s="691">
        <v>0</v>
      </c>
      <c r="EC46" s="691">
        <v>254475190</v>
      </c>
      <c r="ED46" s="691">
        <v>156513583</v>
      </c>
      <c r="EE46" s="691">
        <f t="shared" si="35"/>
        <v>0</v>
      </c>
      <c r="EF46" s="691">
        <f t="shared" si="36"/>
        <v>254475.19</v>
      </c>
      <c r="EG46" s="691">
        <f t="shared" si="37"/>
        <v>156513.58300000001</v>
      </c>
    </row>
    <row r="47" spans="1:137" x14ac:dyDescent="0.2">
      <c r="T47" s="655" t="s">
        <v>431</v>
      </c>
      <c r="U47" s="655" t="s">
        <v>127</v>
      </c>
      <c r="V47" s="664" t="s">
        <v>426</v>
      </c>
      <c r="W47" s="655" t="s">
        <v>426</v>
      </c>
      <c r="X47" s="920">
        <v>0</v>
      </c>
      <c r="Y47" s="920">
        <v>146002474</v>
      </c>
      <c r="Z47" s="920">
        <v>146002474</v>
      </c>
      <c r="AA47" s="920">
        <f t="shared" si="11"/>
        <v>0</v>
      </c>
      <c r="AB47" s="920">
        <f t="shared" si="12"/>
        <v>146002.47399999999</v>
      </c>
      <c r="AC47" s="920">
        <f t="shared" si="13"/>
        <v>146002.47399999999</v>
      </c>
      <c r="AL47" s="655" t="s">
        <v>431</v>
      </c>
      <c r="AM47" s="655" t="s">
        <v>127</v>
      </c>
      <c r="AN47" s="655" t="s">
        <v>426</v>
      </c>
      <c r="AO47" s="655" t="s">
        <v>426</v>
      </c>
      <c r="AP47" s="721">
        <v>0</v>
      </c>
      <c r="AQ47" s="721">
        <v>0</v>
      </c>
      <c r="AR47" s="721">
        <v>0</v>
      </c>
      <c r="AS47" s="721">
        <f t="shared" si="15"/>
        <v>0</v>
      </c>
      <c r="AT47" s="721">
        <f t="shared" si="16"/>
        <v>0</v>
      </c>
      <c r="AU47" s="721">
        <f t="shared" si="17"/>
        <v>0</v>
      </c>
      <c r="BD47" s="688" t="s">
        <v>431</v>
      </c>
      <c r="BE47" s="689" t="s">
        <v>127</v>
      </c>
      <c r="BF47" s="688" t="s">
        <v>426</v>
      </c>
      <c r="BG47" s="921" t="s">
        <v>426</v>
      </c>
      <c r="BH47" s="690">
        <v>1410533000</v>
      </c>
      <c r="BI47" s="690">
        <v>0</v>
      </c>
      <c r="BJ47" s="690">
        <v>0</v>
      </c>
      <c r="BK47" s="690">
        <f t="shared" si="19"/>
        <v>1410533</v>
      </c>
      <c r="BL47" s="690">
        <f t="shared" si="20"/>
        <v>0</v>
      </c>
      <c r="BM47" s="690">
        <f t="shared" si="21"/>
        <v>0</v>
      </c>
      <c r="BV47" s="667" t="s">
        <v>613</v>
      </c>
      <c r="BW47" s="663" t="s">
        <v>614</v>
      </c>
      <c r="BX47" s="668" t="s">
        <v>426</v>
      </c>
      <c r="BY47" s="663" t="s">
        <v>426</v>
      </c>
      <c r="BZ47" s="665">
        <v>0</v>
      </c>
      <c r="CA47" s="665">
        <v>65000000</v>
      </c>
      <c r="CB47" s="665">
        <v>0</v>
      </c>
      <c r="CC47" s="669">
        <f t="shared" si="23"/>
        <v>0</v>
      </c>
      <c r="CD47" s="669">
        <f t="shared" si="24"/>
        <v>65000</v>
      </c>
      <c r="CE47" s="670">
        <f t="shared" si="25"/>
        <v>0</v>
      </c>
      <c r="CN47" s="655" t="s">
        <v>611</v>
      </c>
      <c r="CO47" s="655" t="s">
        <v>612</v>
      </c>
      <c r="CP47" s="655" t="s">
        <v>426</v>
      </c>
      <c r="CQ47" s="655" t="s">
        <v>426</v>
      </c>
      <c r="CR47" s="721">
        <v>91101236</v>
      </c>
      <c r="CS47" s="721">
        <v>0</v>
      </c>
      <c r="CT47" s="721">
        <v>0</v>
      </c>
      <c r="CU47" s="721">
        <f t="shared" si="27"/>
        <v>91101.236000000004</v>
      </c>
      <c r="CV47" s="721">
        <f t="shared" si="28"/>
        <v>0</v>
      </c>
      <c r="CW47" s="721">
        <f t="shared" si="29"/>
        <v>0</v>
      </c>
      <c r="DF47" s="655" t="s">
        <v>611</v>
      </c>
      <c r="DG47" s="655" t="s">
        <v>612</v>
      </c>
      <c r="DH47" s="655" t="s">
        <v>426</v>
      </c>
      <c r="DI47" s="655" t="s">
        <v>426</v>
      </c>
      <c r="DJ47" s="721">
        <v>49101236</v>
      </c>
      <c r="DK47" s="721">
        <v>0</v>
      </c>
      <c r="DL47" s="721">
        <v>0</v>
      </c>
      <c r="DM47" s="721">
        <f t="shared" si="31"/>
        <v>49101.235999999997</v>
      </c>
      <c r="DN47" s="721">
        <f t="shared" si="32"/>
        <v>0</v>
      </c>
      <c r="DO47" s="721">
        <f t="shared" si="33"/>
        <v>0</v>
      </c>
      <c r="DX47" s="655" t="s">
        <v>611</v>
      </c>
      <c r="DY47" s="655" t="s">
        <v>612</v>
      </c>
      <c r="DZ47" s="655" t="s">
        <v>426</v>
      </c>
      <c r="EA47" s="655" t="s">
        <v>426</v>
      </c>
      <c r="EB47" s="691">
        <v>49101236</v>
      </c>
      <c r="EC47" s="691">
        <v>0</v>
      </c>
      <c r="ED47" s="691">
        <v>0</v>
      </c>
      <c r="EE47" s="691">
        <f t="shared" si="35"/>
        <v>49101.235999999997</v>
      </c>
      <c r="EF47" s="691">
        <f t="shared" si="36"/>
        <v>0</v>
      </c>
      <c r="EG47" s="691">
        <f t="shared" si="37"/>
        <v>0</v>
      </c>
    </row>
    <row r="48" spans="1:137" x14ac:dyDescent="0.2">
      <c r="AL48" s="655" t="s">
        <v>431</v>
      </c>
      <c r="AM48" s="655" t="s">
        <v>127</v>
      </c>
      <c r="AN48" s="655" t="s">
        <v>426</v>
      </c>
      <c r="AO48" s="655" t="s">
        <v>426</v>
      </c>
      <c r="AP48" s="721">
        <v>0</v>
      </c>
      <c r="AQ48" s="721">
        <v>17434690</v>
      </c>
      <c r="AR48" s="721">
        <v>17434690</v>
      </c>
      <c r="AS48" s="721">
        <f t="shared" si="15"/>
        <v>0</v>
      </c>
      <c r="AT48" s="721">
        <f t="shared" si="16"/>
        <v>17434.689999999999</v>
      </c>
      <c r="AU48" s="721">
        <f t="shared" si="17"/>
        <v>17434.689999999999</v>
      </c>
      <c r="BD48" s="688" t="s">
        <v>431</v>
      </c>
      <c r="BE48" s="689" t="s">
        <v>127</v>
      </c>
      <c r="BF48" s="688" t="s">
        <v>426</v>
      </c>
      <c r="BG48" s="921" t="s">
        <v>426</v>
      </c>
      <c r="BH48" s="690">
        <v>100</v>
      </c>
      <c r="BI48" s="690">
        <v>0</v>
      </c>
      <c r="BJ48" s="690">
        <v>0</v>
      </c>
      <c r="BK48" s="690">
        <f t="shared" si="19"/>
        <v>0.1</v>
      </c>
      <c r="BL48" s="690">
        <f t="shared" si="20"/>
        <v>0</v>
      </c>
      <c r="BM48" s="690">
        <f t="shared" si="21"/>
        <v>0</v>
      </c>
      <c r="BV48" s="667" t="s">
        <v>431</v>
      </c>
      <c r="BW48" s="663" t="s">
        <v>127</v>
      </c>
      <c r="BX48" s="668" t="s">
        <v>426</v>
      </c>
      <c r="BY48" s="663" t="s">
        <v>426</v>
      </c>
      <c r="BZ48" s="665">
        <v>1410533000</v>
      </c>
      <c r="CA48" s="665">
        <v>0</v>
      </c>
      <c r="CB48" s="665">
        <v>0</v>
      </c>
      <c r="CC48" s="669">
        <f t="shared" si="23"/>
        <v>1410533</v>
      </c>
      <c r="CD48" s="669">
        <f t="shared" si="24"/>
        <v>0</v>
      </c>
      <c r="CE48" s="670">
        <f t="shared" si="25"/>
        <v>0</v>
      </c>
      <c r="CN48" s="655" t="s">
        <v>611</v>
      </c>
      <c r="CO48" s="655" t="s">
        <v>612</v>
      </c>
      <c r="CP48" s="655" t="s">
        <v>426</v>
      </c>
      <c r="CQ48" s="655" t="s">
        <v>426</v>
      </c>
      <c r="CR48" s="721">
        <v>0</v>
      </c>
      <c r="CS48" s="721">
        <v>2598759</v>
      </c>
      <c r="CT48" s="721">
        <v>2598759</v>
      </c>
      <c r="CU48" s="721">
        <f t="shared" si="27"/>
        <v>0</v>
      </c>
      <c r="CV48" s="721">
        <f t="shared" si="28"/>
        <v>2598.759</v>
      </c>
      <c r="CW48" s="721">
        <f t="shared" si="29"/>
        <v>2598.759</v>
      </c>
      <c r="DF48" s="655" t="s">
        <v>611</v>
      </c>
      <c r="DG48" s="655" t="s">
        <v>612</v>
      </c>
      <c r="DH48" s="655" t="s">
        <v>426</v>
      </c>
      <c r="DI48" s="655" t="s">
        <v>426</v>
      </c>
      <c r="DJ48" s="721">
        <v>0</v>
      </c>
      <c r="DK48" s="721">
        <v>2598759</v>
      </c>
      <c r="DL48" s="721">
        <v>2598759</v>
      </c>
      <c r="DM48" s="721">
        <f t="shared" si="31"/>
        <v>0</v>
      </c>
      <c r="DN48" s="721">
        <f t="shared" si="32"/>
        <v>2598.759</v>
      </c>
      <c r="DO48" s="721">
        <f t="shared" si="33"/>
        <v>2598.759</v>
      </c>
      <c r="DX48" s="655" t="s">
        <v>611</v>
      </c>
      <c r="DY48" s="655" t="s">
        <v>612</v>
      </c>
      <c r="DZ48" s="655" t="s">
        <v>426</v>
      </c>
      <c r="EA48" s="655" t="s">
        <v>426</v>
      </c>
      <c r="EB48" s="691">
        <v>0</v>
      </c>
      <c r="EC48" s="691">
        <v>2598759</v>
      </c>
      <c r="ED48" s="691">
        <v>2598759</v>
      </c>
      <c r="EE48" s="691">
        <f t="shared" si="35"/>
        <v>0</v>
      </c>
      <c r="EF48" s="691">
        <f t="shared" si="36"/>
        <v>2598.759</v>
      </c>
      <c r="EG48" s="691">
        <f t="shared" si="37"/>
        <v>2598.759</v>
      </c>
    </row>
    <row r="49" spans="38:137" x14ac:dyDescent="0.2">
      <c r="AL49" s="655" t="s">
        <v>431</v>
      </c>
      <c r="AM49" s="655" t="s">
        <v>127</v>
      </c>
      <c r="AN49" s="655" t="s">
        <v>426</v>
      </c>
      <c r="AO49" s="655" t="s">
        <v>426</v>
      </c>
      <c r="AP49" s="721">
        <v>0</v>
      </c>
      <c r="AQ49" s="721">
        <v>1247028092</v>
      </c>
      <c r="AR49" s="721">
        <v>1247028092</v>
      </c>
      <c r="AS49" s="721">
        <f t="shared" si="15"/>
        <v>0</v>
      </c>
      <c r="AT49" s="721">
        <f t="shared" si="16"/>
        <v>1247028.0919999999</v>
      </c>
      <c r="AU49" s="721">
        <f t="shared" si="17"/>
        <v>1247028.0919999999</v>
      </c>
      <c r="BD49" s="688" t="s">
        <v>431</v>
      </c>
      <c r="BE49" s="689" t="s">
        <v>127</v>
      </c>
      <c r="BF49" s="688" t="s">
        <v>426</v>
      </c>
      <c r="BG49" s="921" t="s">
        <v>426</v>
      </c>
      <c r="BH49" s="690">
        <v>0</v>
      </c>
      <c r="BI49" s="690">
        <v>0</v>
      </c>
      <c r="BJ49" s="690">
        <v>0</v>
      </c>
      <c r="BK49" s="690">
        <f t="shared" si="19"/>
        <v>0</v>
      </c>
      <c r="BL49" s="690">
        <f t="shared" si="20"/>
        <v>0</v>
      </c>
      <c r="BM49" s="690">
        <f t="shared" si="21"/>
        <v>0</v>
      </c>
      <c r="BV49" s="667" t="s">
        <v>431</v>
      </c>
      <c r="BW49" s="663" t="s">
        <v>127</v>
      </c>
      <c r="BX49" s="668" t="s">
        <v>426</v>
      </c>
      <c r="BY49" s="663" t="s">
        <v>426</v>
      </c>
      <c r="BZ49" s="665">
        <v>100</v>
      </c>
      <c r="CA49" s="665">
        <v>0</v>
      </c>
      <c r="CB49" s="665">
        <v>0</v>
      </c>
      <c r="CC49" s="669">
        <f t="shared" si="23"/>
        <v>0.1</v>
      </c>
      <c r="CD49" s="669">
        <f t="shared" si="24"/>
        <v>0</v>
      </c>
      <c r="CE49" s="670">
        <f t="shared" si="25"/>
        <v>0</v>
      </c>
      <c r="CN49" s="655" t="s">
        <v>613</v>
      </c>
      <c r="CO49" s="655" t="s">
        <v>614</v>
      </c>
      <c r="CP49" s="655" t="s">
        <v>426</v>
      </c>
      <c r="CQ49" s="655" t="s">
        <v>426</v>
      </c>
      <c r="CR49" s="721">
        <v>72000000</v>
      </c>
      <c r="CS49" s="721">
        <v>0</v>
      </c>
      <c r="CT49" s="721">
        <v>0</v>
      </c>
      <c r="CU49" s="721">
        <f t="shared" si="27"/>
        <v>72000</v>
      </c>
      <c r="CV49" s="721">
        <f t="shared" si="28"/>
        <v>0</v>
      </c>
      <c r="CW49" s="721">
        <f t="shared" si="29"/>
        <v>0</v>
      </c>
      <c r="DF49" s="655" t="s">
        <v>613</v>
      </c>
      <c r="DG49" s="655" t="s">
        <v>614</v>
      </c>
      <c r="DH49" s="655" t="s">
        <v>426</v>
      </c>
      <c r="DI49" s="655" t="s">
        <v>426</v>
      </c>
      <c r="DJ49" s="721">
        <v>65000000</v>
      </c>
      <c r="DK49" s="721">
        <v>0</v>
      </c>
      <c r="DL49" s="721">
        <v>0</v>
      </c>
      <c r="DM49" s="721">
        <f t="shared" si="31"/>
        <v>65000</v>
      </c>
      <c r="DN49" s="721">
        <f t="shared" si="32"/>
        <v>0</v>
      </c>
      <c r="DO49" s="721">
        <f t="shared" si="33"/>
        <v>0</v>
      </c>
      <c r="DX49" s="655" t="s">
        <v>613</v>
      </c>
      <c r="DY49" s="655" t="s">
        <v>614</v>
      </c>
      <c r="DZ49" s="655" t="s">
        <v>426</v>
      </c>
      <c r="EA49" s="655" t="s">
        <v>426</v>
      </c>
      <c r="EB49" s="691">
        <v>65000000</v>
      </c>
      <c r="EC49" s="691">
        <v>0</v>
      </c>
      <c r="ED49" s="691">
        <v>0</v>
      </c>
      <c r="EE49" s="691">
        <f t="shared" si="35"/>
        <v>65000</v>
      </c>
      <c r="EF49" s="691">
        <f t="shared" si="36"/>
        <v>0</v>
      </c>
      <c r="EG49" s="691">
        <f t="shared" si="37"/>
        <v>0</v>
      </c>
    </row>
    <row r="50" spans="38:137" x14ac:dyDescent="0.2">
      <c r="AL50" s="655" t="s">
        <v>431</v>
      </c>
      <c r="AM50" s="655" t="s">
        <v>127</v>
      </c>
      <c r="AN50" s="655" t="s">
        <v>426</v>
      </c>
      <c r="AO50" s="655" t="s">
        <v>426</v>
      </c>
      <c r="AP50" s="721">
        <v>0</v>
      </c>
      <c r="AQ50" s="721">
        <v>146002474</v>
      </c>
      <c r="AR50" s="721">
        <v>146002474</v>
      </c>
      <c r="AS50" s="721">
        <f t="shared" si="15"/>
        <v>0</v>
      </c>
      <c r="AT50" s="721">
        <f t="shared" si="16"/>
        <v>146002.47399999999</v>
      </c>
      <c r="AU50" s="721">
        <f t="shared" si="17"/>
        <v>146002.47399999999</v>
      </c>
      <c r="BD50" s="688" t="s">
        <v>431</v>
      </c>
      <c r="BE50" s="689" t="s">
        <v>127</v>
      </c>
      <c r="BF50" s="688" t="s">
        <v>426</v>
      </c>
      <c r="BG50" s="921" t="s">
        <v>426</v>
      </c>
      <c r="BH50" s="690">
        <v>0</v>
      </c>
      <c r="BI50" s="690">
        <v>17434690</v>
      </c>
      <c r="BJ50" s="690">
        <v>17434690</v>
      </c>
      <c r="BK50" s="690">
        <f t="shared" si="19"/>
        <v>0</v>
      </c>
      <c r="BL50" s="690">
        <f t="shared" si="20"/>
        <v>17434.689999999999</v>
      </c>
      <c r="BM50" s="690">
        <f t="shared" si="21"/>
        <v>17434.689999999999</v>
      </c>
      <c r="BV50" s="667" t="s">
        <v>431</v>
      </c>
      <c r="BW50" s="663" t="s">
        <v>127</v>
      </c>
      <c r="BX50" s="668" t="s">
        <v>426</v>
      </c>
      <c r="BY50" s="663" t="s">
        <v>426</v>
      </c>
      <c r="BZ50" s="665">
        <v>0</v>
      </c>
      <c r="CA50" s="665">
        <v>146002474</v>
      </c>
      <c r="CB50" s="665">
        <v>146002474</v>
      </c>
      <c r="CC50" s="669">
        <f t="shared" si="23"/>
        <v>0</v>
      </c>
      <c r="CD50" s="669">
        <f t="shared" si="24"/>
        <v>146002.47399999999</v>
      </c>
      <c r="CE50" s="670">
        <f t="shared" si="25"/>
        <v>146002.47399999999</v>
      </c>
      <c r="CN50" s="655" t="s">
        <v>613</v>
      </c>
      <c r="CO50" s="655" t="s">
        <v>614</v>
      </c>
      <c r="CP50" s="655" t="s">
        <v>426</v>
      </c>
      <c r="CQ50" s="655" t="s">
        <v>426</v>
      </c>
      <c r="CR50" s="721">
        <v>0</v>
      </c>
      <c r="CS50" s="721">
        <v>65000000</v>
      </c>
      <c r="CT50" s="721">
        <v>0</v>
      </c>
      <c r="CU50" s="721">
        <f t="shared" si="27"/>
        <v>0</v>
      </c>
      <c r="CV50" s="721">
        <f t="shared" si="28"/>
        <v>65000</v>
      </c>
      <c r="CW50" s="721">
        <f t="shared" si="29"/>
        <v>0</v>
      </c>
      <c r="DF50" s="655" t="s">
        <v>613</v>
      </c>
      <c r="DG50" s="655" t="s">
        <v>614</v>
      </c>
      <c r="DH50" s="655" t="s">
        <v>426</v>
      </c>
      <c r="DI50" s="655" t="s">
        <v>426</v>
      </c>
      <c r="DJ50" s="721">
        <v>0</v>
      </c>
      <c r="DK50" s="721">
        <v>0</v>
      </c>
      <c r="DL50" s="721">
        <v>65000000</v>
      </c>
      <c r="DM50" s="721">
        <f t="shared" si="31"/>
        <v>0</v>
      </c>
      <c r="DN50" s="721">
        <f t="shared" si="32"/>
        <v>0</v>
      </c>
      <c r="DO50" s="721">
        <f t="shared" si="33"/>
        <v>65000</v>
      </c>
      <c r="DX50" s="655" t="s">
        <v>613</v>
      </c>
      <c r="DY50" s="655" t="s">
        <v>614</v>
      </c>
      <c r="DZ50" s="655" t="s">
        <v>426</v>
      </c>
      <c r="EA50" s="655" t="s">
        <v>426</v>
      </c>
      <c r="EB50" s="691">
        <v>0</v>
      </c>
      <c r="EC50" s="691">
        <v>65000000</v>
      </c>
      <c r="ED50" s="691">
        <v>31657700</v>
      </c>
      <c r="EE50" s="691">
        <f t="shared" si="35"/>
        <v>0</v>
      </c>
      <c r="EF50" s="691">
        <f t="shared" si="36"/>
        <v>65000</v>
      </c>
      <c r="EG50" s="691">
        <f t="shared" si="37"/>
        <v>31657.7</v>
      </c>
    </row>
    <row r="51" spans="38:137" x14ac:dyDescent="0.2">
      <c r="BD51" s="688" t="s">
        <v>431</v>
      </c>
      <c r="BE51" s="689" t="s">
        <v>127</v>
      </c>
      <c r="BF51" s="688" t="s">
        <v>426</v>
      </c>
      <c r="BG51" s="921" t="s">
        <v>426</v>
      </c>
      <c r="BH51" s="690">
        <v>0</v>
      </c>
      <c r="BI51" s="690">
        <v>1247028092</v>
      </c>
      <c r="BJ51" s="690">
        <v>1247028092</v>
      </c>
      <c r="BK51" s="690">
        <f t="shared" si="19"/>
        <v>0</v>
      </c>
      <c r="BL51" s="690">
        <f t="shared" si="20"/>
        <v>1247028.0919999999</v>
      </c>
      <c r="BM51" s="690">
        <f t="shared" si="21"/>
        <v>1247028.0919999999</v>
      </c>
      <c r="BV51" s="667" t="s">
        <v>431</v>
      </c>
      <c r="BW51" s="663" t="s">
        <v>127</v>
      </c>
      <c r="BX51" s="668" t="s">
        <v>426</v>
      </c>
      <c r="BY51" s="663" t="s">
        <v>426</v>
      </c>
      <c r="BZ51" s="665">
        <v>0</v>
      </c>
      <c r="CA51" s="665">
        <v>1247028092</v>
      </c>
      <c r="CB51" s="665">
        <v>1247028092</v>
      </c>
      <c r="CC51" s="669">
        <f t="shared" si="23"/>
        <v>0</v>
      </c>
      <c r="CD51" s="669">
        <f t="shared" si="24"/>
        <v>1247028.0919999999</v>
      </c>
      <c r="CE51" s="670">
        <f t="shared" si="25"/>
        <v>1247028.0919999999</v>
      </c>
      <c r="CN51" s="655" t="s">
        <v>431</v>
      </c>
      <c r="CO51" s="655" t="s">
        <v>127</v>
      </c>
      <c r="CP51" s="655" t="s">
        <v>426</v>
      </c>
      <c r="CQ51" s="655" t="s">
        <v>426</v>
      </c>
      <c r="CR51" s="721">
        <v>1410533000</v>
      </c>
      <c r="CS51" s="721">
        <v>0</v>
      </c>
      <c r="CT51" s="721">
        <v>0</v>
      </c>
      <c r="CU51" s="721">
        <f t="shared" si="27"/>
        <v>1410533</v>
      </c>
      <c r="CV51" s="721">
        <f t="shared" si="28"/>
        <v>0</v>
      </c>
      <c r="CW51" s="721">
        <f t="shared" si="29"/>
        <v>0</v>
      </c>
      <c r="DF51" s="655" t="s">
        <v>431</v>
      </c>
      <c r="DG51" s="655" t="s">
        <v>127</v>
      </c>
      <c r="DH51" s="655" t="s">
        <v>426</v>
      </c>
      <c r="DI51" s="655" t="s">
        <v>426</v>
      </c>
      <c r="DJ51" s="721">
        <v>1410533000</v>
      </c>
      <c r="DK51" s="721">
        <v>0</v>
      </c>
      <c r="DL51" s="721">
        <v>0</v>
      </c>
      <c r="DM51" s="721">
        <f t="shared" si="31"/>
        <v>1410533</v>
      </c>
      <c r="DN51" s="721">
        <f t="shared" si="32"/>
        <v>0</v>
      </c>
      <c r="DO51" s="721">
        <f t="shared" si="33"/>
        <v>0</v>
      </c>
      <c r="DX51" s="655" t="s">
        <v>431</v>
      </c>
      <c r="DY51" s="655" t="s">
        <v>127</v>
      </c>
      <c r="DZ51" s="655" t="s">
        <v>426</v>
      </c>
      <c r="EA51" s="655" t="s">
        <v>426</v>
      </c>
      <c r="EB51" s="691">
        <v>1410533000</v>
      </c>
      <c r="EC51" s="691">
        <v>0</v>
      </c>
      <c r="ED51" s="691">
        <v>0</v>
      </c>
      <c r="EE51" s="691">
        <f t="shared" si="35"/>
        <v>1410533</v>
      </c>
      <c r="EF51" s="691">
        <f t="shared" si="36"/>
        <v>0</v>
      </c>
      <c r="EG51" s="691">
        <f t="shared" si="37"/>
        <v>0</v>
      </c>
    </row>
    <row r="52" spans="38:137" x14ac:dyDescent="0.2">
      <c r="BD52" s="688" t="s">
        <v>431</v>
      </c>
      <c r="BE52" s="689" t="s">
        <v>127</v>
      </c>
      <c r="BF52" s="688" t="s">
        <v>426</v>
      </c>
      <c r="BG52" s="921" t="s">
        <v>426</v>
      </c>
      <c r="BH52" s="690">
        <v>0</v>
      </c>
      <c r="BI52" s="690">
        <v>146002474</v>
      </c>
      <c r="BJ52" s="690">
        <v>146002474</v>
      </c>
      <c r="BK52" s="690">
        <f t="shared" si="19"/>
        <v>0</v>
      </c>
      <c r="BL52" s="690">
        <f t="shared" si="20"/>
        <v>146002.47399999999</v>
      </c>
      <c r="BM52" s="690">
        <f t="shared" si="21"/>
        <v>146002.47399999999</v>
      </c>
      <c r="BV52" s="667" t="s">
        <v>431</v>
      </c>
      <c r="BW52" s="663" t="s">
        <v>127</v>
      </c>
      <c r="BX52" s="668" t="s">
        <v>426</v>
      </c>
      <c r="BY52" s="663" t="s">
        <v>426</v>
      </c>
      <c r="BZ52" s="665">
        <v>0</v>
      </c>
      <c r="CA52" s="665">
        <v>17434690</v>
      </c>
      <c r="CB52" s="665">
        <v>17434690</v>
      </c>
      <c r="CC52" s="669">
        <f t="shared" si="23"/>
        <v>0</v>
      </c>
      <c r="CD52" s="669">
        <f t="shared" si="24"/>
        <v>17434.689999999999</v>
      </c>
      <c r="CE52" s="670">
        <f t="shared" si="25"/>
        <v>17434.689999999999</v>
      </c>
      <c r="CN52" s="655" t="s">
        <v>431</v>
      </c>
      <c r="CO52" s="655" t="s">
        <v>127</v>
      </c>
      <c r="CP52" s="655" t="s">
        <v>426</v>
      </c>
      <c r="CQ52" s="655" t="s">
        <v>426</v>
      </c>
      <c r="CR52" s="721">
        <v>100</v>
      </c>
      <c r="CS52" s="721">
        <v>0</v>
      </c>
      <c r="CT52" s="721">
        <v>0</v>
      </c>
      <c r="CU52" s="721">
        <f t="shared" si="27"/>
        <v>0.1</v>
      </c>
      <c r="CV52" s="721">
        <f t="shared" si="28"/>
        <v>0</v>
      </c>
      <c r="CW52" s="721">
        <f t="shared" si="29"/>
        <v>0</v>
      </c>
      <c r="DF52" s="655" t="s">
        <v>431</v>
      </c>
      <c r="DG52" s="655" t="s">
        <v>127</v>
      </c>
      <c r="DH52" s="655" t="s">
        <v>426</v>
      </c>
      <c r="DI52" s="655" t="s">
        <v>426</v>
      </c>
      <c r="DJ52" s="721">
        <v>100</v>
      </c>
      <c r="DK52" s="721">
        <v>0</v>
      </c>
      <c r="DL52" s="721">
        <v>0</v>
      </c>
      <c r="DM52" s="721">
        <f t="shared" si="31"/>
        <v>0.1</v>
      </c>
      <c r="DN52" s="721">
        <f t="shared" si="32"/>
        <v>0</v>
      </c>
      <c r="DO52" s="721">
        <f t="shared" si="33"/>
        <v>0</v>
      </c>
      <c r="DX52" s="655" t="s">
        <v>431</v>
      </c>
      <c r="DY52" s="655" t="s">
        <v>127</v>
      </c>
      <c r="DZ52" s="655" t="s">
        <v>426</v>
      </c>
      <c r="EA52" s="655" t="s">
        <v>426</v>
      </c>
      <c r="EB52" s="691">
        <v>100</v>
      </c>
      <c r="EC52" s="691">
        <v>0</v>
      </c>
      <c r="ED52" s="691">
        <v>0</v>
      </c>
      <c r="EE52" s="691">
        <f t="shared" si="35"/>
        <v>0.1</v>
      </c>
      <c r="EF52" s="691">
        <f t="shared" si="36"/>
        <v>0</v>
      </c>
      <c r="EG52" s="691">
        <f t="shared" si="37"/>
        <v>0</v>
      </c>
    </row>
    <row r="53" spans="38:137" x14ac:dyDescent="0.2">
      <c r="BV53" s="680" t="s">
        <v>431</v>
      </c>
      <c r="BW53" s="672" t="s">
        <v>127</v>
      </c>
      <c r="BX53" s="681" t="s">
        <v>426</v>
      </c>
      <c r="BY53" s="672" t="s">
        <v>426</v>
      </c>
      <c r="BZ53" s="674">
        <v>0</v>
      </c>
      <c r="CA53" s="674">
        <v>0</v>
      </c>
      <c r="CB53" s="674">
        <v>0</v>
      </c>
      <c r="CC53" s="682">
        <f t="shared" si="23"/>
        <v>0</v>
      </c>
      <c r="CD53" s="682">
        <f t="shared" si="24"/>
        <v>0</v>
      </c>
      <c r="CE53" s="683">
        <f t="shared" si="25"/>
        <v>0</v>
      </c>
      <c r="CN53" s="655" t="s">
        <v>431</v>
      </c>
      <c r="CO53" s="655" t="s">
        <v>127</v>
      </c>
      <c r="CP53" s="655" t="s">
        <v>426</v>
      </c>
      <c r="CQ53" s="655" t="s">
        <v>426</v>
      </c>
      <c r="CR53" s="721">
        <v>0</v>
      </c>
      <c r="CS53" s="721">
        <v>0</v>
      </c>
      <c r="CT53" s="721">
        <v>0</v>
      </c>
      <c r="CU53" s="721">
        <f t="shared" si="27"/>
        <v>0</v>
      </c>
      <c r="CV53" s="721">
        <f t="shared" si="28"/>
        <v>0</v>
      </c>
      <c r="CW53" s="721">
        <f t="shared" si="29"/>
        <v>0</v>
      </c>
      <c r="DF53" s="655" t="s">
        <v>431</v>
      </c>
      <c r="DG53" s="655" t="s">
        <v>127</v>
      </c>
      <c r="DH53" s="655" t="s">
        <v>426</v>
      </c>
      <c r="DI53" s="655" t="s">
        <v>426</v>
      </c>
      <c r="DJ53" s="721">
        <v>0</v>
      </c>
      <c r="DK53" s="721">
        <v>0</v>
      </c>
      <c r="DL53" s="721">
        <v>0</v>
      </c>
      <c r="DM53" s="721">
        <f t="shared" si="31"/>
        <v>0</v>
      </c>
      <c r="DN53" s="721">
        <f t="shared" si="32"/>
        <v>0</v>
      </c>
      <c r="DO53" s="721">
        <f t="shared" si="33"/>
        <v>0</v>
      </c>
      <c r="DX53" s="655" t="s">
        <v>431</v>
      </c>
      <c r="DY53" s="655" t="s">
        <v>127</v>
      </c>
      <c r="DZ53" s="655" t="s">
        <v>426</v>
      </c>
      <c r="EA53" s="655" t="s">
        <v>426</v>
      </c>
      <c r="EB53" s="691">
        <v>0</v>
      </c>
      <c r="EC53" s="691">
        <v>0</v>
      </c>
      <c r="ED53" s="691">
        <v>0</v>
      </c>
      <c r="EE53" s="691">
        <f t="shared" si="35"/>
        <v>0</v>
      </c>
      <c r="EF53" s="691">
        <f t="shared" si="36"/>
        <v>0</v>
      </c>
      <c r="EG53" s="691">
        <f t="shared" si="37"/>
        <v>0</v>
      </c>
    </row>
    <row r="54" spans="38:137" x14ac:dyDescent="0.2">
      <c r="BK54" s="655"/>
      <c r="BV54" s="676"/>
      <c r="BW54" s="677"/>
      <c r="BX54" s="677"/>
      <c r="BY54" s="677"/>
      <c r="BZ54" s="677"/>
      <c r="CA54" s="677"/>
      <c r="CB54" s="677"/>
      <c r="CC54" s="678">
        <f>SUM(CC3:CC53)</f>
        <v>7784837.0999999996</v>
      </c>
      <c r="CD54" s="678">
        <f>SUM(CD3:CD53)</f>
        <v>2524151.6410000003</v>
      </c>
      <c r="CE54" s="679">
        <f>SUM(CE3:CE53)</f>
        <v>1778383.3049999999</v>
      </c>
      <c r="CN54" s="655" t="s">
        <v>431</v>
      </c>
      <c r="CO54" s="655" t="s">
        <v>127</v>
      </c>
      <c r="CP54" s="655" t="s">
        <v>426</v>
      </c>
      <c r="CQ54" s="655" t="s">
        <v>426</v>
      </c>
      <c r="CR54" s="721">
        <v>0</v>
      </c>
      <c r="CS54" s="721">
        <v>17434690</v>
      </c>
      <c r="CT54" s="721">
        <v>17434690</v>
      </c>
      <c r="CU54" s="721">
        <f t="shared" si="27"/>
        <v>0</v>
      </c>
      <c r="CV54" s="721">
        <f t="shared" si="28"/>
        <v>17434.689999999999</v>
      </c>
      <c r="CW54" s="721">
        <f t="shared" si="29"/>
        <v>17434.689999999999</v>
      </c>
      <c r="DF54" s="655" t="s">
        <v>431</v>
      </c>
      <c r="DG54" s="655" t="s">
        <v>127</v>
      </c>
      <c r="DH54" s="655" t="s">
        <v>426</v>
      </c>
      <c r="DI54" s="655" t="s">
        <v>426</v>
      </c>
      <c r="DJ54" s="721">
        <v>0</v>
      </c>
      <c r="DK54" s="721">
        <v>17434690</v>
      </c>
      <c r="DL54" s="721">
        <v>17434690</v>
      </c>
      <c r="DM54" s="721">
        <f t="shared" si="31"/>
        <v>0</v>
      </c>
      <c r="DN54" s="721">
        <f t="shared" si="32"/>
        <v>17434.689999999999</v>
      </c>
      <c r="DO54" s="721">
        <f t="shared" si="33"/>
        <v>17434.689999999999</v>
      </c>
      <c r="DX54" s="655" t="s">
        <v>431</v>
      </c>
      <c r="DY54" s="655" t="s">
        <v>127</v>
      </c>
      <c r="DZ54" s="655" t="s">
        <v>426</v>
      </c>
      <c r="EA54" s="655" t="s">
        <v>426</v>
      </c>
      <c r="EB54" s="691">
        <v>0</v>
      </c>
      <c r="EC54" s="691">
        <v>17434690</v>
      </c>
      <c r="ED54" s="691">
        <v>17434690</v>
      </c>
      <c r="EE54" s="691">
        <f t="shared" si="35"/>
        <v>0</v>
      </c>
      <c r="EF54" s="691">
        <f t="shared" si="36"/>
        <v>17434.689999999999</v>
      </c>
      <c r="EG54" s="691">
        <f t="shared" si="37"/>
        <v>17434.689999999999</v>
      </c>
    </row>
    <row r="55" spans="38:137" x14ac:dyDescent="0.2">
      <c r="BK55" s="655"/>
      <c r="CN55" s="655" t="s">
        <v>431</v>
      </c>
      <c r="CO55" s="655" t="s">
        <v>127</v>
      </c>
      <c r="CP55" s="655" t="s">
        <v>426</v>
      </c>
      <c r="CQ55" s="655" t="s">
        <v>426</v>
      </c>
      <c r="CR55" s="721">
        <v>0</v>
      </c>
      <c r="CS55" s="721">
        <v>1247028092</v>
      </c>
      <c r="CT55" s="721">
        <v>1247028092</v>
      </c>
      <c r="CU55" s="721">
        <f t="shared" si="27"/>
        <v>0</v>
      </c>
      <c r="CV55" s="721">
        <f t="shared" si="28"/>
        <v>1247028.0919999999</v>
      </c>
      <c r="CW55" s="721">
        <f t="shared" si="29"/>
        <v>1247028.0919999999</v>
      </c>
      <c r="DF55" s="655" t="s">
        <v>431</v>
      </c>
      <c r="DG55" s="655" t="s">
        <v>127</v>
      </c>
      <c r="DH55" s="655" t="s">
        <v>426</v>
      </c>
      <c r="DI55" s="655" t="s">
        <v>426</v>
      </c>
      <c r="DJ55" s="721">
        <v>0</v>
      </c>
      <c r="DK55" s="721">
        <v>1247028092</v>
      </c>
      <c r="DL55" s="721">
        <v>1247028092</v>
      </c>
      <c r="DM55" s="721">
        <f t="shared" si="31"/>
        <v>0</v>
      </c>
      <c r="DN55" s="721">
        <f t="shared" si="32"/>
        <v>1247028.0919999999</v>
      </c>
      <c r="DO55" s="721">
        <f t="shared" si="33"/>
        <v>1247028.0919999999</v>
      </c>
      <c r="DX55" s="655" t="s">
        <v>431</v>
      </c>
      <c r="DY55" s="655" t="s">
        <v>127</v>
      </c>
      <c r="DZ55" s="655" t="s">
        <v>426</v>
      </c>
      <c r="EA55" s="655" t="s">
        <v>426</v>
      </c>
      <c r="EB55" s="691">
        <v>0</v>
      </c>
      <c r="EC55" s="691">
        <v>1247028092</v>
      </c>
      <c r="ED55" s="691">
        <v>1247028092</v>
      </c>
      <c r="EE55" s="691">
        <f t="shared" si="35"/>
        <v>0</v>
      </c>
      <c r="EF55" s="691">
        <f t="shared" si="36"/>
        <v>1247028.0919999999</v>
      </c>
      <c r="EG55" s="691">
        <f t="shared" si="37"/>
        <v>1247028.0919999999</v>
      </c>
    </row>
    <row r="56" spans="38:137" x14ac:dyDescent="0.2">
      <c r="BK56" s="655"/>
      <c r="CN56" s="655" t="s">
        <v>431</v>
      </c>
      <c r="CO56" s="655" t="s">
        <v>127</v>
      </c>
      <c r="CP56" s="655" t="s">
        <v>426</v>
      </c>
      <c r="CQ56" s="655" t="s">
        <v>426</v>
      </c>
      <c r="CR56" s="721">
        <v>0</v>
      </c>
      <c r="CS56" s="721">
        <v>146002474</v>
      </c>
      <c r="CT56" s="721">
        <v>146002474</v>
      </c>
      <c r="CU56" s="721">
        <f t="shared" si="27"/>
        <v>0</v>
      </c>
      <c r="CV56" s="721">
        <f t="shared" si="28"/>
        <v>146002.47399999999</v>
      </c>
      <c r="CW56" s="721">
        <f t="shared" si="29"/>
        <v>146002.47399999999</v>
      </c>
      <c r="DF56" s="655" t="s">
        <v>431</v>
      </c>
      <c r="DG56" s="655" t="s">
        <v>127</v>
      </c>
      <c r="DH56" s="655" t="s">
        <v>426</v>
      </c>
      <c r="DI56" s="655" t="s">
        <v>426</v>
      </c>
      <c r="DJ56" s="721">
        <v>0</v>
      </c>
      <c r="DK56" s="721">
        <v>146002474</v>
      </c>
      <c r="DL56" s="721">
        <v>146002474</v>
      </c>
      <c r="DM56" s="721">
        <f t="shared" si="31"/>
        <v>0</v>
      </c>
      <c r="DN56" s="721">
        <f t="shared" si="32"/>
        <v>146002.47399999999</v>
      </c>
      <c r="DO56" s="721">
        <f t="shared" si="33"/>
        <v>146002.47399999999</v>
      </c>
      <c r="DX56" s="655" t="s">
        <v>431</v>
      </c>
      <c r="DY56" s="655" t="s">
        <v>127</v>
      </c>
      <c r="DZ56" s="655" t="s">
        <v>426</v>
      </c>
      <c r="EA56" s="655" t="s">
        <v>426</v>
      </c>
      <c r="EB56" s="691">
        <v>0</v>
      </c>
      <c r="EC56" s="691">
        <v>146002474</v>
      </c>
      <c r="ED56" s="691">
        <v>146002474</v>
      </c>
      <c r="EE56" s="691">
        <f t="shared" si="35"/>
        <v>0</v>
      </c>
      <c r="EF56" s="691">
        <f t="shared" si="36"/>
        <v>146002.47399999999</v>
      </c>
      <c r="EG56" s="691">
        <f t="shared" si="37"/>
        <v>146002.47399999999</v>
      </c>
    </row>
    <row r="57" spans="38:137" x14ac:dyDescent="0.2">
      <c r="BK57" s="655"/>
    </row>
    <row r="58" spans="38:137" x14ac:dyDescent="0.2">
      <c r="BK58" s="655"/>
    </row>
    <row r="59" spans="38:137" x14ac:dyDescent="0.2">
      <c r="BK59" s="655"/>
    </row>
    <row r="60" spans="38:137" x14ac:dyDescent="0.2">
      <c r="BK60" s="655"/>
    </row>
    <row r="61" spans="38:137" x14ac:dyDescent="0.2">
      <c r="BK61" s="655"/>
    </row>
    <row r="62" spans="38:137" x14ac:dyDescent="0.2">
      <c r="BK62" s="655"/>
    </row>
    <row r="63" spans="38:137" x14ac:dyDescent="0.2">
      <c r="BK63" s="655"/>
    </row>
    <row r="64" spans="38:137" x14ac:dyDescent="0.2">
      <c r="BK64" s="655"/>
    </row>
    <row r="65" spans="63:63" x14ac:dyDescent="0.2">
      <c r="BK65" s="655"/>
    </row>
    <row r="66" spans="63:63" x14ac:dyDescent="0.2">
      <c r="BK66" s="655"/>
    </row>
    <row r="67" spans="63:63" x14ac:dyDescent="0.2">
      <c r="BK67" s="655"/>
    </row>
    <row r="68" spans="63:63" x14ac:dyDescent="0.2">
      <c r="BK68" s="655"/>
    </row>
    <row r="69" spans="63:63" x14ac:dyDescent="0.2">
      <c r="BK69" s="655"/>
    </row>
    <row r="70" spans="63:63" x14ac:dyDescent="0.2">
      <c r="BK70" s="655"/>
    </row>
    <row r="71" spans="63:63" x14ac:dyDescent="0.2">
      <c r="BK71" s="655"/>
    </row>
    <row r="72" spans="63:63" x14ac:dyDescent="0.2">
      <c r="BK72" s="655"/>
    </row>
    <row r="73" spans="63:63" x14ac:dyDescent="0.2">
      <c r="BK73" s="655"/>
    </row>
    <row r="74" spans="63:63" x14ac:dyDescent="0.2">
      <c r="BK74" s="655"/>
    </row>
    <row r="75" spans="63:63" x14ac:dyDescent="0.2">
      <c r="BK75" s="655"/>
    </row>
    <row r="76" spans="63:63" x14ac:dyDescent="0.2">
      <c r="BK76" s="655"/>
    </row>
    <row r="77" spans="63:63" x14ac:dyDescent="0.2">
      <c r="BK77" s="655"/>
    </row>
    <row r="78" spans="63:63" x14ac:dyDescent="0.2">
      <c r="BK78" s="655"/>
    </row>
    <row r="79" spans="63:63" x14ac:dyDescent="0.2">
      <c r="BK79" s="655"/>
    </row>
    <row r="80" spans="63:63" x14ac:dyDescent="0.2">
      <c r="BK80" s="655"/>
    </row>
    <row r="81" spans="63:63" x14ac:dyDescent="0.2">
      <c r="BK81" s="655"/>
    </row>
    <row r="82" spans="63:63" x14ac:dyDescent="0.2">
      <c r="BK82" s="655"/>
    </row>
    <row r="83" spans="63:63" x14ac:dyDescent="0.2">
      <c r="BK83" s="655"/>
    </row>
    <row r="84" spans="63:63" x14ac:dyDescent="0.2">
      <c r="BK84" s="655"/>
    </row>
    <row r="85" spans="63:63" x14ac:dyDescent="0.2">
      <c r="BK85" s="655"/>
    </row>
    <row r="86" spans="63:63" x14ac:dyDescent="0.2">
      <c r="BK86" s="655"/>
    </row>
    <row r="87" spans="63:63" x14ac:dyDescent="0.2">
      <c r="BK87" s="655"/>
    </row>
    <row r="88" spans="63:63" x14ac:dyDescent="0.2">
      <c r="BK88" s="655"/>
    </row>
    <row r="89" spans="63:63" x14ac:dyDescent="0.2">
      <c r="BK89" s="655"/>
    </row>
    <row r="90" spans="63:63" x14ac:dyDescent="0.2">
      <c r="BK90" s="655"/>
    </row>
    <row r="91" spans="63:63" x14ac:dyDescent="0.2">
      <c r="BK91" s="655"/>
    </row>
    <row r="92" spans="63:63" x14ac:dyDescent="0.2">
      <c r="BK92" s="655"/>
    </row>
    <row r="93" spans="63:63" x14ac:dyDescent="0.2">
      <c r="BK93" s="655"/>
    </row>
    <row r="94" spans="63:63" x14ac:dyDescent="0.2">
      <c r="BK94" s="655"/>
    </row>
    <row r="95" spans="63:63" x14ac:dyDescent="0.2">
      <c r="BK95" s="655"/>
    </row>
    <row r="96" spans="63:63" x14ac:dyDescent="0.2">
      <c r="BK96" s="655"/>
    </row>
    <row r="97" spans="63:63" x14ac:dyDescent="0.2">
      <c r="BK97" s="655"/>
    </row>
    <row r="98" spans="63:63" x14ac:dyDescent="0.2">
      <c r="BK98" s="655"/>
    </row>
    <row r="99" spans="63:63" x14ac:dyDescent="0.2">
      <c r="BK99" s="655"/>
    </row>
    <row r="100" spans="63:63" x14ac:dyDescent="0.2">
      <c r="BK100" s="655"/>
    </row>
    <row r="101" spans="63:63" x14ac:dyDescent="0.2">
      <c r="BK101" s="655"/>
    </row>
    <row r="102" spans="63:63" x14ac:dyDescent="0.2">
      <c r="BK102" s="655"/>
    </row>
    <row r="103" spans="63:63" x14ac:dyDescent="0.2">
      <c r="BK103" s="655"/>
    </row>
    <row r="104" spans="63:63" x14ac:dyDescent="0.2">
      <c r="BK104" s="655"/>
    </row>
    <row r="105" spans="63:63" x14ac:dyDescent="0.2">
      <c r="BK105" s="655"/>
    </row>
    <row r="106" spans="63:63" x14ac:dyDescent="0.2">
      <c r="BK106" s="655"/>
    </row>
    <row r="107" spans="63:63" x14ac:dyDescent="0.2">
      <c r="BK107" s="655"/>
    </row>
    <row r="108" spans="63:63" x14ac:dyDescent="0.2">
      <c r="BK108" s="655"/>
    </row>
    <row r="109" spans="63:63" x14ac:dyDescent="0.2">
      <c r="BK109" s="655"/>
    </row>
    <row r="110" spans="63:63" x14ac:dyDescent="0.2">
      <c r="BK110" s="655"/>
    </row>
    <row r="111" spans="63:63" x14ac:dyDescent="0.2">
      <c r="BK111" s="655"/>
    </row>
    <row r="112" spans="63:63" x14ac:dyDescent="0.2">
      <c r="BK112" s="655"/>
    </row>
    <row r="113" spans="63:63" x14ac:dyDescent="0.2">
      <c r="BK113" s="655"/>
    </row>
    <row r="114" spans="63:63" x14ac:dyDescent="0.2">
      <c r="BK114" s="655"/>
    </row>
    <row r="115" spans="63:63" x14ac:dyDescent="0.2">
      <c r="BK115" s="655"/>
    </row>
    <row r="116" spans="63:63" x14ac:dyDescent="0.2">
      <c r="BK116" s="655"/>
    </row>
    <row r="117" spans="63:63" x14ac:dyDescent="0.2">
      <c r="BK117" s="655"/>
    </row>
    <row r="118" spans="63:63" x14ac:dyDescent="0.2">
      <c r="BK118" s="655"/>
    </row>
    <row r="119" spans="63:63" x14ac:dyDescent="0.2">
      <c r="BK119" s="655"/>
    </row>
    <row r="120" spans="63:63" x14ac:dyDescent="0.2">
      <c r="BK120" s="655"/>
    </row>
    <row r="121" spans="63:63" x14ac:dyDescent="0.2">
      <c r="BK121" s="655"/>
    </row>
    <row r="122" spans="63:63" x14ac:dyDescent="0.2">
      <c r="BK122" s="655"/>
    </row>
    <row r="123" spans="63:63" x14ac:dyDescent="0.2">
      <c r="BK123" s="655"/>
    </row>
    <row r="124" spans="63:63" x14ac:dyDescent="0.2">
      <c r="BK124" s="655"/>
    </row>
    <row r="125" spans="63:63" x14ac:dyDescent="0.2">
      <c r="BK125" s="655"/>
    </row>
    <row r="126" spans="63:63" x14ac:dyDescent="0.2">
      <c r="BK126" s="655"/>
    </row>
    <row r="127" spans="63:63" x14ac:dyDescent="0.2">
      <c r="BK127" s="655"/>
    </row>
    <row r="128" spans="63:63" x14ac:dyDescent="0.2">
      <c r="BK128" s="655"/>
    </row>
    <row r="129" spans="63:63" x14ac:dyDescent="0.2">
      <c r="BK129" s="655"/>
    </row>
    <row r="130" spans="63:63" x14ac:dyDescent="0.2">
      <c r="BK130" s="655"/>
    </row>
    <row r="131" spans="63:63" x14ac:dyDescent="0.2">
      <c r="BK131" s="655"/>
    </row>
    <row r="132" spans="63:63" x14ac:dyDescent="0.2">
      <c r="BK132" s="655"/>
    </row>
    <row r="133" spans="63:63" x14ac:dyDescent="0.2">
      <c r="BK133" s="655"/>
    </row>
    <row r="134" spans="63:63" x14ac:dyDescent="0.2">
      <c r="BK134" s="655"/>
    </row>
    <row r="135" spans="63:63" x14ac:dyDescent="0.2">
      <c r="BK135" s="655"/>
    </row>
    <row r="136" spans="63:63" x14ac:dyDescent="0.2">
      <c r="BK136" s="655"/>
    </row>
    <row r="137" spans="63:63" x14ac:dyDescent="0.2">
      <c r="BK137" s="655"/>
    </row>
    <row r="138" spans="63:63" x14ac:dyDescent="0.2">
      <c r="BK138" s="655"/>
    </row>
    <row r="139" spans="63:63" x14ac:dyDescent="0.2">
      <c r="BK139" s="655"/>
    </row>
    <row r="140" spans="63:63" x14ac:dyDescent="0.2">
      <c r="BK140" s="655"/>
    </row>
    <row r="141" spans="63:63" x14ac:dyDescent="0.2">
      <c r="BK141" s="655"/>
    </row>
    <row r="142" spans="63:63" x14ac:dyDescent="0.2">
      <c r="BK142" s="655"/>
    </row>
    <row r="143" spans="63:63" x14ac:dyDescent="0.2">
      <c r="BK143" s="655"/>
    </row>
    <row r="144" spans="63:63" x14ac:dyDescent="0.2">
      <c r="BK144" s="655"/>
    </row>
    <row r="145" spans="63:63" x14ac:dyDescent="0.2">
      <c r="BK145" s="655"/>
    </row>
    <row r="146" spans="63:63" x14ac:dyDescent="0.2">
      <c r="BK146" s="655"/>
    </row>
    <row r="147" spans="63:63" x14ac:dyDescent="0.2">
      <c r="BK147" s="655"/>
    </row>
    <row r="148" spans="63:63" x14ac:dyDescent="0.2">
      <c r="BK148" s="655"/>
    </row>
    <row r="149" spans="63:63" x14ac:dyDescent="0.2">
      <c r="BK149" s="655"/>
    </row>
    <row r="150" spans="63:63" x14ac:dyDescent="0.2">
      <c r="BK150" s="655"/>
    </row>
    <row r="151" spans="63:63" x14ac:dyDescent="0.2">
      <c r="BK151" s="655"/>
    </row>
    <row r="152" spans="63:63" x14ac:dyDescent="0.2">
      <c r="BK152" s="655"/>
    </row>
    <row r="153" spans="63:63" x14ac:dyDescent="0.2">
      <c r="BK153" s="655"/>
    </row>
    <row r="154" spans="63:63" x14ac:dyDescent="0.2">
      <c r="BK154" s="655"/>
    </row>
    <row r="155" spans="63:63" x14ac:dyDescent="0.2">
      <c r="BK155" s="655"/>
    </row>
    <row r="156" spans="63:63" x14ac:dyDescent="0.2">
      <c r="BK156" s="655"/>
    </row>
    <row r="157" spans="63:63" x14ac:dyDescent="0.2">
      <c r="BK157" s="655"/>
    </row>
    <row r="158" spans="63:63" x14ac:dyDescent="0.2">
      <c r="BK158" s="655"/>
    </row>
    <row r="159" spans="63:63" x14ac:dyDescent="0.2">
      <c r="BK159" s="655"/>
    </row>
    <row r="160" spans="63:63" x14ac:dyDescent="0.2">
      <c r="BK160" s="655"/>
    </row>
    <row r="161" spans="63:63" x14ac:dyDescent="0.2">
      <c r="BK161" s="655"/>
    </row>
    <row r="162" spans="63:63" x14ac:dyDescent="0.2">
      <c r="BK162" s="655"/>
    </row>
    <row r="163" spans="63:63" x14ac:dyDescent="0.2">
      <c r="BK163" s="655"/>
    </row>
    <row r="164" spans="63:63" x14ac:dyDescent="0.2">
      <c r="BK164" s="655"/>
    </row>
    <row r="165" spans="63:63" x14ac:dyDescent="0.2">
      <c r="BK165" s="655"/>
    </row>
    <row r="166" spans="63:63" x14ac:dyDescent="0.2">
      <c r="BK166" s="655"/>
    </row>
    <row r="167" spans="63:63" x14ac:dyDescent="0.2">
      <c r="BK167" s="655"/>
    </row>
    <row r="168" spans="63:63" x14ac:dyDescent="0.2">
      <c r="BK168" s="655"/>
    </row>
    <row r="169" spans="63:63" x14ac:dyDescent="0.2">
      <c r="BK169" s="655"/>
    </row>
    <row r="170" spans="63:63" x14ac:dyDescent="0.2">
      <c r="BK170" s="655"/>
    </row>
    <row r="171" spans="63:63" x14ac:dyDescent="0.2">
      <c r="BK171" s="655"/>
    </row>
    <row r="172" spans="63:63" x14ac:dyDescent="0.2">
      <c r="BK172" s="655"/>
    </row>
    <row r="173" spans="63:63" x14ac:dyDescent="0.2">
      <c r="BK173" s="655"/>
    </row>
    <row r="174" spans="63:63" x14ac:dyDescent="0.2">
      <c r="BK174" s="655"/>
    </row>
    <row r="175" spans="63:63" x14ac:dyDescent="0.2">
      <c r="BK175" s="655"/>
    </row>
    <row r="176" spans="63:63" x14ac:dyDescent="0.2">
      <c r="BK176" s="655"/>
    </row>
    <row r="177" spans="63:63" x14ac:dyDescent="0.2">
      <c r="BK177" s="655"/>
    </row>
    <row r="178" spans="63:63" x14ac:dyDescent="0.2">
      <c r="BK178" s="655"/>
    </row>
    <row r="179" spans="63:63" x14ac:dyDescent="0.2">
      <c r="BK179" s="655"/>
    </row>
    <row r="180" spans="63:63" x14ac:dyDescent="0.2">
      <c r="BK180" s="655"/>
    </row>
    <row r="181" spans="63:63" x14ac:dyDescent="0.2">
      <c r="BK181" s="655"/>
    </row>
    <row r="182" spans="63:63" x14ac:dyDescent="0.2">
      <c r="BK182" s="655"/>
    </row>
    <row r="183" spans="63:63" x14ac:dyDescent="0.2">
      <c r="BK183" s="655"/>
    </row>
    <row r="184" spans="63:63" x14ac:dyDescent="0.2">
      <c r="BK184" s="655"/>
    </row>
    <row r="185" spans="63:63" x14ac:dyDescent="0.2">
      <c r="BK185" s="655"/>
    </row>
    <row r="186" spans="63:63" x14ac:dyDescent="0.2">
      <c r="BK186" s="655"/>
    </row>
    <row r="187" spans="63:63" x14ac:dyDescent="0.2">
      <c r="BK187" s="655"/>
    </row>
    <row r="188" spans="63:63" x14ac:dyDescent="0.2">
      <c r="BK188" s="655"/>
    </row>
    <row r="189" spans="63:63" x14ac:dyDescent="0.2">
      <c r="BK189" s="655"/>
    </row>
    <row r="190" spans="63:63" x14ac:dyDescent="0.2">
      <c r="BK190" s="655"/>
    </row>
    <row r="191" spans="63:63" x14ac:dyDescent="0.2">
      <c r="BK191" s="655"/>
    </row>
    <row r="192" spans="63:63" x14ac:dyDescent="0.2">
      <c r="BK192" s="655"/>
    </row>
    <row r="193" spans="63:63" x14ac:dyDescent="0.2">
      <c r="BK193" s="655"/>
    </row>
    <row r="194" spans="63:63" x14ac:dyDescent="0.2">
      <c r="BK194" s="655"/>
    </row>
    <row r="195" spans="63:63" x14ac:dyDescent="0.2">
      <c r="BK195" s="655"/>
    </row>
    <row r="196" spans="63:63" x14ac:dyDescent="0.2">
      <c r="BK196" s="655"/>
    </row>
    <row r="197" spans="63:63" x14ac:dyDescent="0.2">
      <c r="BK197" s="655"/>
    </row>
    <row r="198" spans="63:63" x14ac:dyDescent="0.2">
      <c r="BK198" s="655"/>
    </row>
    <row r="199" spans="63:63" x14ac:dyDescent="0.2">
      <c r="BK199" s="655"/>
    </row>
    <row r="200" spans="63:63" x14ac:dyDescent="0.2">
      <c r="BK200" s="655"/>
    </row>
    <row r="201" spans="63:63" x14ac:dyDescent="0.2">
      <c r="BK201" s="655"/>
    </row>
    <row r="202" spans="63:63" x14ac:dyDescent="0.2">
      <c r="BK202" s="655"/>
    </row>
    <row r="203" spans="63:63" x14ac:dyDescent="0.2">
      <c r="BK203" s="655"/>
    </row>
    <row r="204" spans="63:63" x14ac:dyDescent="0.2">
      <c r="BK204" s="655"/>
    </row>
    <row r="205" spans="63:63" x14ac:dyDescent="0.2">
      <c r="BK205" s="655"/>
    </row>
    <row r="206" spans="63:63" x14ac:dyDescent="0.2">
      <c r="BK206" s="655"/>
    </row>
    <row r="207" spans="63:63" x14ac:dyDescent="0.2">
      <c r="BK207" s="655"/>
    </row>
    <row r="208" spans="63:63" x14ac:dyDescent="0.2">
      <c r="BK208" s="655"/>
    </row>
    <row r="209" spans="63:63" x14ac:dyDescent="0.2">
      <c r="BK209" s="655"/>
    </row>
    <row r="210" spans="63:63" x14ac:dyDescent="0.2">
      <c r="BK210" s="655"/>
    </row>
    <row r="211" spans="63:63" x14ac:dyDescent="0.2">
      <c r="BK211" s="655"/>
    </row>
    <row r="212" spans="63:63" x14ac:dyDescent="0.2">
      <c r="BK212" s="655"/>
    </row>
    <row r="213" spans="63:63" x14ac:dyDescent="0.2">
      <c r="BK213" s="655"/>
    </row>
    <row r="214" spans="63:63" x14ac:dyDescent="0.2">
      <c r="BK214" s="655"/>
    </row>
    <row r="215" spans="63:63" x14ac:dyDescent="0.2">
      <c r="BK215" s="655"/>
    </row>
    <row r="216" spans="63:63" x14ac:dyDescent="0.2">
      <c r="BK216" s="655"/>
    </row>
    <row r="217" spans="63:63" x14ac:dyDescent="0.2">
      <c r="BK217" s="655"/>
    </row>
    <row r="218" spans="63:63" x14ac:dyDescent="0.2">
      <c r="BK218" s="655"/>
    </row>
    <row r="219" spans="63:63" x14ac:dyDescent="0.2">
      <c r="BK219" s="655"/>
    </row>
    <row r="220" spans="63:63" x14ac:dyDescent="0.2">
      <c r="BK220" s="655"/>
    </row>
    <row r="221" spans="63:63" x14ac:dyDescent="0.2">
      <c r="BK221" s="655"/>
    </row>
    <row r="222" spans="63:63" x14ac:dyDescent="0.2">
      <c r="BK222" s="655"/>
    </row>
    <row r="223" spans="63:63" x14ac:dyDescent="0.2">
      <c r="BK223" s="655"/>
    </row>
    <row r="224" spans="63:63" x14ac:dyDescent="0.2">
      <c r="BK224" s="655"/>
    </row>
    <row r="225" spans="63:63" x14ac:dyDescent="0.2">
      <c r="BK225" s="655"/>
    </row>
    <row r="226" spans="63:63" x14ac:dyDescent="0.2">
      <c r="BK226" s="655"/>
    </row>
    <row r="227" spans="63:63" x14ac:dyDescent="0.2">
      <c r="BK227" s="655"/>
    </row>
    <row r="228" spans="63:63" x14ac:dyDescent="0.2">
      <c r="BK228" s="655"/>
    </row>
    <row r="229" spans="63:63" x14ac:dyDescent="0.2">
      <c r="BK229" s="655"/>
    </row>
    <row r="230" spans="63:63" x14ac:dyDescent="0.2">
      <c r="BK230" s="655"/>
    </row>
    <row r="231" spans="63:63" x14ac:dyDescent="0.2">
      <c r="BK231" s="655"/>
    </row>
    <row r="232" spans="63:63" x14ac:dyDescent="0.2">
      <c r="BK232" s="655"/>
    </row>
    <row r="233" spans="63:63" x14ac:dyDescent="0.2">
      <c r="BK233" s="655"/>
    </row>
    <row r="234" spans="63:63" x14ac:dyDescent="0.2">
      <c r="BK234" s="655"/>
    </row>
    <row r="235" spans="63:63" x14ac:dyDescent="0.2">
      <c r="BK235" s="655"/>
    </row>
    <row r="236" spans="63:63" x14ac:dyDescent="0.2">
      <c r="BK236" s="655"/>
    </row>
    <row r="237" spans="63:63" x14ac:dyDescent="0.2">
      <c r="BK237" s="655"/>
    </row>
    <row r="238" spans="63:63" x14ac:dyDescent="0.2">
      <c r="BK238" s="655"/>
    </row>
    <row r="239" spans="63:63" x14ac:dyDescent="0.2">
      <c r="BK239" s="655"/>
    </row>
    <row r="240" spans="63:63" x14ac:dyDescent="0.2">
      <c r="BK240" s="655"/>
    </row>
    <row r="241" spans="63:63" x14ac:dyDescent="0.2">
      <c r="BK241" s="655"/>
    </row>
    <row r="242" spans="63:63" x14ac:dyDescent="0.2">
      <c r="BK242" s="655"/>
    </row>
    <row r="243" spans="63:63" x14ac:dyDescent="0.2">
      <c r="BK243" s="655"/>
    </row>
    <row r="244" spans="63:63" x14ac:dyDescent="0.2">
      <c r="BK244" s="655"/>
    </row>
    <row r="245" spans="63:63" x14ac:dyDescent="0.2">
      <c r="BK245" s="655"/>
    </row>
    <row r="246" spans="63:63" x14ac:dyDescent="0.2">
      <c r="BK246" s="655"/>
    </row>
    <row r="247" spans="63:63" x14ac:dyDescent="0.2">
      <c r="BK247" s="655"/>
    </row>
    <row r="248" spans="63:63" x14ac:dyDescent="0.2">
      <c r="BK248" s="655"/>
    </row>
    <row r="249" spans="63:63" x14ac:dyDescent="0.2">
      <c r="BK249" s="655"/>
    </row>
    <row r="250" spans="63:63" x14ac:dyDescent="0.2">
      <c r="BK250" s="655"/>
    </row>
    <row r="251" spans="63:63" x14ac:dyDescent="0.2">
      <c r="BK251" s="655"/>
    </row>
    <row r="252" spans="63:63" x14ac:dyDescent="0.2">
      <c r="BK252" s="655"/>
    </row>
    <row r="253" spans="63:63" x14ac:dyDescent="0.2">
      <c r="BK253" s="655"/>
    </row>
    <row r="254" spans="63:63" x14ac:dyDescent="0.2">
      <c r="BK254" s="655"/>
    </row>
    <row r="255" spans="63:63" x14ac:dyDescent="0.2">
      <c r="BK255" s="655"/>
    </row>
    <row r="256" spans="63:63" x14ac:dyDescent="0.2">
      <c r="BK256" s="655"/>
    </row>
    <row r="257" spans="63:63" x14ac:dyDescent="0.2">
      <c r="BK257" s="655"/>
    </row>
    <row r="258" spans="63:63" x14ac:dyDescent="0.2">
      <c r="BK258" s="655"/>
    </row>
    <row r="259" spans="63:63" x14ac:dyDescent="0.2">
      <c r="BK259" s="655"/>
    </row>
    <row r="260" spans="63:63" x14ac:dyDescent="0.2">
      <c r="BK260" s="655"/>
    </row>
    <row r="261" spans="63:63" x14ac:dyDescent="0.2">
      <c r="BK261" s="655"/>
    </row>
    <row r="262" spans="63:63" x14ac:dyDescent="0.2">
      <c r="BK262" s="655"/>
    </row>
    <row r="263" spans="63:63" x14ac:dyDescent="0.2">
      <c r="BK263" s="655"/>
    </row>
    <row r="264" spans="63:63" x14ac:dyDescent="0.2">
      <c r="BK264" s="655"/>
    </row>
    <row r="265" spans="63:63" x14ac:dyDescent="0.2">
      <c r="BK265" s="655"/>
    </row>
    <row r="266" spans="63:63" x14ac:dyDescent="0.2">
      <c r="BK266" s="655"/>
    </row>
    <row r="267" spans="63:63" x14ac:dyDescent="0.2">
      <c r="BK267" s="655"/>
    </row>
    <row r="268" spans="63:63" x14ac:dyDescent="0.2">
      <c r="BK268" s="655"/>
    </row>
    <row r="269" spans="63:63" x14ac:dyDescent="0.2">
      <c r="BK269" s="655"/>
    </row>
    <row r="270" spans="63:63" x14ac:dyDescent="0.2">
      <c r="BK270" s="655"/>
    </row>
    <row r="271" spans="63:63" x14ac:dyDescent="0.2">
      <c r="BK271" s="655"/>
    </row>
    <row r="272" spans="63:63" x14ac:dyDescent="0.2">
      <c r="BK272" s="655"/>
    </row>
    <row r="273" spans="63:63" x14ac:dyDescent="0.2">
      <c r="BK273" s="655"/>
    </row>
    <row r="274" spans="63:63" x14ac:dyDescent="0.2">
      <c r="BK274" s="655"/>
    </row>
    <row r="275" spans="63:63" x14ac:dyDescent="0.2">
      <c r="BK275" s="655"/>
    </row>
    <row r="276" spans="63:63" x14ac:dyDescent="0.2">
      <c r="BK276" s="655"/>
    </row>
    <row r="277" spans="63:63" x14ac:dyDescent="0.2">
      <c r="BK277" s="655"/>
    </row>
    <row r="278" spans="63:63" x14ac:dyDescent="0.2">
      <c r="BK278" s="655"/>
    </row>
    <row r="279" spans="63:63" x14ac:dyDescent="0.2">
      <c r="BK279" s="655"/>
    </row>
  </sheetData>
  <autoFilter ref="A2:L2" xr:uid="{9F3E3DB6-42EE-4332-8A27-379DA00EBEE9}"/>
  <mergeCells count="15">
    <mergeCell ref="DQ1:DT1"/>
    <mergeCell ref="DX1:EE1"/>
    <mergeCell ref="CY1:DB1"/>
    <mergeCell ref="DF1:DL1"/>
    <mergeCell ref="A1:G1"/>
    <mergeCell ref="M1:P1"/>
    <mergeCell ref="T1:Z1"/>
    <mergeCell ref="AE1:AH1"/>
    <mergeCell ref="AL1:AS1"/>
    <mergeCell ref="CG1:CJ1"/>
    <mergeCell ref="CN1:CT1"/>
    <mergeCell ref="BO1:BR1"/>
    <mergeCell ref="BV1:CB1"/>
    <mergeCell ref="AW1:AZ1"/>
    <mergeCell ref="BD1:BJ1"/>
  </mergeCells>
  <pageMargins left="0.7" right="0.7" top="0.75" bottom="0.75" header="0.3" footer="0.3"/>
  <ignoredErrors>
    <ignoredError sqref="BO3:BQ8 BV3:BX5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5DFDD"/>
  </sheetPr>
  <dimension ref="A1:HC58"/>
  <sheetViews>
    <sheetView showGridLines="0" topLeftCell="CE1" zoomScale="80" zoomScaleNormal="80" workbookViewId="0">
      <selection activeCell="ED23" sqref="ED23"/>
    </sheetView>
  </sheetViews>
  <sheetFormatPr baseColWidth="10" defaultColWidth="14.7109375" defaultRowHeight="12" x14ac:dyDescent="0.2"/>
  <cols>
    <col min="1" max="1" width="14.5703125" style="199" hidden="1" customWidth="1"/>
    <col min="2" max="2" width="37" style="199" hidden="1" customWidth="1"/>
    <col min="3" max="3" width="12.28515625" style="199" hidden="1" customWidth="1"/>
    <col min="4" max="4" width="33.85546875" style="199" hidden="1" customWidth="1"/>
    <col min="5" max="5" width="18.42578125" style="199" hidden="1" customWidth="1"/>
    <col min="6" max="6" width="16.28515625" style="199" hidden="1" customWidth="1"/>
    <col min="7" max="7" width="13.28515625" style="199" hidden="1" customWidth="1"/>
    <col min="8" max="8" width="14.5703125" style="199" hidden="1" customWidth="1"/>
    <col min="9" max="9" width="12.7109375" style="199" hidden="1" customWidth="1"/>
    <col min="10" max="10" width="13.28515625" style="199" hidden="1" customWidth="1"/>
    <col min="11" max="17" width="14.7109375" style="199" hidden="1" customWidth="1"/>
    <col min="18" max="18" width="8.5703125" style="199" hidden="1" customWidth="1"/>
    <col min="19" max="19" width="14.7109375" style="199" hidden="1" customWidth="1"/>
    <col min="20" max="20" width="14.7109375" style="273" hidden="1" customWidth="1"/>
    <col min="21" max="21" width="14.7109375" style="199" hidden="1" customWidth="1"/>
    <col min="22" max="22" width="14.7109375" style="273" hidden="1" customWidth="1"/>
    <col min="23" max="28" width="14.7109375" style="199" hidden="1" customWidth="1"/>
    <col min="29" max="29" width="6" style="199" hidden="1" customWidth="1"/>
    <col min="30" max="55" width="14.7109375" style="199" hidden="1" customWidth="1"/>
    <col min="56" max="56" width="38.7109375" style="199" hidden="1" customWidth="1"/>
    <col min="57" max="66" width="14.7109375" style="199" hidden="1" customWidth="1"/>
    <col min="67" max="67" width="44" style="199" hidden="1" customWidth="1"/>
    <col min="68" max="68" width="14.7109375" style="199" hidden="1" customWidth="1"/>
    <col min="69" max="69" width="43.5703125" style="199" hidden="1" customWidth="1"/>
    <col min="70" max="73" width="14.7109375" style="199" hidden="1" customWidth="1"/>
    <col min="74" max="74" width="47.28515625" style="199" hidden="1" customWidth="1"/>
    <col min="75" max="75" width="14.7109375" style="199" hidden="1" customWidth="1"/>
    <col min="76" max="76" width="45.7109375" style="199" hidden="1" customWidth="1"/>
    <col min="77" max="82" width="14.7109375" style="199" hidden="1" customWidth="1"/>
    <col min="83" max="83" width="4.85546875" style="199" customWidth="1"/>
    <col min="84" max="102" width="14.7109375" style="199" hidden="1" customWidth="1"/>
    <col min="103" max="103" width="14.7109375" style="273" hidden="1" customWidth="1"/>
    <col min="104" max="104" width="14.7109375" style="199" hidden="1" customWidth="1"/>
    <col min="105" max="105" width="14.7109375" style="273" hidden="1" customWidth="1"/>
    <col min="106" max="109" width="14.7109375" style="199" hidden="1" customWidth="1"/>
    <col min="110" max="110" width="14.7109375" style="273" hidden="1" customWidth="1"/>
    <col min="111" max="111" width="14.7109375" style="199" hidden="1" customWidth="1"/>
    <col min="112" max="112" width="14.7109375" style="273" hidden="1" customWidth="1"/>
    <col min="113" max="119" width="14.7109375" style="199" hidden="1" customWidth="1"/>
    <col min="120" max="123" width="14.7109375" style="199" customWidth="1"/>
    <col min="124" max="124" width="14.7109375" style="199" hidden="1" customWidth="1"/>
    <col min="125" max="127" width="14.7109375" style="199" customWidth="1"/>
    <col min="128" max="128" width="14.7109375" style="200" customWidth="1"/>
    <col min="129" max="129" width="14.7109375" style="199" customWidth="1"/>
    <col min="130" max="130" width="14.7109375" style="273" customWidth="1"/>
    <col min="131" max="133" width="14.7109375" style="199" hidden="1" customWidth="1"/>
    <col min="134" max="137" width="14.7109375" style="199" customWidth="1"/>
    <col min="138" max="138" width="14.7109375" style="199" hidden="1" customWidth="1"/>
    <col min="139" max="139" width="25.140625" style="273" hidden="1" customWidth="1"/>
    <col min="140" max="140" width="14.7109375" style="199" hidden="1" customWidth="1"/>
    <col min="141" max="141" width="37.28515625" style="199" hidden="1" customWidth="1"/>
    <col min="142" max="146" width="14.7109375" style="199" hidden="1" customWidth="1"/>
    <col min="147" max="147" width="14.7109375" style="273" hidden="1" customWidth="1"/>
    <col min="148" max="153" width="14.7109375" style="199" hidden="1" customWidth="1"/>
    <col min="154" max="154" width="14.7109375" style="270" hidden="1" customWidth="1"/>
    <col min="155" max="157" width="14.7109375" style="199" hidden="1" customWidth="1"/>
    <col min="158" max="158" width="44" style="199" hidden="1" customWidth="1"/>
    <col min="159" max="159" width="14.7109375" style="199" hidden="1" customWidth="1"/>
    <col min="160" max="160" width="36.5703125" style="199" hidden="1" customWidth="1"/>
    <col min="161" max="163" width="14.7109375" style="270" hidden="1" customWidth="1"/>
    <col min="164" max="166" width="14.7109375" style="199" hidden="1" customWidth="1"/>
    <col min="167" max="167" width="44" style="268" hidden="1" customWidth="1"/>
    <col min="168" max="168" width="14.7109375" style="199" hidden="1" customWidth="1"/>
    <col min="169" max="169" width="41.28515625" style="199" hidden="1" customWidth="1"/>
    <col min="170" max="187" width="14.7109375" style="199" hidden="1" customWidth="1"/>
    <col min="188" max="190" width="14.7109375" style="270" hidden="1" customWidth="1"/>
    <col min="191" max="195" width="14.7109375" style="199" hidden="1" customWidth="1"/>
    <col min="196" max="196" width="14.7109375" style="273" hidden="1" customWidth="1"/>
    <col min="197" max="199" width="14.7109375" style="199" hidden="1" customWidth="1"/>
    <col min="200" max="200" width="10.140625" style="199" hidden="1" customWidth="1"/>
    <col min="201" max="201" width="14.7109375" style="199" hidden="1" customWidth="1"/>
    <col min="202" max="202" width="9.140625" style="199" hidden="1" customWidth="1"/>
    <col min="203" max="203" width="18.85546875" style="199" hidden="1" customWidth="1"/>
    <col min="204" max="204" width="9.5703125" style="199" hidden="1" customWidth="1"/>
    <col min="205" max="205" width="14.7109375" style="199" hidden="1" customWidth="1"/>
    <col min="206" max="208" width="14.7109375" style="351" hidden="1" customWidth="1"/>
    <col min="209" max="209" width="12.42578125" style="204" hidden="1" customWidth="1"/>
    <col min="210" max="211" width="12.42578125" style="199" hidden="1" customWidth="1"/>
    <col min="212" max="212" width="14.7109375" style="199" customWidth="1"/>
    <col min="213" max="16384" width="14.7109375" style="199"/>
  </cols>
  <sheetData>
    <row r="1" spans="1:211" s="186" customFormat="1" ht="14.45" customHeight="1" x14ac:dyDescent="0.2">
      <c r="A1" s="1260" t="s">
        <v>894</v>
      </c>
      <c r="B1" s="1260"/>
      <c r="C1" s="1260"/>
      <c r="D1" s="1260"/>
      <c r="E1" s="1260"/>
      <c r="F1" s="1260"/>
      <c r="G1" s="1260"/>
      <c r="H1" s="186">
        <v>1000</v>
      </c>
      <c r="I1" s="186">
        <v>1.042</v>
      </c>
      <c r="L1" s="1260" t="s">
        <v>135</v>
      </c>
      <c r="M1" s="1260"/>
      <c r="N1" s="1260"/>
      <c r="O1" s="1260"/>
      <c r="P1" s="186">
        <v>1000</v>
      </c>
      <c r="Q1" s="186">
        <v>1.042</v>
      </c>
      <c r="S1" s="1260" t="s">
        <v>900</v>
      </c>
      <c r="T1" s="1260"/>
      <c r="U1" s="1260"/>
      <c r="V1" s="1260"/>
      <c r="W1" s="1260"/>
      <c r="X1" s="1260"/>
      <c r="Y1" s="1260"/>
      <c r="Z1" s="1260"/>
      <c r="AA1" s="186">
        <v>1000</v>
      </c>
      <c r="AB1" s="186">
        <v>1.042</v>
      </c>
      <c r="AD1" s="1260" t="s">
        <v>1060</v>
      </c>
      <c r="AE1" s="1260"/>
      <c r="AF1" s="1260"/>
      <c r="AG1" s="1260"/>
      <c r="AH1" s="186">
        <v>1000</v>
      </c>
      <c r="AI1" s="186">
        <v>1.042</v>
      </c>
      <c r="AK1" s="1260" t="s">
        <v>1059</v>
      </c>
      <c r="AL1" s="1260"/>
      <c r="AM1" s="1260"/>
      <c r="AN1" s="1260"/>
      <c r="AO1" s="1260"/>
      <c r="AP1" s="1260"/>
      <c r="AQ1" s="1260"/>
      <c r="AR1" s="1260"/>
      <c r="AS1" s="186">
        <v>1000</v>
      </c>
      <c r="AT1" s="186">
        <v>1.042</v>
      </c>
      <c r="AV1" s="1260" t="s">
        <v>7</v>
      </c>
      <c r="AW1" s="1260"/>
      <c r="AX1" s="1260"/>
      <c r="AY1" s="1260"/>
      <c r="AZ1" s="186">
        <v>1000</v>
      </c>
      <c r="BA1" s="186">
        <v>1.042</v>
      </c>
      <c r="BC1" s="1260" t="s">
        <v>921</v>
      </c>
      <c r="BD1" s="1260"/>
      <c r="BE1" s="1260"/>
      <c r="BF1" s="1260"/>
      <c r="BG1" s="1260"/>
      <c r="BH1" s="1260"/>
      <c r="BI1" s="1260"/>
      <c r="BJ1" s="186">
        <v>1000</v>
      </c>
      <c r="BK1" s="186">
        <v>1.042</v>
      </c>
      <c r="BN1" s="1261" t="s">
        <v>8</v>
      </c>
      <c r="BO1" s="1261"/>
      <c r="BP1" s="1261"/>
      <c r="BQ1" s="1261"/>
      <c r="BR1" s="905">
        <v>1000</v>
      </c>
      <c r="BS1" s="905">
        <v>1.042</v>
      </c>
      <c r="BU1" s="1261" t="s">
        <v>835</v>
      </c>
      <c r="BV1" s="1261"/>
      <c r="BW1" s="1261"/>
      <c r="BX1" s="1261"/>
      <c r="BY1" s="1261"/>
      <c r="BZ1" s="1261"/>
      <c r="CA1" s="1261"/>
      <c r="CB1" s="905">
        <v>1000</v>
      </c>
      <c r="CC1" s="905">
        <v>1.042</v>
      </c>
      <c r="CD1" s="905"/>
      <c r="CF1" s="1260" t="s">
        <v>1106</v>
      </c>
      <c r="CG1" s="1260"/>
      <c r="CH1" s="1260"/>
      <c r="CI1" s="1260"/>
      <c r="CJ1" s="186">
        <v>1000</v>
      </c>
      <c r="CK1" s="186">
        <v>1.042</v>
      </c>
      <c r="CM1" s="1260" t="s">
        <v>1107</v>
      </c>
      <c r="CN1" s="1260"/>
      <c r="CO1" s="1260"/>
      <c r="CP1" s="1260"/>
      <c r="CQ1" s="1260"/>
      <c r="CR1" s="1260"/>
      <c r="CS1" s="1260"/>
      <c r="CT1" s="1260"/>
      <c r="CU1" s="186">
        <v>1000</v>
      </c>
      <c r="CV1" s="186">
        <v>1.042</v>
      </c>
      <c r="CX1" s="1260" t="s">
        <v>79</v>
      </c>
      <c r="CY1" s="1260"/>
      <c r="CZ1" s="1260"/>
      <c r="DA1" s="1260"/>
      <c r="DB1" s="1260"/>
      <c r="DC1" s="186">
        <v>1000</v>
      </c>
      <c r="DD1" s="186">
        <v>1.042</v>
      </c>
      <c r="DE1" s="1260" t="s">
        <v>738</v>
      </c>
      <c r="DF1" s="1260"/>
      <c r="DG1" s="1260"/>
      <c r="DH1" s="1260"/>
      <c r="DI1" s="1260"/>
      <c r="DJ1" s="1260"/>
      <c r="DK1" s="1260"/>
      <c r="DL1" s="1260"/>
      <c r="DM1" s="186">
        <v>1000</v>
      </c>
      <c r="DN1" s="186">
        <v>1.042</v>
      </c>
      <c r="DP1" s="1260" t="s">
        <v>10</v>
      </c>
      <c r="DQ1" s="1260"/>
      <c r="DR1" s="1260"/>
      <c r="DS1" s="1260"/>
      <c r="DT1" s="1260"/>
      <c r="DU1" s="186">
        <v>1000</v>
      </c>
      <c r="DV1" s="186">
        <v>1.042</v>
      </c>
      <c r="DW1" s="1260" t="s">
        <v>740</v>
      </c>
      <c r="DX1" s="1260"/>
      <c r="DY1" s="1260"/>
      <c r="DZ1" s="1260"/>
      <c r="EA1" s="1260"/>
      <c r="EB1" s="1260"/>
      <c r="EC1" s="1260"/>
      <c r="ED1" s="186">
        <v>1000</v>
      </c>
      <c r="EE1" s="186">
        <v>1.042</v>
      </c>
      <c r="EH1" s="1260" t="s">
        <v>11</v>
      </c>
      <c r="EI1" s="1260"/>
      <c r="EJ1" s="1260"/>
      <c r="EK1" s="1260"/>
      <c r="EL1" s="1260"/>
      <c r="EM1" s="186">
        <v>1000</v>
      </c>
      <c r="EN1" s="186">
        <v>1</v>
      </c>
      <c r="EP1" s="1260" t="s">
        <v>961</v>
      </c>
      <c r="EQ1" s="1260"/>
      <c r="ER1" s="1260"/>
      <c r="ES1" s="1260"/>
      <c r="ET1" s="1260"/>
      <c r="EU1" s="1260"/>
      <c r="EV1" s="1260"/>
      <c r="EW1" s="1260"/>
      <c r="EX1" s="352">
        <v>1000</v>
      </c>
      <c r="EY1" s="186">
        <v>1</v>
      </c>
      <c r="FA1" s="1262" t="s">
        <v>962</v>
      </c>
      <c r="FB1" s="1262"/>
      <c r="FC1" s="1262"/>
      <c r="FD1" s="1262"/>
      <c r="FE1" s="352"/>
      <c r="FF1" s="352"/>
      <c r="FG1" s="352"/>
      <c r="FH1" s="186">
        <v>1000</v>
      </c>
      <c r="FI1" s="186">
        <v>1</v>
      </c>
      <c r="FJ1" s="1262" t="s">
        <v>963</v>
      </c>
      <c r="FK1" s="1262"/>
      <c r="FL1" s="1262"/>
      <c r="FM1" s="1262"/>
      <c r="FN1" s="1262"/>
      <c r="FO1" s="1262"/>
      <c r="FP1" s="1262"/>
      <c r="FQ1" s="186">
        <v>1000</v>
      </c>
      <c r="FR1" s="186">
        <v>1</v>
      </c>
      <c r="FU1" s="1260" t="s">
        <v>13</v>
      </c>
      <c r="FV1" s="1260"/>
      <c r="FW1" s="1260"/>
      <c r="FX1" s="1260"/>
      <c r="FY1" s="186">
        <v>1000</v>
      </c>
      <c r="FZ1" s="186">
        <v>1</v>
      </c>
      <c r="GB1" s="1260" t="s">
        <v>758</v>
      </c>
      <c r="GC1" s="1260"/>
      <c r="GD1" s="1260"/>
      <c r="GE1" s="1260"/>
      <c r="GF1" s="1260"/>
      <c r="GG1" s="1260"/>
      <c r="GH1" s="1260"/>
      <c r="GI1" s="186">
        <v>1000</v>
      </c>
      <c r="GJ1" s="186">
        <v>1</v>
      </c>
      <c r="GM1" s="1260" t="s">
        <v>988</v>
      </c>
      <c r="GN1" s="1260"/>
      <c r="GO1" s="1260"/>
      <c r="GP1" s="1260"/>
      <c r="GQ1" s="186">
        <v>1000</v>
      </c>
      <c r="GR1" s="186">
        <v>1</v>
      </c>
      <c r="GT1" s="1260" t="s">
        <v>989</v>
      </c>
      <c r="GU1" s="1260"/>
      <c r="GV1" s="1260"/>
      <c r="GW1" s="1260"/>
      <c r="GX1" s="1260"/>
      <c r="GY1" s="1260"/>
      <c r="GZ1" s="1260"/>
      <c r="HA1" s="256">
        <v>1000</v>
      </c>
      <c r="HB1" s="186">
        <v>1</v>
      </c>
    </row>
    <row r="2" spans="1:211" s="198" customFormat="1" ht="36" x14ac:dyDescent="0.2">
      <c r="A2" s="765" t="s">
        <v>407</v>
      </c>
      <c r="B2" s="766" t="s">
        <v>432</v>
      </c>
      <c r="C2" s="766" t="s">
        <v>408</v>
      </c>
      <c r="D2" s="766" t="s">
        <v>502</v>
      </c>
      <c r="E2" s="766" t="s">
        <v>444</v>
      </c>
      <c r="F2" s="766" t="s">
        <v>463</v>
      </c>
      <c r="G2" s="766" t="s">
        <v>410</v>
      </c>
      <c r="H2" s="766" t="s">
        <v>914</v>
      </c>
      <c r="I2" s="766" t="s">
        <v>920</v>
      </c>
      <c r="J2" s="766" t="s">
        <v>919</v>
      </c>
      <c r="K2" s="767"/>
      <c r="L2" s="768" t="s">
        <v>407</v>
      </c>
      <c r="M2" s="768" t="s">
        <v>432</v>
      </c>
      <c r="N2" s="768" t="s">
        <v>408</v>
      </c>
      <c r="O2" s="768" t="s">
        <v>502</v>
      </c>
      <c r="P2" s="768" t="s">
        <v>410</v>
      </c>
      <c r="Q2" s="768" t="s">
        <v>410</v>
      </c>
      <c r="R2" s="767"/>
      <c r="S2" s="768" t="s">
        <v>407</v>
      </c>
      <c r="T2" s="768" t="s">
        <v>432</v>
      </c>
      <c r="U2" s="768" t="s">
        <v>408</v>
      </c>
      <c r="V2" s="768" t="s">
        <v>502</v>
      </c>
      <c r="W2" s="768" t="s">
        <v>444</v>
      </c>
      <c r="X2" s="768" t="s">
        <v>463</v>
      </c>
      <c r="Y2" s="768" t="s">
        <v>410</v>
      </c>
      <c r="Z2" s="768" t="s">
        <v>914</v>
      </c>
      <c r="AA2" s="768" t="s">
        <v>920</v>
      </c>
      <c r="AB2" s="768" t="s">
        <v>919</v>
      </c>
      <c r="AC2" s="767"/>
      <c r="AD2" s="768" t="s">
        <v>407</v>
      </c>
      <c r="AE2" s="768" t="s">
        <v>432</v>
      </c>
      <c r="AF2" s="768" t="s">
        <v>408</v>
      </c>
      <c r="AG2" s="768" t="s">
        <v>502</v>
      </c>
      <c r="AH2" s="768" t="s">
        <v>410</v>
      </c>
      <c r="AI2" s="768" t="s">
        <v>410</v>
      </c>
      <c r="AJ2" s="767"/>
      <c r="AK2" s="768" t="s">
        <v>407</v>
      </c>
      <c r="AL2" s="768" t="s">
        <v>432</v>
      </c>
      <c r="AM2" s="768" t="s">
        <v>408</v>
      </c>
      <c r="AN2" s="768" t="s">
        <v>502</v>
      </c>
      <c r="AO2" s="768" t="s">
        <v>444</v>
      </c>
      <c r="AP2" s="768" t="s">
        <v>463</v>
      </c>
      <c r="AQ2" s="768" t="s">
        <v>410</v>
      </c>
      <c r="AR2" s="768" t="s">
        <v>914</v>
      </c>
      <c r="AS2" s="768" t="s">
        <v>463</v>
      </c>
      <c r="AT2" s="768" t="s">
        <v>410</v>
      </c>
      <c r="AU2" s="767"/>
      <c r="AV2" s="768" t="s">
        <v>407</v>
      </c>
      <c r="AW2" s="768" t="s">
        <v>432</v>
      </c>
      <c r="AX2" s="768" t="s">
        <v>408</v>
      </c>
      <c r="AY2" s="768" t="s">
        <v>502</v>
      </c>
      <c r="AZ2" s="768" t="s">
        <v>410</v>
      </c>
      <c r="BA2" s="768" t="s">
        <v>919</v>
      </c>
      <c r="BB2" s="767"/>
      <c r="BC2" s="768" t="s">
        <v>407</v>
      </c>
      <c r="BD2" s="768" t="s">
        <v>432</v>
      </c>
      <c r="BE2" s="768" t="s">
        <v>408</v>
      </c>
      <c r="BF2" s="768" t="s">
        <v>502</v>
      </c>
      <c r="BG2" s="769" t="s">
        <v>444</v>
      </c>
      <c r="BH2" s="769" t="s">
        <v>463</v>
      </c>
      <c r="BI2" s="769" t="s">
        <v>410</v>
      </c>
      <c r="BJ2" s="768" t="s">
        <v>914</v>
      </c>
      <c r="BK2" s="768" t="s">
        <v>920</v>
      </c>
      <c r="BL2" s="768" t="s">
        <v>919</v>
      </c>
      <c r="BM2" s="767"/>
      <c r="BN2" s="209" t="s">
        <v>407</v>
      </c>
      <c r="BO2" s="209" t="s">
        <v>432</v>
      </c>
      <c r="BP2" s="209" t="s">
        <v>408</v>
      </c>
      <c r="BQ2" s="209" t="s">
        <v>502</v>
      </c>
      <c r="BR2" s="209" t="s">
        <v>410</v>
      </c>
      <c r="BS2" s="209" t="s">
        <v>410</v>
      </c>
      <c r="BU2" s="209" t="s">
        <v>407</v>
      </c>
      <c r="BV2" s="209" t="s">
        <v>432</v>
      </c>
      <c r="BW2" s="209" t="s">
        <v>408</v>
      </c>
      <c r="BX2" s="209" t="s">
        <v>502</v>
      </c>
      <c r="BY2" s="209" t="s">
        <v>444</v>
      </c>
      <c r="BZ2" s="209" t="s">
        <v>463</v>
      </c>
      <c r="CA2" s="209" t="s">
        <v>410</v>
      </c>
      <c r="CB2" s="209" t="s">
        <v>914</v>
      </c>
      <c r="CC2" s="209" t="s">
        <v>928</v>
      </c>
      <c r="CD2" s="209" t="s">
        <v>929</v>
      </c>
      <c r="CF2" s="283" t="s">
        <v>407</v>
      </c>
      <c r="CG2" s="283" t="s">
        <v>432</v>
      </c>
      <c r="CH2" s="283" t="s">
        <v>408</v>
      </c>
      <c r="CI2" s="283" t="s">
        <v>502</v>
      </c>
      <c r="CJ2" s="283" t="s">
        <v>410</v>
      </c>
      <c r="CK2" s="283" t="s">
        <v>919</v>
      </c>
      <c r="CL2" s="906"/>
      <c r="CM2" s="283" t="s">
        <v>407</v>
      </c>
      <c r="CN2" s="283" t="s">
        <v>432</v>
      </c>
      <c r="CO2" s="283" t="s">
        <v>408</v>
      </c>
      <c r="CP2" s="283" t="s">
        <v>502</v>
      </c>
      <c r="CQ2" s="283" t="s">
        <v>444</v>
      </c>
      <c r="CR2" s="283" t="s">
        <v>463</v>
      </c>
      <c r="CS2" s="283" t="s">
        <v>410</v>
      </c>
      <c r="CT2" s="283" t="s">
        <v>914</v>
      </c>
      <c r="CU2" s="283" t="s">
        <v>928</v>
      </c>
      <c r="CV2" s="283" t="s">
        <v>929</v>
      </c>
      <c r="CX2" s="209" t="s">
        <v>407</v>
      </c>
      <c r="CY2" s="209" t="s">
        <v>432</v>
      </c>
      <c r="CZ2" s="209" t="s">
        <v>408</v>
      </c>
      <c r="DA2" s="209" t="s">
        <v>502</v>
      </c>
      <c r="DB2" s="209" t="s">
        <v>410</v>
      </c>
      <c r="DC2" s="209" t="s">
        <v>919</v>
      </c>
      <c r="DE2" s="209" t="s">
        <v>407</v>
      </c>
      <c r="DF2" s="209" t="s">
        <v>432</v>
      </c>
      <c r="DG2" s="209" t="s">
        <v>408</v>
      </c>
      <c r="DH2" s="209" t="s">
        <v>502</v>
      </c>
      <c r="DI2" s="209" t="s">
        <v>444</v>
      </c>
      <c r="DJ2" s="209" t="s">
        <v>463</v>
      </c>
      <c r="DK2" s="209" t="s">
        <v>410</v>
      </c>
      <c r="DL2" s="209" t="s">
        <v>914</v>
      </c>
      <c r="DM2" s="209" t="s">
        <v>928</v>
      </c>
      <c r="DN2" s="209" t="s">
        <v>929</v>
      </c>
      <c r="DP2" s="209" t="s">
        <v>407</v>
      </c>
      <c r="DQ2" s="209" t="s">
        <v>432</v>
      </c>
      <c r="DR2" s="209" t="s">
        <v>408</v>
      </c>
      <c r="DS2" s="209" t="s">
        <v>502</v>
      </c>
      <c r="DT2" s="209" t="s">
        <v>410</v>
      </c>
      <c r="DU2" s="209" t="s">
        <v>919</v>
      </c>
      <c r="DW2" s="209" t="s">
        <v>407</v>
      </c>
      <c r="DX2" s="209" t="s">
        <v>432</v>
      </c>
      <c r="DY2" s="209" t="s">
        <v>408</v>
      </c>
      <c r="DZ2" s="209" t="s">
        <v>502</v>
      </c>
      <c r="EA2" s="209" t="s">
        <v>444</v>
      </c>
      <c r="EB2" s="209" t="s">
        <v>463</v>
      </c>
      <c r="EC2" s="209" t="s">
        <v>410</v>
      </c>
      <c r="ED2" s="209" t="s">
        <v>914</v>
      </c>
      <c r="EE2" s="209" t="s">
        <v>928</v>
      </c>
      <c r="EF2" s="209" t="s">
        <v>929</v>
      </c>
      <c r="EH2" s="209" t="s">
        <v>407</v>
      </c>
      <c r="EI2" s="209" t="s">
        <v>432</v>
      </c>
      <c r="EJ2" s="209" t="s">
        <v>408</v>
      </c>
      <c r="EK2" s="209" t="s">
        <v>502</v>
      </c>
      <c r="EL2" s="209" t="s">
        <v>410</v>
      </c>
      <c r="EM2" s="209" t="s">
        <v>919</v>
      </c>
      <c r="EP2" s="209" t="s">
        <v>407</v>
      </c>
      <c r="EQ2" s="209" t="s">
        <v>432</v>
      </c>
      <c r="ER2" s="209" t="s">
        <v>408</v>
      </c>
      <c r="ES2" s="209" t="s">
        <v>502</v>
      </c>
      <c r="ET2" s="209" t="s">
        <v>444</v>
      </c>
      <c r="EU2" s="209" t="s">
        <v>410</v>
      </c>
      <c r="EV2" s="209" t="s">
        <v>463</v>
      </c>
      <c r="EW2" s="209" t="s">
        <v>914</v>
      </c>
      <c r="EX2" s="209" t="s">
        <v>919</v>
      </c>
      <c r="EY2" s="209" t="s">
        <v>920</v>
      </c>
      <c r="FA2" s="209" t="s">
        <v>407</v>
      </c>
      <c r="FB2" s="209" t="s">
        <v>432</v>
      </c>
      <c r="FC2" s="209" t="s">
        <v>408</v>
      </c>
      <c r="FD2" s="209" t="s">
        <v>502</v>
      </c>
      <c r="FE2" s="209" t="s">
        <v>444</v>
      </c>
      <c r="FF2" s="209" t="s">
        <v>463</v>
      </c>
      <c r="FG2" s="209" t="s">
        <v>410</v>
      </c>
      <c r="FH2" s="209" t="s">
        <v>410</v>
      </c>
      <c r="FJ2" s="209" t="s">
        <v>407</v>
      </c>
      <c r="FK2" s="209" t="s">
        <v>432</v>
      </c>
      <c r="FL2" s="209" t="s">
        <v>408</v>
      </c>
      <c r="FM2" s="209" t="s">
        <v>502</v>
      </c>
      <c r="FN2" s="209" t="s">
        <v>444</v>
      </c>
      <c r="FO2" s="209" t="s">
        <v>463</v>
      </c>
      <c r="FP2" s="209" t="s">
        <v>410</v>
      </c>
      <c r="FQ2" s="209" t="s">
        <v>444</v>
      </c>
      <c r="FR2" s="209" t="s">
        <v>463</v>
      </c>
      <c r="FS2" s="209" t="s">
        <v>410</v>
      </c>
      <c r="FU2" s="209" t="s">
        <v>407</v>
      </c>
      <c r="FV2" s="209" t="s">
        <v>432</v>
      </c>
      <c r="FW2" s="209" t="s">
        <v>408</v>
      </c>
      <c r="FX2" s="209" t="s">
        <v>502</v>
      </c>
      <c r="FY2" s="209" t="s">
        <v>410</v>
      </c>
      <c r="FZ2" s="209" t="s">
        <v>410</v>
      </c>
      <c r="GB2" s="209" t="s">
        <v>407</v>
      </c>
      <c r="GC2" s="209" t="s">
        <v>432</v>
      </c>
      <c r="GD2" s="209" t="s">
        <v>408</v>
      </c>
      <c r="GE2" s="209" t="s">
        <v>502</v>
      </c>
      <c r="GF2" s="209" t="s">
        <v>444</v>
      </c>
      <c r="GG2" s="209" t="s">
        <v>463</v>
      </c>
      <c r="GH2" s="209" t="s">
        <v>410</v>
      </c>
      <c r="GI2" s="209" t="s">
        <v>914</v>
      </c>
      <c r="GJ2" s="209" t="s">
        <v>920</v>
      </c>
      <c r="GK2" s="209" t="s">
        <v>919</v>
      </c>
      <c r="GM2" s="209" t="s">
        <v>407</v>
      </c>
      <c r="GN2" s="209" t="s">
        <v>432</v>
      </c>
      <c r="GO2" s="209" t="s">
        <v>408</v>
      </c>
      <c r="GP2" s="209" t="s">
        <v>502</v>
      </c>
      <c r="GQ2" s="209" t="s">
        <v>410</v>
      </c>
      <c r="GR2" s="209" t="s">
        <v>919</v>
      </c>
      <c r="GT2" s="209" t="s">
        <v>407</v>
      </c>
      <c r="GU2" s="209" t="s">
        <v>432</v>
      </c>
      <c r="GV2" s="209" t="s">
        <v>408</v>
      </c>
      <c r="GW2" s="209" t="s">
        <v>502</v>
      </c>
      <c r="GX2" s="209" t="s">
        <v>444</v>
      </c>
      <c r="GY2" s="209" t="s">
        <v>410</v>
      </c>
      <c r="GZ2" s="209" t="s">
        <v>463</v>
      </c>
      <c r="HA2" s="209" t="s">
        <v>914</v>
      </c>
      <c r="HB2" s="209" t="s">
        <v>919</v>
      </c>
      <c r="HC2" s="209" t="s">
        <v>920</v>
      </c>
    </row>
    <row r="3" spans="1:211" ht="15" customHeight="1" x14ac:dyDescent="0.2">
      <c r="A3" s="770" t="s">
        <v>411</v>
      </c>
      <c r="B3" s="210" t="s">
        <v>433</v>
      </c>
      <c r="C3" s="210" t="s">
        <v>436</v>
      </c>
      <c r="D3" s="210" t="s">
        <v>265</v>
      </c>
      <c r="E3" s="211">
        <v>1129083000</v>
      </c>
      <c r="F3" s="211">
        <v>0</v>
      </c>
      <c r="G3" s="211">
        <v>0</v>
      </c>
      <c r="H3" s="269">
        <f>+E3/$H$1*$I$1</f>
        <v>1176504.486</v>
      </c>
      <c r="I3" s="269">
        <f>+F3/$H$1*$I$1</f>
        <v>0</v>
      </c>
      <c r="J3" s="269">
        <f>+G3/$H$1*$I$1</f>
        <v>0</v>
      </c>
      <c r="L3" s="771" t="s">
        <v>411</v>
      </c>
      <c r="M3" s="772" t="s">
        <v>433</v>
      </c>
      <c r="N3" s="771" t="s">
        <v>636</v>
      </c>
      <c r="O3" s="772" t="s">
        <v>637</v>
      </c>
      <c r="P3" s="259">
        <v>3330000</v>
      </c>
      <c r="Q3" s="259">
        <f>+P3/$P$1*$Q$1</f>
        <v>3469.86</v>
      </c>
      <c r="S3" s="210" t="s">
        <v>411</v>
      </c>
      <c r="T3" s="212" t="s">
        <v>433</v>
      </c>
      <c r="U3" s="210" t="s">
        <v>436</v>
      </c>
      <c r="V3" s="212" t="s">
        <v>265</v>
      </c>
      <c r="W3" s="211">
        <v>1129083000</v>
      </c>
      <c r="X3" s="211">
        <v>0</v>
      </c>
      <c r="Y3" s="211">
        <v>0</v>
      </c>
      <c r="Z3" s="259">
        <f>+W3/$AA$1*$AB$1</f>
        <v>1176504.486</v>
      </c>
      <c r="AA3" s="259">
        <f>+X3/$AA$1*$AB$1</f>
        <v>0</v>
      </c>
      <c r="AB3" s="259">
        <f>+Y3/$AA$1*$AB$1</f>
        <v>0</v>
      </c>
      <c r="AD3" s="210" t="s">
        <v>411</v>
      </c>
      <c r="AE3" s="210" t="s">
        <v>433</v>
      </c>
      <c r="AF3" s="210" t="s">
        <v>636</v>
      </c>
      <c r="AG3" s="212" t="s">
        <v>637</v>
      </c>
      <c r="AH3" s="211">
        <v>3330000</v>
      </c>
      <c r="AI3" s="211">
        <f>+AH3/$AH$1*$AI$1</f>
        <v>3469.86</v>
      </c>
      <c r="AK3" s="210" t="s">
        <v>411</v>
      </c>
      <c r="AL3" s="210" t="s">
        <v>433</v>
      </c>
      <c r="AM3" s="210" t="s">
        <v>436</v>
      </c>
      <c r="AN3" s="210" t="s">
        <v>265</v>
      </c>
      <c r="AO3" s="211">
        <v>1129083000</v>
      </c>
      <c r="AP3" s="211">
        <v>0</v>
      </c>
      <c r="AQ3" s="211">
        <v>0</v>
      </c>
      <c r="AR3" s="211">
        <f>+AO3/$AS$1*$AT$1</f>
        <v>1176504.486</v>
      </c>
      <c r="AS3" s="211">
        <f>+AP3/$AS$1*$AT$1</f>
        <v>0</v>
      </c>
      <c r="AT3" s="211">
        <f>+AQ3/$AS$1*$AT$1</f>
        <v>0</v>
      </c>
      <c r="AV3" s="210" t="s">
        <v>411</v>
      </c>
      <c r="AW3" s="210" t="s">
        <v>433</v>
      </c>
      <c r="AX3" s="210" t="s">
        <v>636</v>
      </c>
      <c r="AY3" s="210" t="s">
        <v>637</v>
      </c>
      <c r="AZ3" s="211">
        <v>3330000</v>
      </c>
      <c r="BA3" s="270">
        <f>+AZ3/$AZ$1*$BA$1</f>
        <v>3469.86</v>
      </c>
      <c r="BC3" s="210" t="s">
        <v>411</v>
      </c>
      <c r="BD3" s="210" t="s">
        <v>433</v>
      </c>
      <c r="BE3" s="210" t="s">
        <v>436</v>
      </c>
      <c r="BF3" s="210" t="s">
        <v>265</v>
      </c>
      <c r="BG3" s="211">
        <v>1189083000</v>
      </c>
      <c r="BH3" s="211">
        <v>0</v>
      </c>
      <c r="BI3" s="211">
        <v>0</v>
      </c>
      <c r="BJ3" s="270">
        <f>+BG3/$BJ$1*$BK$1</f>
        <v>1239024.486</v>
      </c>
      <c r="BK3" s="270">
        <f>+BH3/$BJ$1*$BK$1</f>
        <v>0</v>
      </c>
      <c r="BL3" s="270">
        <f>+BI3/$BJ$1*$BK$1</f>
        <v>0</v>
      </c>
      <c r="BN3" s="210" t="s">
        <v>411</v>
      </c>
      <c r="BO3" s="210" t="s">
        <v>433</v>
      </c>
      <c r="BP3" s="210" t="s">
        <v>636</v>
      </c>
      <c r="BQ3" s="210" t="s">
        <v>637</v>
      </c>
      <c r="BR3" s="211">
        <v>3330000</v>
      </c>
      <c r="BS3" s="211">
        <f>+BR3/$BR$1*$BS$1</f>
        <v>3469.86</v>
      </c>
      <c r="BU3" s="210" t="s">
        <v>411</v>
      </c>
      <c r="BV3" s="210" t="s">
        <v>433</v>
      </c>
      <c r="BW3" s="210" t="s">
        <v>436</v>
      </c>
      <c r="BX3" s="210" t="s">
        <v>265</v>
      </c>
      <c r="BY3" s="211">
        <v>1189083000</v>
      </c>
      <c r="BZ3" s="211">
        <v>0</v>
      </c>
      <c r="CA3" s="211">
        <v>0</v>
      </c>
      <c r="CB3" s="211">
        <f>+BY3/$CB$1*$CC$1</f>
        <v>1239024.486</v>
      </c>
      <c r="CC3" s="211">
        <f t="shared" ref="CC3" si="0">+BZ3/$CB$1*$CC$1</f>
        <v>0</v>
      </c>
      <c r="CD3" s="211">
        <f>+CA3/$CB$1*$CC$1</f>
        <v>0</v>
      </c>
      <c r="CF3" s="210" t="s">
        <v>411</v>
      </c>
      <c r="CG3" s="210" t="s">
        <v>433</v>
      </c>
      <c r="CH3" s="210" t="s">
        <v>436</v>
      </c>
      <c r="CI3" s="210" t="s">
        <v>265</v>
      </c>
      <c r="CJ3" s="211">
        <v>7000000</v>
      </c>
      <c r="CK3" s="211">
        <f>+CJ3/$CJ$1*$CK$1</f>
        <v>7294</v>
      </c>
      <c r="CM3" s="210" t="s">
        <v>411</v>
      </c>
      <c r="CN3" s="210" t="s">
        <v>433</v>
      </c>
      <c r="CO3" s="210" t="s">
        <v>436</v>
      </c>
      <c r="CP3" s="210" t="s">
        <v>265</v>
      </c>
      <c r="CQ3" s="211">
        <v>1189083000</v>
      </c>
      <c r="CR3" s="211">
        <v>0</v>
      </c>
      <c r="CS3" s="211">
        <v>0</v>
      </c>
      <c r="CT3" s="211">
        <f>+CQ3/$CU$1*$CV$1</f>
        <v>1239024.486</v>
      </c>
      <c r="CU3" s="211">
        <f t="shared" ref="CU3:CV3" si="1">+CR3/$CU$1*$CV$1</f>
        <v>0</v>
      </c>
      <c r="CV3" s="211">
        <f t="shared" si="1"/>
        <v>0</v>
      </c>
      <c r="CX3" s="210" t="s">
        <v>411</v>
      </c>
      <c r="CY3" s="212" t="s">
        <v>433</v>
      </c>
      <c r="CZ3" s="210" t="s">
        <v>636</v>
      </c>
      <c r="DA3" s="212" t="s">
        <v>637</v>
      </c>
      <c r="DB3" s="211">
        <v>3330000</v>
      </c>
      <c r="DC3" s="261">
        <f>+DB3/$DC$1*$DD$1</f>
        <v>3469.86</v>
      </c>
      <c r="DE3" s="210" t="s">
        <v>411</v>
      </c>
      <c r="DF3" s="212" t="s">
        <v>433</v>
      </c>
      <c r="DG3" s="210" t="s">
        <v>436</v>
      </c>
      <c r="DH3" s="212" t="s">
        <v>265</v>
      </c>
      <c r="DI3" s="211">
        <v>1189083000</v>
      </c>
      <c r="DJ3" s="211">
        <v>0</v>
      </c>
      <c r="DK3" s="211">
        <v>0</v>
      </c>
      <c r="DL3" s="269">
        <f>+DI3/$DM$1*$DN$1</f>
        <v>1239024.486</v>
      </c>
      <c r="DM3" s="269">
        <f t="shared" ref="DM3:DN3" si="2">+DJ3/$DM$1*$DN$1</f>
        <v>0</v>
      </c>
      <c r="DN3" s="269">
        <f t="shared" si="2"/>
        <v>0</v>
      </c>
      <c r="DP3" s="210" t="s">
        <v>411</v>
      </c>
      <c r="DQ3" s="212" t="s">
        <v>433</v>
      </c>
      <c r="DR3" s="210" t="s">
        <v>436</v>
      </c>
      <c r="DS3" s="212" t="s">
        <v>265</v>
      </c>
      <c r="DT3" s="211">
        <v>232561875</v>
      </c>
      <c r="DU3" s="270">
        <f>+DT3/$DU$1*$DV$1</f>
        <v>242329.47375</v>
      </c>
      <c r="DW3" s="210" t="s">
        <v>411</v>
      </c>
      <c r="DX3" s="212" t="s">
        <v>433</v>
      </c>
      <c r="DY3" s="210" t="s">
        <v>436</v>
      </c>
      <c r="DZ3" s="212" t="s">
        <v>265</v>
      </c>
      <c r="EA3" s="211">
        <v>1189083000</v>
      </c>
      <c r="EB3" s="211">
        <v>0</v>
      </c>
      <c r="EC3" s="211">
        <v>0</v>
      </c>
      <c r="ED3" s="211">
        <f>+EA3/$ED$1*$EE$1</f>
        <v>1239024.486</v>
      </c>
      <c r="EE3" s="211">
        <f>+EB3/$ED$1*$EE$1</f>
        <v>0</v>
      </c>
      <c r="EF3" s="211">
        <f>+EC3/$ED$1*$EE$1</f>
        <v>0</v>
      </c>
      <c r="EH3" s="210" t="s">
        <v>411</v>
      </c>
      <c r="EI3" s="212" t="s">
        <v>433</v>
      </c>
      <c r="EJ3" s="210" t="s">
        <v>436</v>
      </c>
      <c r="EK3" s="212" t="s">
        <v>265</v>
      </c>
      <c r="EL3" s="211">
        <v>56212500</v>
      </c>
      <c r="EM3" s="269">
        <f>+EL3/$EM$1*$EN$1</f>
        <v>56212.5</v>
      </c>
      <c r="EP3" s="210" t="s">
        <v>411</v>
      </c>
      <c r="EQ3" s="212" t="s">
        <v>433</v>
      </c>
      <c r="ER3" s="210" t="s">
        <v>436</v>
      </c>
      <c r="ES3" s="210" t="s">
        <v>265</v>
      </c>
      <c r="ET3" s="211">
        <v>1189083000</v>
      </c>
      <c r="EU3" s="211">
        <v>0</v>
      </c>
      <c r="EV3" s="211">
        <v>0</v>
      </c>
      <c r="EW3" s="274">
        <f>+ET3/$EX$1*$EY$1</f>
        <v>1189083</v>
      </c>
      <c r="EX3" s="274">
        <f t="shared" ref="EX3:EY3" si="3">+EU3/$EX$1*$EY$1</f>
        <v>0</v>
      </c>
      <c r="EY3" s="274">
        <f t="shared" si="3"/>
        <v>0</v>
      </c>
      <c r="FA3" s="221" t="s">
        <v>411</v>
      </c>
      <c r="FB3" s="272" t="s">
        <v>433</v>
      </c>
      <c r="FC3" s="221" t="s">
        <v>436</v>
      </c>
      <c r="FD3" s="272" t="s">
        <v>265</v>
      </c>
      <c r="FE3" s="271">
        <v>0</v>
      </c>
      <c r="FF3" s="271">
        <v>72022500</v>
      </c>
      <c r="FG3" s="271">
        <v>21000000</v>
      </c>
      <c r="FH3" s="271">
        <f t="shared" ref="FH3:FH11" si="4">FG3/$FH$1*$FI$1</f>
        <v>21000</v>
      </c>
      <c r="FJ3" s="221" t="s">
        <v>411</v>
      </c>
      <c r="FK3" s="221" t="s">
        <v>433</v>
      </c>
      <c r="FL3" s="221" t="s">
        <v>436</v>
      </c>
      <c r="FM3" s="221" t="s">
        <v>265</v>
      </c>
      <c r="FN3" s="270">
        <v>1189083000</v>
      </c>
      <c r="FO3" s="270">
        <v>0</v>
      </c>
      <c r="FP3" s="270">
        <v>0</v>
      </c>
      <c r="FQ3" s="270">
        <f>FN3/$FQ$1*$FR$1</f>
        <v>1189083</v>
      </c>
      <c r="FR3" s="270">
        <f t="shared" ref="FR3:FS18" si="5">FO3/$FQ$1*$FR$1</f>
        <v>0</v>
      </c>
      <c r="FS3" s="270">
        <f t="shared" si="5"/>
        <v>0</v>
      </c>
      <c r="FU3" s="210" t="s">
        <v>411</v>
      </c>
      <c r="FV3" s="210" t="s">
        <v>433</v>
      </c>
      <c r="FW3" s="210" t="s">
        <v>436</v>
      </c>
      <c r="FX3" s="210" t="s">
        <v>265</v>
      </c>
      <c r="FY3" s="211">
        <v>87761250</v>
      </c>
      <c r="FZ3" s="211">
        <f>+FY3/$FY$1*$FZ$1</f>
        <v>87761.25</v>
      </c>
      <c r="GB3" s="199" t="s">
        <v>411</v>
      </c>
      <c r="GC3" s="199" t="s">
        <v>433</v>
      </c>
      <c r="GD3" s="199" t="s">
        <v>436</v>
      </c>
      <c r="GE3" s="199" t="s">
        <v>265</v>
      </c>
      <c r="GF3" s="270">
        <v>1167152422</v>
      </c>
      <c r="GG3" s="270">
        <v>0</v>
      </c>
      <c r="GH3" s="270">
        <v>0</v>
      </c>
      <c r="GI3" s="270">
        <f>+GF3/$GI$1*$GJ$1</f>
        <v>1167152.422</v>
      </c>
      <c r="GJ3" s="270">
        <f t="shared" ref="GJ3:GK3" si="6">+GG3/$GI$1*$GJ$1</f>
        <v>0</v>
      </c>
      <c r="GK3" s="270">
        <f t="shared" si="6"/>
        <v>0</v>
      </c>
      <c r="GM3" s="210" t="s">
        <v>411</v>
      </c>
      <c r="GN3" s="212" t="s">
        <v>433</v>
      </c>
      <c r="GO3" s="210" t="s">
        <v>636</v>
      </c>
      <c r="GP3" s="210" t="s">
        <v>637</v>
      </c>
      <c r="GQ3" s="211">
        <v>17524726</v>
      </c>
      <c r="GR3" s="351">
        <f>+GQ3/$GQ$1*$GR$1</f>
        <v>17524.725999999999</v>
      </c>
      <c r="GT3" s="199" t="s">
        <v>411</v>
      </c>
      <c r="GU3" s="199" t="s">
        <v>433</v>
      </c>
      <c r="GV3" s="199" t="s">
        <v>436</v>
      </c>
      <c r="GW3" s="199" t="s">
        <v>265</v>
      </c>
      <c r="GX3" s="351">
        <v>1167152422</v>
      </c>
      <c r="GY3" s="351">
        <v>0</v>
      </c>
      <c r="GZ3" s="351">
        <v>0</v>
      </c>
      <c r="HA3" s="225">
        <f>+GX3/$HA$1*$HB$1</f>
        <v>1167152.422</v>
      </c>
      <c r="HB3" s="225">
        <f t="shared" ref="HB3:HC3" si="7">+GY3/$HA$1*$HB$1</f>
        <v>0</v>
      </c>
      <c r="HC3" s="225">
        <f t="shared" si="7"/>
        <v>0</v>
      </c>
    </row>
    <row r="4" spans="1:211" ht="15" customHeight="1" x14ac:dyDescent="0.2">
      <c r="A4" s="770" t="s">
        <v>411</v>
      </c>
      <c r="B4" s="210" t="s">
        <v>433</v>
      </c>
      <c r="C4" s="210" t="s">
        <v>412</v>
      </c>
      <c r="D4" s="210" t="s">
        <v>413</v>
      </c>
      <c r="E4" s="211">
        <v>300000000</v>
      </c>
      <c r="F4" s="211">
        <v>0</v>
      </c>
      <c r="G4" s="211">
        <v>0</v>
      </c>
      <c r="H4" s="269">
        <f t="shared" ref="H4:H43" si="8">+E4/$H$1*$I$1</f>
        <v>312600</v>
      </c>
      <c r="I4" s="269">
        <f t="shared" ref="I4:I43" si="9">+F4/$H$1*$I$1</f>
        <v>0</v>
      </c>
      <c r="J4" s="269">
        <f t="shared" ref="J4:J43" si="10">+G4/$H$1*$I$1</f>
        <v>0</v>
      </c>
      <c r="L4" s="771" t="s">
        <v>411</v>
      </c>
      <c r="M4" s="772" t="s">
        <v>433</v>
      </c>
      <c r="N4" s="771" t="s">
        <v>436</v>
      </c>
      <c r="O4" s="772" t="s">
        <v>265</v>
      </c>
      <c r="P4" s="259">
        <v>76765991</v>
      </c>
      <c r="Q4" s="259">
        <f t="shared" ref="Q4:Q10" si="11">+P4/$P$1*$Q$1</f>
        <v>79990.162622000003</v>
      </c>
      <c r="S4" s="210" t="s">
        <v>411</v>
      </c>
      <c r="T4" s="212" t="s">
        <v>433</v>
      </c>
      <c r="U4" s="210" t="s">
        <v>412</v>
      </c>
      <c r="V4" s="212" t="s">
        <v>413</v>
      </c>
      <c r="W4" s="211">
        <v>300000000</v>
      </c>
      <c r="X4" s="211">
        <v>0</v>
      </c>
      <c r="Y4" s="211">
        <v>0</v>
      </c>
      <c r="Z4" s="259">
        <f t="shared" ref="Z4:Z47" si="12">+W4/$AA$1*$AB$1</f>
        <v>312600</v>
      </c>
      <c r="AA4" s="259">
        <f t="shared" ref="AA4:AA47" si="13">+X4/$AA$1*$AB$1</f>
        <v>0</v>
      </c>
      <c r="AB4" s="259">
        <f t="shared" ref="AB4:AB47" si="14">+Y4/$AA$1*$AB$1</f>
        <v>0</v>
      </c>
      <c r="AD4" s="210" t="s">
        <v>411</v>
      </c>
      <c r="AE4" s="210" t="s">
        <v>433</v>
      </c>
      <c r="AF4" s="210" t="s">
        <v>436</v>
      </c>
      <c r="AG4" s="212" t="s">
        <v>265</v>
      </c>
      <c r="AH4" s="211">
        <v>137808384</v>
      </c>
      <c r="AI4" s="211">
        <f t="shared" ref="AI4:AI10" si="15">+AH4/$AH$1*$AI$1</f>
        <v>143596.336128</v>
      </c>
      <c r="AK4" s="210" t="s">
        <v>411</v>
      </c>
      <c r="AL4" s="210" t="s">
        <v>433</v>
      </c>
      <c r="AM4" s="210" t="s">
        <v>412</v>
      </c>
      <c r="AN4" s="210" t="s">
        <v>413</v>
      </c>
      <c r="AO4" s="211">
        <v>300000000</v>
      </c>
      <c r="AP4" s="211">
        <v>0</v>
      </c>
      <c r="AQ4" s="211">
        <v>0</v>
      </c>
      <c r="AR4" s="211">
        <f t="shared" ref="AR4:AR48" si="16">+AO4/$AS$1*$AT$1</f>
        <v>312600</v>
      </c>
      <c r="AS4" s="211">
        <f t="shared" ref="AS4:AS48" si="17">+AP4/$AS$1*$AT$1</f>
        <v>0</v>
      </c>
      <c r="AT4" s="211">
        <f t="shared" ref="AT4:AT48" si="18">+AQ4/$AS$1*$AT$1</f>
        <v>0</v>
      </c>
      <c r="AV4" s="210" t="s">
        <v>411</v>
      </c>
      <c r="AW4" s="210" t="s">
        <v>433</v>
      </c>
      <c r="AX4" s="210" t="s">
        <v>436</v>
      </c>
      <c r="AY4" s="210" t="s">
        <v>265</v>
      </c>
      <c r="AZ4" s="211">
        <v>53240000</v>
      </c>
      <c r="BA4" s="270">
        <f t="shared" ref="BA4:BA12" si="19">+AZ4/$AZ$1*$BA$1</f>
        <v>55476.08</v>
      </c>
      <c r="BC4" s="210" t="s">
        <v>411</v>
      </c>
      <c r="BD4" s="210" t="s">
        <v>433</v>
      </c>
      <c r="BE4" s="210" t="s">
        <v>412</v>
      </c>
      <c r="BF4" s="210" t="s">
        <v>413</v>
      </c>
      <c r="BG4" s="211">
        <v>240000000</v>
      </c>
      <c r="BH4" s="211">
        <v>0</v>
      </c>
      <c r="BI4" s="211">
        <v>0</v>
      </c>
      <c r="BJ4" s="270">
        <f t="shared" ref="BJ4:BJ42" si="20">+BG4/$BJ$1*$BK$1</f>
        <v>250080</v>
      </c>
      <c r="BK4" s="270">
        <f t="shared" ref="BK4:BK42" si="21">+BH4/$BJ$1*$BK$1</f>
        <v>0</v>
      </c>
      <c r="BL4" s="270">
        <f t="shared" ref="BL4:BL42" si="22">+BI4/$BJ$1*$BK$1</f>
        <v>0</v>
      </c>
      <c r="BN4" s="210" t="s">
        <v>411</v>
      </c>
      <c r="BO4" s="210" t="s">
        <v>433</v>
      </c>
      <c r="BP4" s="210" t="s">
        <v>436</v>
      </c>
      <c r="BQ4" s="210" t="s">
        <v>265</v>
      </c>
      <c r="BR4" s="211">
        <v>6000000</v>
      </c>
      <c r="BS4" s="211">
        <f t="shared" ref="BS4:BS12" si="23">+BR4/$BR$1*$BS$1</f>
        <v>6252</v>
      </c>
      <c r="BU4" s="210" t="s">
        <v>411</v>
      </c>
      <c r="BV4" s="210" t="s">
        <v>433</v>
      </c>
      <c r="BW4" s="210" t="s">
        <v>412</v>
      </c>
      <c r="BX4" s="210" t="s">
        <v>413</v>
      </c>
      <c r="BY4" s="211">
        <v>240000000</v>
      </c>
      <c r="BZ4" s="211">
        <v>0</v>
      </c>
      <c r="CA4" s="211">
        <v>0</v>
      </c>
      <c r="CB4" s="211">
        <f t="shared" ref="CB4:CB51" si="24">+BY4/$CB$1*$CC$1</f>
        <v>250080</v>
      </c>
      <c r="CC4" s="211">
        <f t="shared" ref="CC4:CC51" si="25">+BZ4/$CB$1*$CC$1</f>
        <v>0</v>
      </c>
      <c r="CD4" s="211">
        <f t="shared" ref="CD4:CD51" si="26">+CA4/$CB$1*$CC$1</f>
        <v>0</v>
      </c>
      <c r="CF4" s="210" t="s">
        <v>411</v>
      </c>
      <c r="CG4" s="210" t="s">
        <v>433</v>
      </c>
      <c r="CH4" s="210" t="s">
        <v>636</v>
      </c>
      <c r="CI4" s="210" t="s">
        <v>637</v>
      </c>
      <c r="CJ4" s="211">
        <v>3330000</v>
      </c>
      <c r="CK4" s="211">
        <f t="shared" ref="CK4:CK12" si="27">+CJ4/$CJ$1*$CK$1</f>
        <v>3469.86</v>
      </c>
      <c r="CM4" s="210" t="s">
        <v>411</v>
      </c>
      <c r="CN4" s="210" t="s">
        <v>433</v>
      </c>
      <c r="CO4" s="210" t="s">
        <v>412</v>
      </c>
      <c r="CP4" s="210" t="s">
        <v>413</v>
      </c>
      <c r="CQ4" s="211">
        <v>240000000</v>
      </c>
      <c r="CR4" s="211">
        <v>0</v>
      </c>
      <c r="CS4" s="211">
        <v>0</v>
      </c>
      <c r="CT4" s="211">
        <f t="shared" ref="CT4:CT52" si="28">+CQ4/$CU$1*$CV$1</f>
        <v>250080</v>
      </c>
      <c r="CU4" s="211">
        <f t="shared" ref="CU4:CU52" si="29">+CR4/$CU$1*$CV$1</f>
        <v>0</v>
      </c>
      <c r="CV4" s="211">
        <f t="shared" ref="CV4:CV52" si="30">+CS4/$CU$1*$CV$1</f>
        <v>0</v>
      </c>
      <c r="CX4" s="210" t="s">
        <v>411</v>
      </c>
      <c r="CY4" s="212" t="s">
        <v>433</v>
      </c>
      <c r="CZ4" s="210" t="s">
        <v>436</v>
      </c>
      <c r="DA4" s="212" t="s">
        <v>265</v>
      </c>
      <c r="DB4" s="211">
        <v>65275000</v>
      </c>
      <c r="DC4" s="261">
        <f t="shared" ref="DC4:DC11" si="31">+DB4/$DC$1*$DD$1</f>
        <v>68016.55</v>
      </c>
      <c r="DE4" s="210" t="s">
        <v>411</v>
      </c>
      <c r="DF4" s="212" t="s">
        <v>433</v>
      </c>
      <c r="DG4" s="210" t="s">
        <v>412</v>
      </c>
      <c r="DH4" s="212" t="s">
        <v>413</v>
      </c>
      <c r="DI4" s="211">
        <v>240000000</v>
      </c>
      <c r="DJ4" s="211">
        <v>0</v>
      </c>
      <c r="DK4" s="211">
        <v>0</v>
      </c>
      <c r="DL4" s="269">
        <f t="shared" ref="DL4:DL52" si="32">+DI4/$DM$1*$DN$1</f>
        <v>250080</v>
      </c>
      <c r="DM4" s="269">
        <f t="shared" ref="DM4:DM52" si="33">+DJ4/$DM$1*$DN$1</f>
        <v>0</v>
      </c>
      <c r="DN4" s="269">
        <f t="shared" ref="DN4:DN52" si="34">+DK4/$DM$1*$DN$1</f>
        <v>0</v>
      </c>
      <c r="DP4" s="210" t="s">
        <v>411</v>
      </c>
      <c r="DQ4" s="212" t="s">
        <v>433</v>
      </c>
      <c r="DR4" s="210" t="s">
        <v>636</v>
      </c>
      <c r="DS4" s="212" t="s">
        <v>637</v>
      </c>
      <c r="DT4" s="211">
        <v>5489456</v>
      </c>
      <c r="DU4" s="270">
        <f t="shared" ref="DU4:DU11" si="35">+DT4/$DU$1*$DV$1</f>
        <v>5720.0131520000004</v>
      </c>
      <c r="DW4" s="210" t="s">
        <v>411</v>
      </c>
      <c r="DX4" s="212" t="s">
        <v>433</v>
      </c>
      <c r="DY4" s="210" t="s">
        <v>412</v>
      </c>
      <c r="DZ4" s="212" t="s">
        <v>413</v>
      </c>
      <c r="EA4" s="211">
        <v>240000000</v>
      </c>
      <c r="EB4" s="211">
        <v>0</v>
      </c>
      <c r="EC4" s="211">
        <v>0</v>
      </c>
      <c r="ED4" s="211">
        <f t="shared" ref="ED4:ED53" si="36">+EA4/$ED$1*$EE$1</f>
        <v>250080</v>
      </c>
      <c r="EE4" s="211">
        <f t="shared" ref="EE4:EE53" si="37">+EB4/$ED$1*$EE$1</f>
        <v>0</v>
      </c>
      <c r="EF4" s="211">
        <f t="shared" ref="EF4:EF53" si="38">+EC4/$ED$1*$EE$1</f>
        <v>0</v>
      </c>
      <c r="EH4" s="210" t="s">
        <v>411</v>
      </c>
      <c r="EI4" s="212" t="s">
        <v>433</v>
      </c>
      <c r="EJ4" s="210" t="s">
        <v>636</v>
      </c>
      <c r="EK4" s="212" t="s">
        <v>637</v>
      </c>
      <c r="EL4" s="211">
        <v>3330000</v>
      </c>
      <c r="EM4" s="269">
        <f t="shared" ref="EM4:EM12" si="39">+EL4/$EM$1*$EN$1</f>
        <v>3330</v>
      </c>
      <c r="EP4" s="210" t="s">
        <v>411</v>
      </c>
      <c r="EQ4" s="212" t="s">
        <v>433</v>
      </c>
      <c r="ER4" s="210" t="s">
        <v>412</v>
      </c>
      <c r="ES4" s="210" t="s">
        <v>413</v>
      </c>
      <c r="ET4" s="211">
        <v>240000000</v>
      </c>
      <c r="EU4" s="211">
        <v>0</v>
      </c>
      <c r="EV4" s="211">
        <v>0</v>
      </c>
      <c r="EW4" s="274">
        <f t="shared" ref="EW4:EW54" si="40">+ET4/$EX$1*$EY$1</f>
        <v>240000</v>
      </c>
      <c r="EX4" s="274">
        <f t="shared" ref="EX4:EX54" si="41">+EU4/$EX$1*$EY$1</f>
        <v>0</v>
      </c>
      <c r="EY4" s="274">
        <f t="shared" ref="EY4:EY54" si="42">+EV4/$EX$1*$EY$1</f>
        <v>0</v>
      </c>
      <c r="FA4" s="221" t="s">
        <v>411</v>
      </c>
      <c r="FB4" s="272" t="s">
        <v>433</v>
      </c>
      <c r="FC4" s="221" t="s">
        <v>636</v>
      </c>
      <c r="FD4" s="272" t="s">
        <v>637</v>
      </c>
      <c r="FE4" s="271">
        <v>0</v>
      </c>
      <c r="FF4" s="271">
        <v>5364223</v>
      </c>
      <c r="FG4" s="271">
        <v>5364223</v>
      </c>
      <c r="FH4" s="271">
        <f t="shared" si="4"/>
        <v>5364.223</v>
      </c>
      <c r="FJ4" s="221" t="s">
        <v>411</v>
      </c>
      <c r="FK4" s="221" t="s">
        <v>433</v>
      </c>
      <c r="FL4" s="221" t="s">
        <v>412</v>
      </c>
      <c r="FM4" s="221" t="s">
        <v>413</v>
      </c>
      <c r="FN4" s="270">
        <v>240000000</v>
      </c>
      <c r="FO4" s="270">
        <v>0</v>
      </c>
      <c r="FP4" s="270">
        <v>0</v>
      </c>
      <c r="FQ4" s="270">
        <f t="shared" ref="FQ4:FQ53" si="43">FN4/$FQ$1*$FR$1</f>
        <v>240000</v>
      </c>
      <c r="FR4" s="270">
        <f t="shared" si="5"/>
        <v>0</v>
      </c>
      <c r="FS4" s="270">
        <f t="shared" si="5"/>
        <v>0</v>
      </c>
      <c r="FU4" s="210" t="s">
        <v>414</v>
      </c>
      <c r="FV4" s="210" t="s">
        <v>297</v>
      </c>
      <c r="FW4" s="210" t="s">
        <v>438</v>
      </c>
      <c r="FX4" s="210" t="s">
        <v>320</v>
      </c>
      <c r="FY4" s="211">
        <v>738729</v>
      </c>
      <c r="FZ4" s="211">
        <f t="shared" ref="FZ4:FZ13" si="44">+FY4/$FY$1*$FZ$1</f>
        <v>738.72900000000004</v>
      </c>
      <c r="GB4" s="199" t="s">
        <v>411</v>
      </c>
      <c r="GC4" s="199" t="s">
        <v>433</v>
      </c>
      <c r="GD4" s="199" t="s">
        <v>412</v>
      </c>
      <c r="GE4" s="199" t="s">
        <v>413</v>
      </c>
      <c r="GF4" s="270">
        <v>234751472</v>
      </c>
      <c r="GG4" s="270">
        <v>0</v>
      </c>
      <c r="GH4" s="270">
        <v>0</v>
      </c>
      <c r="GI4" s="270">
        <f t="shared" ref="GI4:GI55" si="45">+GF4/$GI$1*$GJ$1</f>
        <v>234751.47200000001</v>
      </c>
      <c r="GJ4" s="270">
        <f t="shared" ref="GJ4:GJ55" si="46">+GG4/$GI$1*$GJ$1</f>
        <v>0</v>
      </c>
      <c r="GK4" s="270">
        <f t="shared" ref="GK4:GK55" si="47">+GH4/$GI$1*$GJ$1</f>
        <v>0</v>
      </c>
      <c r="GM4" s="210" t="s">
        <v>411</v>
      </c>
      <c r="GN4" s="212" t="s">
        <v>433</v>
      </c>
      <c r="GO4" s="210" t="s">
        <v>412</v>
      </c>
      <c r="GP4" s="210" t="s">
        <v>413</v>
      </c>
      <c r="GQ4" s="211">
        <v>234751472</v>
      </c>
      <c r="GR4" s="351">
        <f t="shared" ref="GR4:GR21" si="48">+GQ4/$GQ$1*$GR$1</f>
        <v>234751.47200000001</v>
      </c>
      <c r="GT4" s="199" t="s">
        <v>411</v>
      </c>
      <c r="GU4" s="199" t="s">
        <v>433</v>
      </c>
      <c r="GV4" s="199" t="s">
        <v>412</v>
      </c>
      <c r="GW4" s="199" t="s">
        <v>413</v>
      </c>
      <c r="GX4" s="351">
        <v>234751472</v>
      </c>
      <c r="GY4" s="351">
        <v>0</v>
      </c>
      <c r="GZ4" s="351">
        <v>0</v>
      </c>
      <c r="HA4" s="225">
        <f t="shared" ref="HA4:HA58" si="49">+GX4/$HA$1*$HB$1</f>
        <v>234751.47200000001</v>
      </c>
      <c r="HB4" s="225">
        <f t="shared" ref="HB4:HB58" si="50">+GY4/$HA$1*$HB$1</f>
        <v>0</v>
      </c>
      <c r="HC4" s="225">
        <f t="shared" ref="HC4:HC58" si="51">+GZ4/$HA$1*$HB$1</f>
        <v>0</v>
      </c>
    </row>
    <row r="5" spans="1:211" ht="15" customHeight="1" x14ac:dyDescent="0.2">
      <c r="A5" s="770" t="s">
        <v>411</v>
      </c>
      <c r="B5" s="210" t="s">
        <v>433</v>
      </c>
      <c r="C5" s="210" t="s">
        <v>636</v>
      </c>
      <c r="D5" s="210" t="s">
        <v>637</v>
      </c>
      <c r="E5" s="211">
        <v>68917000</v>
      </c>
      <c r="F5" s="211">
        <v>0</v>
      </c>
      <c r="G5" s="211">
        <v>0</v>
      </c>
      <c r="H5" s="269">
        <f t="shared" si="8"/>
        <v>71811.513999999996</v>
      </c>
      <c r="I5" s="269">
        <f t="shared" si="9"/>
        <v>0</v>
      </c>
      <c r="J5" s="269">
        <f t="shared" si="10"/>
        <v>0</v>
      </c>
      <c r="L5" s="771" t="s">
        <v>414</v>
      </c>
      <c r="M5" s="772" t="s">
        <v>297</v>
      </c>
      <c r="N5" s="771" t="s">
        <v>438</v>
      </c>
      <c r="O5" s="772" t="s">
        <v>320</v>
      </c>
      <c r="P5" s="259">
        <v>995769</v>
      </c>
      <c r="Q5" s="259">
        <f t="shared" si="11"/>
        <v>1037.5912980000001</v>
      </c>
      <c r="S5" s="210" t="s">
        <v>411</v>
      </c>
      <c r="T5" s="212" t="s">
        <v>433</v>
      </c>
      <c r="U5" s="210" t="s">
        <v>636</v>
      </c>
      <c r="V5" s="212" t="s">
        <v>637</v>
      </c>
      <c r="W5" s="211">
        <v>68917000</v>
      </c>
      <c r="X5" s="211">
        <v>0</v>
      </c>
      <c r="Y5" s="211">
        <v>0</v>
      </c>
      <c r="Z5" s="259">
        <f t="shared" si="12"/>
        <v>71811.513999999996</v>
      </c>
      <c r="AA5" s="259">
        <f t="shared" si="13"/>
        <v>0</v>
      </c>
      <c r="AB5" s="259">
        <f t="shared" si="14"/>
        <v>0</v>
      </c>
      <c r="AD5" s="210" t="s">
        <v>414</v>
      </c>
      <c r="AE5" s="210" t="s">
        <v>297</v>
      </c>
      <c r="AF5" s="210" t="s">
        <v>417</v>
      </c>
      <c r="AG5" s="212" t="s">
        <v>318</v>
      </c>
      <c r="AH5" s="211">
        <v>2159010</v>
      </c>
      <c r="AI5" s="211">
        <f t="shared" si="15"/>
        <v>2249.6884200000004</v>
      </c>
      <c r="AK5" s="210" t="s">
        <v>411</v>
      </c>
      <c r="AL5" s="210" t="s">
        <v>433</v>
      </c>
      <c r="AM5" s="210" t="s">
        <v>636</v>
      </c>
      <c r="AN5" s="210" t="s">
        <v>637</v>
      </c>
      <c r="AO5" s="211">
        <v>68917000</v>
      </c>
      <c r="AP5" s="211">
        <v>0</v>
      </c>
      <c r="AQ5" s="211">
        <v>0</v>
      </c>
      <c r="AR5" s="211">
        <f t="shared" si="16"/>
        <v>71811.513999999996</v>
      </c>
      <c r="AS5" s="211">
        <f t="shared" si="17"/>
        <v>0</v>
      </c>
      <c r="AT5" s="211">
        <f t="shared" si="18"/>
        <v>0</v>
      </c>
      <c r="AV5" s="210" t="s">
        <v>414</v>
      </c>
      <c r="AW5" s="210" t="s">
        <v>297</v>
      </c>
      <c r="AX5" s="210" t="s">
        <v>415</v>
      </c>
      <c r="AY5" s="210" t="s">
        <v>317</v>
      </c>
      <c r="AZ5" s="211">
        <v>110367165</v>
      </c>
      <c r="BA5" s="270">
        <f t="shared" si="19"/>
        <v>115002.58593</v>
      </c>
      <c r="BC5" s="210" t="s">
        <v>411</v>
      </c>
      <c r="BD5" s="210" t="s">
        <v>433</v>
      </c>
      <c r="BE5" s="210" t="s">
        <v>636</v>
      </c>
      <c r="BF5" s="210" t="s">
        <v>637</v>
      </c>
      <c r="BG5" s="211">
        <v>68917000</v>
      </c>
      <c r="BH5" s="211">
        <v>0</v>
      </c>
      <c r="BI5" s="211">
        <v>0</v>
      </c>
      <c r="BJ5" s="270">
        <f t="shared" si="20"/>
        <v>71811.513999999996</v>
      </c>
      <c r="BK5" s="270">
        <f t="shared" si="21"/>
        <v>0</v>
      </c>
      <c r="BL5" s="270">
        <f t="shared" si="22"/>
        <v>0</v>
      </c>
      <c r="BN5" s="210" t="s">
        <v>414</v>
      </c>
      <c r="BO5" s="210" t="s">
        <v>297</v>
      </c>
      <c r="BP5" s="210" t="s">
        <v>417</v>
      </c>
      <c r="BQ5" s="210" t="s">
        <v>318</v>
      </c>
      <c r="BR5" s="211">
        <v>2159010</v>
      </c>
      <c r="BS5" s="211">
        <f t="shared" si="23"/>
        <v>2249.6884200000004</v>
      </c>
      <c r="BU5" s="210" t="s">
        <v>411</v>
      </c>
      <c r="BV5" s="210" t="s">
        <v>433</v>
      </c>
      <c r="BW5" s="210" t="s">
        <v>636</v>
      </c>
      <c r="BX5" s="210" t="s">
        <v>637</v>
      </c>
      <c r="BY5" s="211">
        <v>68917000</v>
      </c>
      <c r="BZ5" s="211">
        <v>0</v>
      </c>
      <c r="CA5" s="211">
        <v>0</v>
      </c>
      <c r="CB5" s="211">
        <f t="shared" si="24"/>
        <v>71811.513999999996</v>
      </c>
      <c r="CC5" s="211">
        <f t="shared" si="25"/>
        <v>0</v>
      </c>
      <c r="CD5" s="211">
        <f t="shared" si="26"/>
        <v>0</v>
      </c>
      <c r="CF5" s="210" t="s">
        <v>414</v>
      </c>
      <c r="CG5" s="210" t="s">
        <v>297</v>
      </c>
      <c r="CH5" s="210" t="s">
        <v>417</v>
      </c>
      <c r="CI5" s="210" t="s">
        <v>318</v>
      </c>
      <c r="CJ5" s="211">
        <v>2159010</v>
      </c>
      <c r="CK5" s="211">
        <f t="shared" si="27"/>
        <v>2249.6884200000004</v>
      </c>
      <c r="CM5" s="210" t="s">
        <v>411</v>
      </c>
      <c r="CN5" s="210" t="s">
        <v>433</v>
      </c>
      <c r="CO5" s="210" t="s">
        <v>636</v>
      </c>
      <c r="CP5" s="210" t="s">
        <v>637</v>
      </c>
      <c r="CQ5" s="211">
        <v>68917000</v>
      </c>
      <c r="CR5" s="211">
        <v>0</v>
      </c>
      <c r="CS5" s="211">
        <v>0</v>
      </c>
      <c r="CT5" s="211">
        <f t="shared" si="28"/>
        <v>71811.513999999996</v>
      </c>
      <c r="CU5" s="211">
        <f t="shared" si="29"/>
        <v>0</v>
      </c>
      <c r="CV5" s="211">
        <f t="shared" si="30"/>
        <v>0</v>
      </c>
      <c r="CX5" s="210" t="s">
        <v>414</v>
      </c>
      <c r="CY5" s="212" t="s">
        <v>297</v>
      </c>
      <c r="CZ5" s="210" t="s">
        <v>417</v>
      </c>
      <c r="DA5" s="212" t="s">
        <v>318</v>
      </c>
      <c r="DB5" s="211">
        <v>2159010</v>
      </c>
      <c r="DC5" s="261">
        <f t="shared" si="31"/>
        <v>2249.6884200000004</v>
      </c>
      <c r="DE5" s="210" t="s">
        <v>411</v>
      </c>
      <c r="DF5" s="212" t="s">
        <v>433</v>
      </c>
      <c r="DG5" s="210" t="s">
        <v>636</v>
      </c>
      <c r="DH5" s="212" t="s">
        <v>637</v>
      </c>
      <c r="DI5" s="211">
        <v>68917000</v>
      </c>
      <c r="DJ5" s="211">
        <v>0</v>
      </c>
      <c r="DK5" s="211">
        <v>0</v>
      </c>
      <c r="DL5" s="269">
        <f t="shared" si="32"/>
        <v>71811.513999999996</v>
      </c>
      <c r="DM5" s="269">
        <f t="shared" si="33"/>
        <v>0</v>
      </c>
      <c r="DN5" s="269">
        <f t="shared" si="34"/>
        <v>0</v>
      </c>
      <c r="DP5" s="210" t="s">
        <v>414</v>
      </c>
      <c r="DQ5" s="212" t="s">
        <v>297</v>
      </c>
      <c r="DR5" s="210" t="s">
        <v>417</v>
      </c>
      <c r="DS5" s="212" t="s">
        <v>318</v>
      </c>
      <c r="DT5" s="211">
        <v>2159010</v>
      </c>
      <c r="DU5" s="270">
        <f t="shared" si="35"/>
        <v>2249.6884200000004</v>
      </c>
      <c r="DW5" s="210" t="s">
        <v>411</v>
      </c>
      <c r="DX5" s="212" t="s">
        <v>433</v>
      </c>
      <c r="DY5" s="210" t="s">
        <v>636</v>
      </c>
      <c r="DZ5" s="212" t="s">
        <v>637</v>
      </c>
      <c r="EA5" s="211">
        <v>68917000</v>
      </c>
      <c r="EB5" s="211">
        <v>0</v>
      </c>
      <c r="EC5" s="211">
        <v>0</v>
      </c>
      <c r="ED5" s="211">
        <f t="shared" si="36"/>
        <v>71811.513999999996</v>
      </c>
      <c r="EE5" s="211">
        <f t="shared" si="37"/>
        <v>0</v>
      </c>
      <c r="EF5" s="211">
        <f t="shared" si="38"/>
        <v>0</v>
      </c>
      <c r="EH5" s="210" t="s">
        <v>414</v>
      </c>
      <c r="EI5" s="212" t="s">
        <v>297</v>
      </c>
      <c r="EJ5" s="210" t="s">
        <v>417</v>
      </c>
      <c r="EK5" s="212" t="s">
        <v>318</v>
      </c>
      <c r="EL5" s="211">
        <v>2159010</v>
      </c>
      <c r="EM5" s="269">
        <f t="shared" si="39"/>
        <v>2159.0100000000002</v>
      </c>
      <c r="EP5" s="210" t="s">
        <v>411</v>
      </c>
      <c r="EQ5" s="212" t="s">
        <v>433</v>
      </c>
      <c r="ER5" s="210" t="s">
        <v>636</v>
      </c>
      <c r="ES5" s="210" t="s">
        <v>637</v>
      </c>
      <c r="ET5" s="211">
        <v>68917000</v>
      </c>
      <c r="EU5" s="211">
        <v>0</v>
      </c>
      <c r="EV5" s="211">
        <v>0</v>
      </c>
      <c r="EW5" s="274">
        <f t="shared" si="40"/>
        <v>68917</v>
      </c>
      <c r="EX5" s="274">
        <f t="shared" si="41"/>
        <v>0</v>
      </c>
      <c r="EY5" s="274">
        <f t="shared" si="42"/>
        <v>0</v>
      </c>
      <c r="FA5" s="221" t="s">
        <v>414</v>
      </c>
      <c r="FB5" s="272" t="s">
        <v>297</v>
      </c>
      <c r="FC5" s="221" t="s">
        <v>417</v>
      </c>
      <c r="FD5" s="272" t="s">
        <v>318</v>
      </c>
      <c r="FE5" s="271">
        <v>0</v>
      </c>
      <c r="FF5" s="271">
        <v>0</v>
      </c>
      <c r="FG5" s="271">
        <v>2159010</v>
      </c>
      <c r="FH5" s="271">
        <f t="shared" si="4"/>
        <v>2159.0100000000002</v>
      </c>
      <c r="FJ5" s="221" t="s">
        <v>411</v>
      </c>
      <c r="FK5" s="221" t="s">
        <v>433</v>
      </c>
      <c r="FL5" s="221" t="s">
        <v>636</v>
      </c>
      <c r="FM5" s="221" t="s">
        <v>637</v>
      </c>
      <c r="FN5" s="270">
        <v>68917000</v>
      </c>
      <c r="FO5" s="270">
        <v>0</v>
      </c>
      <c r="FP5" s="270">
        <v>0</v>
      </c>
      <c r="FQ5" s="270">
        <f t="shared" si="43"/>
        <v>68917</v>
      </c>
      <c r="FR5" s="270">
        <f t="shared" si="5"/>
        <v>0</v>
      </c>
      <c r="FS5" s="270">
        <f t="shared" si="5"/>
        <v>0</v>
      </c>
      <c r="FU5" s="210" t="s">
        <v>414</v>
      </c>
      <c r="FV5" s="210" t="s">
        <v>297</v>
      </c>
      <c r="FW5" s="210" t="s">
        <v>416</v>
      </c>
      <c r="FX5" s="210" t="s">
        <v>327</v>
      </c>
      <c r="FY5" s="211">
        <v>44168220</v>
      </c>
      <c r="FZ5" s="211">
        <f t="shared" si="44"/>
        <v>44168.22</v>
      </c>
      <c r="GB5" s="199" t="s">
        <v>411</v>
      </c>
      <c r="GC5" s="199" t="s">
        <v>433</v>
      </c>
      <c r="GD5" s="199" t="s">
        <v>636</v>
      </c>
      <c r="GE5" s="199" t="s">
        <v>637</v>
      </c>
      <c r="GF5" s="270">
        <v>60096106</v>
      </c>
      <c r="GG5" s="270">
        <v>0</v>
      </c>
      <c r="GH5" s="270">
        <v>0</v>
      </c>
      <c r="GI5" s="270">
        <f t="shared" si="45"/>
        <v>60096.106</v>
      </c>
      <c r="GJ5" s="270">
        <f t="shared" si="46"/>
        <v>0</v>
      </c>
      <c r="GK5" s="270">
        <f t="shared" si="47"/>
        <v>0</v>
      </c>
      <c r="GM5" s="210" t="s">
        <v>411</v>
      </c>
      <c r="GN5" s="212" t="s">
        <v>433</v>
      </c>
      <c r="GO5" s="210" t="s">
        <v>434</v>
      </c>
      <c r="GP5" s="210" t="s">
        <v>435</v>
      </c>
      <c r="GQ5" s="211">
        <v>45000000</v>
      </c>
      <c r="GR5" s="351">
        <f t="shared" si="48"/>
        <v>45000</v>
      </c>
      <c r="GT5" s="199" t="s">
        <v>411</v>
      </c>
      <c r="GU5" s="199" t="s">
        <v>433</v>
      </c>
      <c r="GV5" s="199" t="s">
        <v>636</v>
      </c>
      <c r="GW5" s="199" t="s">
        <v>637</v>
      </c>
      <c r="GX5" s="351">
        <v>60096106</v>
      </c>
      <c r="GY5" s="351">
        <v>0</v>
      </c>
      <c r="GZ5" s="351">
        <v>0</v>
      </c>
      <c r="HA5" s="225">
        <f t="shared" si="49"/>
        <v>60096.106</v>
      </c>
      <c r="HB5" s="225">
        <f t="shared" si="50"/>
        <v>0</v>
      </c>
      <c r="HC5" s="225">
        <f t="shared" si="51"/>
        <v>0</v>
      </c>
    </row>
    <row r="6" spans="1:211" ht="15" customHeight="1" x14ac:dyDescent="0.2">
      <c r="A6" s="770" t="s">
        <v>411</v>
      </c>
      <c r="B6" s="210" t="s">
        <v>433</v>
      </c>
      <c r="C6" s="210" t="s">
        <v>434</v>
      </c>
      <c r="D6" s="210" t="s">
        <v>435</v>
      </c>
      <c r="E6" s="211">
        <v>50000000</v>
      </c>
      <c r="F6" s="211">
        <v>0</v>
      </c>
      <c r="G6" s="211">
        <v>0</v>
      </c>
      <c r="H6" s="269">
        <f t="shared" si="8"/>
        <v>52100</v>
      </c>
      <c r="I6" s="269">
        <f t="shared" si="9"/>
        <v>0</v>
      </c>
      <c r="J6" s="269">
        <f t="shared" si="10"/>
        <v>0</v>
      </c>
      <c r="L6" s="771" t="s">
        <v>414</v>
      </c>
      <c r="M6" s="772" t="s">
        <v>297</v>
      </c>
      <c r="N6" s="771" t="s">
        <v>417</v>
      </c>
      <c r="O6" s="772" t="s">
        <v>318</v>
      </c>
      <c r="P6" s="259">
        <v>2159010</v>
      </c>
      <c r="Q6" s="259">
        <f t="shared" si="11"/>
        <v>2249.6884200000004</v>
      </c>
      <c r="S6" s="210" t="s">
        <v>411</v>
      </c>
      <c r="T6" s="212" t="s">
        <v>433</v>
      </c>
      <c r="U6" s="210" t="s">
        <v>434</v>
      </c>
      <c r="V6" s="212" t="s">
        <v>435</v>
      </c>
      <c r="W6" s="211">
        <v>50000000</v>
      </c>
      <c r="X6" s="211">
        <v>0</v>
      </c>
      <c r="Y6" s="211">
        <v>0</v>
      </c>
      <c r="Z6" s="259">
        <f t="shared" si="12"/>
        <v>52100</v>
      </c>
      <c r="AA6" s="259">
        <f t="shared" si="13"/>
        <v>0</v>
      </c>
      <c r="AB6" s="259">
        <f t="shared" si="14"/>
        <v>0</v>
      </c>
      <c r="AD6" s="210" t="s">
        <v>414</v>
      </c>
      <c r="AE6" s="210" t="s">
        <v>297</v>
      </c>
      <c r="AF6" s="210" t="s">
        <v>415</v>
      </c>
      <c r="AG6" s="212" t="s">
        <v>317</v>
      </c>
      <c r="AH6" s="211">
        <v>189651376</v>
      </c>
      <c r="AI6" s="211">
        <f t="shared" si="15"/>
        <v>197616.73379199998</v>
      </c>
      <c r="AK6" s="210" t="s">
        <v>411</v>
      </c>
      <c r="AL6" s="210" t="s">
        <v>433</v>
      </c>
      <c r="AM6" s="210" t="s">
        <v>434</v>
      </c>
      <c r="AN6" s="210" t="s">
        <v>435</v>
      </c>
      <c r="AO6" s="211">
        <v>50000000</v>
      </c>
      <c r="AP6" s="211">
        <v>0</v>
      </c>
      <c r="AQ6" s="211">
        <v>0</v>
      </c>
      <c r="AR6" s="211">
        <f t="shared" si="16"/>
        <v>52100</v>
      </c>
      <c r="AS6" s="211">
        <f t="shared" si="17"/>
        <v>0</v>
      </c>
      <c r="AT6" s="211">
        <f t="shared" si="18"/>
        <v>0</v>
      </c>
      <c r="AV6" s="210" t="s">
        <v>414</v>
      </c>
      <c r="AW6" s="210" t="s">
        <v>297</v>
      </c>
      <c r="AX6" s="210" t="s">
        <v>416</v>
      </c>
      <c r="AY6" s="210" t="s">
        <v>327</v>
      </c>
      <c r="AZ6" s="211">
        <v>38562655</v>
      </c>
      <c r="BA6" s="270">
        <f t="shared" si="19"/>
        <v>40182.286509999998</v>
      </c>
      <c r="BC6" s="210" t="s">
        <v>411</v>
      </c>
      <c r="BD6" s="210" t="s">
        <v>433</v>
      </c>
      <c r="BE6" s="210" t="s">
        <v>434</v>
      </c>
      <c r="BF6" s="210" t="s">
        <v>435</v>
      </c>
      <c r="BG6" s="211">
        <v>50000000</v>
      </c>
      <c r="BH6" s="211">
        <v>0</v>
      </c>
      <c r="BI6" s="211">
        <v>0</v>
      </c>
      <c r="BJ6" s="270">
        <f t="shared" si="20"/>
        <v>52100</v>
      </c>
      <c r="BK6" s="270">
        <f t="shared" si="21"/>
        <v>0</v>
      </c>
      <c r="BL6" s="270">
        <f t="shared" si="22"/>
        <v>0</v>
      </c>
      <c r="BN6" s="210" t="s">
        <v>414</v>
      </c>
      <c r="BO6" s="210" t="s">
        <v>297</v>
      </c>
      <c r="BP6" s="210" t="s">
        <v>416</v>
      </c>
      <c r="BQ6" s="210" t="s">
        <v>327</v>
      </c>
      <c r="BR6" s="211">
        <v>128480</v>
      </c>
      <c r="BS6" s="211">
        <f t="shared" si="23"/>
        <v>133.87616</v>
      </c>
      <c r="BU6" s="210" t="s">
        <v>411</v>
      </c>
      <c r="BV6" s="210" t="s">
        <v>433</v>
      </c>
      <c r="BW6" s="210" t="s">
        <v>434</v>
      </c>
      <c r="BX6" s="210" t="s">
        <v>435</v>
      </c>
      <c r="BY6" s="211">
        <v>50000000</v>
      </c>
      <c r="BZ6" s="211">
        <v>0</v>
      </c>
      <c r="CA6" s="211">
        <v>0</v>
      </c>
      <c r="CB6" s="211">
        <f t="shared" si="24"/>
        <v>52100</v>
      </c>
      <c r="CC6" s="211">
        <f t="shared" si="25"/>
        <v>0</v>
      </c>
      <c r="CD6" s="211">
        <f t="shared" si="26"/>
        <v>0</v>
      </c>
      <c r="CF6" s="210" t="s">
        <v>414</v>
      </c>
      <c r="CG6" s="210" t="s">
        <v>297</v>
      </c>
      <c r="CH6" s="210" t="s">
        <v>415</v>
      </c>
      <c r="CI6" s="210" t="s">
        <v>317</v>
      </c>
      <c r="CJ6" s="211">
        <v>131406021</v>
      </c>
      <c r="CK6" s="211">
        <f t="shared" si="27"/>
        <v>136925.07388200003</v>
      </c>
      <c r="CM6" s="210" t="s">
        <v>411</v>
      </c>
      <c r="CN6" s="210" t="s">
        <v>433</v>
      </c>
      <c r="CO6" s="210" t="s">
        <v>434</v>
      </c>
      <c r="CP6" s="210" t="s">
        <v>435</v>
      </c>
      <c r="CQ6" s="211">
        <v>50000000</v>
      </c>
      <c r="CR6" s="211">
        <v>0</v>
      </c>
      <c r="CS6" s="211">
        <v>0</v>
      </c>
      <c r="CT6" s="211">
        <f t="shared" si="28"/>
        <v>52100</v>
      </c>
      <c r="CU6" s="211">
        <f t="shared" si="29"/>
        <v>0</v>
      </c>
      <c r="CV6" s="211">
        <f t="shared" si="30"/>
        <v>0</v>
      </c>
      <c r="CX6" s="210" t="s">
        <v>414</v>
      </c>
      <c r="CY6" s="212" t="s">
        <v>297</v>
      </c>
      <c r="CZ6" s="210" t="s">
        <v>415</v>
      </c>
      <c r="DA6" s="212" t="s">
        <v>317</v>
      </c>
      <c r="DB6" s="211">
        <v>124749961</v>
      </c>
      <c r="DC6" s="261">
        <f t="shared" si="31"/>
        <v>129989.45936199999</v>
      </c>
      <c r="DE6" s="210" t="s">
        <v>411</v>
      </c>
      <c r="DF6" s="212" t="s">
        <v>433</v>
      </c>
      <c r="DG6" s="210" t="s">
        <v>434</v>
      </c>
      <c r="DH6" s="212" t="s">
        <v>435</v>
      </c>
      <c r="DI6" s="211">
        <v>50000000</v>
      </c>
      <c r="DJ6" s="211">
        <v>0</v>
      </c>
      <c r="DK6" s="211">
        <v>0</v>
      </c>
      <c r="DL6" s="269">
        <f t="shared" si="32"/>
        <v>52100</v>
      </c>
      <c r="DM6" s="269">
        <f t="shared" si="33"/>
        <v>0</v>
      </c>
      <c r="DN6" s="269">
        <f t="shared" si="34"/>
        <v>0</v>
      </c>
      <c r="DP6" s="210" t="s">
        <v>414</v>
      </c>
      <c r="DQ6" s="212" t="s">
        <v>297</v>
      </c>
      <c r="DR6" s="210" t="s">
        <v>415</v>
      </c>
      <c r="DS6" s="212" t="s">
        <v>317</v>
      </c>
      <c r="DT6" s="211">
        <v>24066150</v>
      </c>
      <c r="DU6" s="270">
        <f t="shared" si="35"/>
        <v>25076.928300000003</v>
      </c>
      <c r="DW6" s="210" t="s">
        <v>411</v>
      </c>
      <c r="DX6" s="212" t="s">
        <v>433</v>
      </c>
      <c r="DY6" s="210" t="s">
        <v>434</v>
      </c>
      <c r="DZ6" s="212" t="s">
        <v>435</v>
      </c>
      <c r="EA6" s="211">
        <v>50000000</v>
      </c>
      <c r="EB6" s="211">
        <v>0</v>
      </c>
      <c r="EC6" s="211">
        <v>0</v>
      </c>
      <c r="ED6" s="211">
        <f t="shared" si="36"/>
        <v>52100</v>
      </c>
      <c r="EE6" s="211">
        <f t="shared" si="37"/>
        <v>0</v>
      </c>
      <c r="EF6" s="211">
        <f t="shared" si="38"/>
        <v>0</v>
      </c>
      <c r="EH6" s="210" t="s">
        <v>414</v>
      </c>
      <c r="EI6" s="212" t="s">
        <v>297</v>
      </c>
      <c r="EJ6" s="210" t="s">
        <v>416</v>
      </c>
      <c r="EK6" s="212" t="s">
        <v>327</v>
      </c>
      <c r="EL6" s="211">
        <v>27673505</v>
      </c>
      <c r="EM6" s="269">
        <f t="shared" si="39"/>
        <v>27673.505000000001</v>
      </c>
      <c r="EP6" s="210" t="s">
        <v>411</v>
      </c>
      <c r="EQ6" s="212" t="s">
        <v>433</v>
      </c>
      <c r="ER6" s="210" t="s">
        <v>434</v>
      </c>
      <c r="ES6" s="210" t="s">
        <v>435</v>
      </c>
      <c r="ET6" s="211">
        <v>50000000</v>
      </c>
      <c r="EU6" s="211">
        <v>0</v>
      </c>
      <c r="EV6" s="211">
        <v>0</v>
      </c>
      <c r="EW6" s="274">
        <f t="shared" si="40"/>
        <v>50000</v>
      </c>
      <c r="EX6" s="274">
        <f t="shared" si="41"/>
        <v>0</v>
      </c>
      <c r="EY6" s="274">
        <f t="shared" si="42"/>
        <v>0</v>
      </c>
      <c r="FA6" s="221" t="s">
        <v>414</v>
      </c>
      <c r="FB6" s="272" t="s">
        <v>297</v>
      </c>
      <c r="FC6" s="221" t="s">
        <v>438</v>
      </c>
      <c r="FD6" s="272" t="s">
        <v>320</v>
      </c>
      <c r="FE6" s="271">
        <v>0</v>
      </c>
      <c r="FF6" s="271">
        <v>738729</v>
      </c>
      <c r="FG6" s="271">
        <v>3846675</v>
      </c>
      <c r="FH6" s="271">
        <f t="shared" si="4"/>
        <v>3846.6750000000002</v>
      </c>
      <c r="FJ6" s="221" t="s">
        <v>411</v>
      </c>
      <c r="FK6" s="221" t="s">
        <v>433</v>
      </c>
      <c r="FL6" s="221" t="s">
        <v>434</v>
      </c>
      <c r="FM6" s="221" t="s">
        <v>435</v>
      </c>
      <c r="FN6" s="270">
        <v>50000000</v>
      </c>
      <c r="FO6" s="270">
        <v>0</v>
      </c>
      <c r="FP6" s="270">
        <v>0</v>
      </c>
      <c r="FQ6" s="270">
        <f t="shared" si="43"/>
        <v>50000</v>
      </c>
      <c r="FR6" s="270">
        <f t="shared" si="5"/>
        <v>0</v>
      </c>
      <c r="FS6" s="270">
        <f t="shared" si="5"/>
        <v>0</v>
      </c>
      <c r="FU6" s="210" t="s">
        <v>414</v>
      </c>
      <c r="FV6" s="210" t="s">
        <v>297</v>
      </c>
      <c r="FW6" s="210" t="s">
        <v>417</v>
      </c>
      <c r="FX6" s="210" t="s">
        <v>318</v>
      </c>
      <c r="FY6" s="211">
        <v>2159010</v>
      </c>
      <c r="FZ6" s="211">
        <f t="shared" si="44"/>
        <v>2159.0100000000002</v>
      </c>
      <c r="GB6" s="199" t="s">
        <v>411</v>
      </c>
      <c r="GC6" s="199" t="s">
        <v>433</v>
      </c>
      <c r="GD6" s="199" t="s">
        <v>434</v>
      </c>
      <c r="GE6" s="199" t="s">
        <v>435</v>
      </c>
      <c r="GF6" s="270">
        <v>50000000</v>
      </c>
      <c r="GG6" s="270">
        <v>0</v>
      </c>
      <c r="GH6" s="270">
        <v>0</v>
      </c>
      <c r="GI6" s="270">
        <f t="shared" si="45"/>
        <v>50000</v>
      </c>
      <c r="GJ6" s="270">
        <f t="shared" si="46"/>
        <v>0</v>
      </c>
      <c r="GK6" s="270">
        <f t="shared" si="47"/>
        <v>0</v>
      </c>
      <c r="GM6" s="210" t="s">
        <v>411</v>
      </c>
      <c r="GN6" s="212" t="s">
        <v>433</v>
      </c>
      <c r="GO6" s="210" t="s">
        <v>436</v>
      </c>
      <c r="GP6" s="210" t="s">
        <v>265</v>
      </c>
      <c r="GQ6" s="211">
        <v>312975000</v>
      </c>
      <c r="GR6" s="351">
        <f t="shared" si="48"/>
        <v>312975</v>
      </c>
      <c r="GT6" s="199" t="s">
        <v>411</v>
      </c>
      <c r="GU6" s="199" t="s">
        <v>433</v>
      </c>
      <c r="GV6" s="199" t="s">
        <v>434</v>
      </c>
      <c r="GW6" s="199" t="s">
        <v>435</v>
      </c>
      <c r="GX6" s="351">
        <v>50000000</v>
      </c>
      <c r="GY6" s="351">
        <v>0</v>
      </c>
      <c r="GZ6" s="351">
        <v>0</v>
      </c>
      <c r="HA6" s="225">
        <f t="shared" si="49"/>
        <v>50000</v>
      </c>
      <c r="HB6" s="225">
        <f t="shared" si="50"/>
        <v>0</v>
      </c>
      <c r="HC6" s="225">
        <f t="shared" si="51"/>
        <v>0</v>
      </c>
    </row>
    <row r="7" spans="1:211" ht="15" customHeight="1" x14ac:dyDescent="0.2">
      <c r="A7" s="770" t="s">
        <v>411</v>
      </c>
      <c r="B7" s="210" t="s">
        <v>433</v>
      </c>
      <c r="C7" s="210" t="s">
        <v>426</v>
      </c>
      <c r="D7" s="210" t="s">
        <v>426</v>
      </c>
      <c r="E7" s="211">
        <v>0</v>
      </c>
      <c r="F7" s="211">
        <v>0</v>
      </c>
      <c r="G7" s="211">
        <v>0</v>
      </c>
      <c r="H7" s="269">
        <f t="shared" si="8"/>
        <v>0</v>
      </c>
      <c r="I7" s="269">
        <f t="shared" si="9"/>
        <v>0</v>
      </c>
      <c r="J7" s="269">
        <f t="shared" si="10"/>
        <v>0</v>
      </c>
      <c r="L7" s="771" t="s">
        <v>418</v>
      </c>
      <c r="M7" s="772" t="s">
        <v>323</v>
      </c>
      <c r="N7" s="771" t="s">
        <v>586</v>
      </c>
      <c r="O7" s="772" t="s">
        <v>587</v>
      </c>
      <c r="P7" s="259">
        <v>780000</v>
      </c>
      <c r="Q7" s="259">
        <f t="shared" si="11"/>
        <v>812.76</v>
      </c>
      <c r="S7" s="210" t="s">
        <v>411</v>
      </c>
      <c r="T7" s="212" t="s">
        <v>433</v>
      </c>
      <c r="U7" s="210" t="s">
        <v>636</v>
      </c>
      <c r="V7" s="212" t="s">
        <v>637</v>
      </c>
      <c r="W7" s="211">
        <v>0</v>
      </c>
      <c r="X7" s="211">
        <v>23310000</v>
      </c>
      <c r="Y7" s="211">
        <v>3330000</v>
      </c>
      <c r="Z7" s="259">
        <f t="shared" si="12"/>
        <v>0</v>
      </c>
      <c r="AA7" s="259">
        <f t="shared" si="13"/>
        <v>24289.02</v>
      </c>
      <c r="AB7" s="259">
        <f t="shared" si="14"/>
        <v>3469.86</v>
      </c>
      <c r="AD7" s="210" t="s">
        <v>414</v>
      </c>
      <c r="AE7" s="210" t="s">
        <v>297</v>
      </c>
      <c r="AF7" s="210" t="s">
        <v>416</v>
      </c>
      <c r="AG7" s="212" t="s">
        <v>327</v>
      </c>
      <c r="AH7" s="211">
        <v>892595</v>
      </c>
      <c r="AI7" s="211">
        <f t="shared" si="15"/>
        <v>930.08399000000009</v>
      </c>
      <c r="AK7" s="210" t="s">
        <v>411</v>
      </c>
      <c r="AL7" s="210" t="s">
        <v>433</v>
      </c>
      <c r="AM7" s="210" t="s">
        <v>426</v>
      </c>
      <c r="AN7" s="210" t="s">
        <v>426</v>
      </c>
      <c r="AO7" s="211">
        <v>0</v>
      </c>
      <c r="AP7" s="211">
        <v>0</v>
      </c>
      <c r="AQ7" s="211">
        <v>0</v>
      </c>
      <c r="AR7" s="211">
        <f t="shared" si="16"/>
        <v>0</v>
      </c>
      <c r="AS7" s="211">
        <f t="shared" si="17"/>
        <v>0</v>
      </c>
      <c r="AT7" s="211">
        <f t="shared" si="18"/>
        <v>0</v>
      </c>
      <c r="AV7" s="210" t="s">
        <v>414</v>
      </c>
      <c r="AW7" s="210" t="s">
        <v>297</v>
      </c>
      <c r="AX7" s="210" t="s">
        <v>417</v>
      </c>
      <c r="AY7" s="210" t="s">
        <v>318</v>
      </c>
      <c r="AZ7" s="211">
        <v>2159010</v>
      </c>
      <c r="BA7" s="270">
        <f t="shared" si="19"/>
        <v>2249.6884200000004</v>
      </c>
      <c r="BC7" s="210" t="s">
        <v>411</v>
      </c>
      <c r="BD7" s="210" t="s">
        <v>433</v>
      </c>
      <c r="BE7" s="210" t="s">
        <v>436</v>
      </c>
      <c r="BF7" s="210" t="s">
        <v>265</v>
      </c>
      <c r="BG7" s="211">
        <v>0</v>
      </c>
      <c r="BH7" s="211">
        <v>974277500</v>
      </c>
      <c r="BI7" s="211">
        <v>369964375</v>
      </c>
      <c r="BJ7" s="270">
        <f t="shared" si="20"/>
        <v>0</v>
      </c>
      <c r="BK7" s="270">
        <f t="shared" si="21"/>
        <v>1015197.155</v>
      </c>
      <c r="BL7" s="270">
        <f t="shared" si="22"/>
        <v>385502.87875000003</v>
      </c>
      <c r="BN7" s="210" t="s">
        <v>414</v>
      </c>
      <c r="BO7" s="210" t="s">
        <v>297</v>
      </c>
      <c r="BP7" s="210" t="s">
        <v>438</v>
      </c>
      <c r="BQ7" s="210" t="s">
        <v>320</v>
      </c>
      <c r="BR7" s="211">
        <v>3291920</v>
      </c>
      <c r="BS7" s="211">
        <f t="shared" si="23"/>
        <v>3430.18064</v>
      </c>
      <c r="BU7" s="210" t="s">
        <v>411</v>
      </c>
      <c r="BV7" s="210" t="s">
        <v>433</v>
      </c>
      <c r="BW7" s="210" t="s">
        <v>436</v>
      </c>
      <c r="BX7" s="210" t="s">
        <v>265</v>
      </c>
      <c r="BY7" s="211">
        <v>0</v>
      </c>
      <c r="BZ7" s="211">
        <v>974277500</v>
      </c>
      <c r="CA7" s="211">
        <v>375964375</v>
      </c>
      <c r="CB7" s="211">
        <f t="shared" si="24"/>
        <v>0</v>
      </c>
      <c r="CC7" s="211">
        <f t="shared" si="25"/>
        <v>1015197.155</v>
      </c>
      <c r="CD7" s="211">
        <f t="shared" si="26"/>
        <v>391754.87875000003</v>
      </c>
      <c r="CF7" s="210" t="s">
        <v>418</v>
      </c>
      <c r="CG7" s="210" t="s">
        <v>323</v>
      </c>
      <c r="CH7" s="210" t="s">
        <v>419</v>
      </c>
      <c r="CI7" s="210" t="s">
        <v>467</v>
      </c>
      <c r="CJ7" s="211">
        <v>48000000</v>
      </c>
      <c r="CK7" s="211">
        <f t="shared" si="27"/>
        <v>50016</v>
      </c>
      <c r="CM7" s="210" t="s">
        <v>411</v>
      </c>
      <c r="CN7" s="210" t="s">
        <v>433</v>
      </c>
      <c r="CO7" s="210" t="s">
        <v>436</v>
      </c>
      <c r="CP7" s="210" t="s">
        <v>265</v>
      </c>
      <c r="CQ7" s="211">
        <v>0</v>
      </c>
      <c r="CR7" s="211">
        <v>974277500</v>
      </c>
      <c r="CS7" s="211">
        <v>382964375</v>
      </c>
      <c r="CT7" s="211">
        <f t="shared" si="28"/>
        <v>0</v>
      </c>
      <c r="CU7" s="211">
        <f t="shared" si="29"/>
        <v>1015197.155</v>
      </c>
      <c r="CV7" s="211">
        <f t="shared" si="30"/>
        <v>399048.87875000003</v>
      </c>
      <c r="CX7" s="210" t="s">
        <v>418</v>
      </c>
      <c r="CY7" s="212" t="s">
        <v>323</v>
      </c>
      <c r="CZ7" s="210" t="s">
        <v>586</v>
      </c>
      <c r="DA7" s="212" t="s">
        <v>587</v>
      </c>
      <c r="DB7" s="211">
        <v>24989000</v>
      </c>
      <c r="DC7" s="261">
        <f t="shared" si="31"/>
        <v>26038.538</v>
      </c>
      <c r="DE7" s="210" t="s">
        <v>411</v>
      </c>
      <c r="DF7" s="212" t="s">
        <v>433</v>
      </c>
      <c r="DG7" s="210" t="s">
        <v>636</v>
      </c>
      <c r="DH7" s="212" t="s">
        <v>637</v>
      </c>
      <c r="DI7" s="211">
        <v>0</v>
      </c>
      <c r="DJ7" s="211">
        <v>28799456</v>
      </c>
      <c r="DK7" s="211">
        <v>19980000</v>
      </c>
      <c r="DL7" s="269">
        <f t="shared" si="32"/>
        <v>0</v>
      </c>
      <c r="DM7" s="269">
        <f t="shared" si="33"/>
        <v>30009.033152</v>
      </c>
      <c r="DN7" s="269">
        <f t="shared" si="34"/>
        <v>20819.16</v>
      </c>
      <c r="DP7" s="210" t="s">
        <v>418</v>
      </c>
      <c r="DQ7" s="212" t="s">
        <v>323</v>
      </c>
      <c r="DR7" s="210" t="s">
        <v>586</v>
      </c>
      <c r="DS7" s="212" t="s">
        <v>587</v>
      </c>
      <c r="DT7" s="211">
        <v>780000</v>
      </c>
      <c r="DU7" s="270">
        <f t="shared" si="35"/>
        <v>812.76</v>
      </c>
      <c r="DW7" s="210" t="s">
        <v>411</v>
      </c>
      <c r="DX7" s="212" t="s">
        <v>433</v>
      </c>
      <c r="DY7" s="210" t="s">
        <v>426</v>
      </c>
      <c r="DZ7" s="212" t="s">
        <v>426</v>
      </c>
      <c r="EA7" s="211">
        <v>0</v>
      </c>
      <c r="EB7" s="211">
        <v>0</v>
      </c>
      <c r="EC7" s="211">
        <v>0</v>
      </c>
      <c r="ED7" s="211">
        <f t="shared" si="36"/>
        <v>0</v>
      </c>
      <c r="EE7" s="211">
        <f t="shared" si="37"/>
        <v>0</v>
      </c>
      <c r="EF7" s="211">
        <f t="shared" si="38"/>
        <v>0</v>
      </c>
      <c r="EH7" s="210" t="s">
        <v>414</v>
      </c>
      <c r="EI7" s="212" t="s">
        <v>297</v>
      </c>
      <c r="EJ7" s="210" t="s">
        <v>415</v>
      </c>
      <c r="EK7" s="212" t="s">
        <v>317</v>
      </c>
      <c r="EL7" s="211">
        <v>46713500</v>
      </c>
      <c r="EM7" s="269">
        <f t="shared" si="39"/>
        <v>46713.5</v>
      </c>
      <c r="EP7" s="210" t="s">
        <v>411</v>
      </c>
      <c r="EQ7" s="212" t="s">
        <v>433</v>
      </c>
      <c r="ER7" s="210" t="s">
        <v>426</v>
      </c>
      <c r="ES7" s="210" t="s">
        <v>426</v>
      </c>
      <c r="ET7" s="211">
        <v>0</v>
      </c>
      <c r="EU7" s="211">
        <v>0</v>
      </c>
      <c r="EV7" s="211">
        <v>0</v>
      </c>
      <c r="EW7" s="274">
        <f t="shared" si="40"/>
        <v>0</v>
      </c>
      <c r="EX7" s="274">
        <f t="shared" si="41"/>
        <v>0</v>
      </c>
      <c r="EY7" s="274">
        <f t="shared" si="42"/>
        <v>0</v>
      </c>
      <c r="FA7" s="221" t="s">
        <v>414</v>
      </c>
      <c r="FB7" s="272" t="s">
        <v>297</v>
      </c>
      <c r="FC7" s="221" t="s">
        <v>415</v>
      </c>
      <c r="FD7" s="272" t="s">
        <v>317</v>
      </c>
      <c r="FE7" s="271">
        <v>0</v>
      </c>
      <c r="FF7" s="271">
        <v>602029706</v>
      </c>
      <c r="FG7" s="271">
        <v>56156085</v>
      </c>
      <c r="FH7" s="271">
        <f t="shared" si="4"/>
        <v>56156.084999999999</v>
      </c>
      <c r="FJ7" s="221" t="s">
        <v>411</v>
      </c>
      <c r="FK7" s="221" t="s">
        <v>433</v>
      </c>
      <c r="FL7" s="221" t="s">
        <v>636</v>
      </c>
      <c r="FM7" s="221" t="s">
        <v>637</v>
      </c>
      <c r="FN7" s="270">
        <v>0</v>
      </c>
      <c r="FO7" s="270">
        <v>49363679</v>
      </c>
      <c r="FP7" s="270">
        <v>34163679</v>
      </c>
      <c r="FQ7" s="270">
        <f t="shared" si="43"/>
        <v>0</v>
      </c>
      <c r="FR7" s="270">
        <f>FO7/$FQ$1*$FR$1</f>
        <v>49363.678999999996</v>
      </c>
      <c r="FS7" s="270">
        <f t="shared" si="5"/>
        <v>34163.678999999996</v>
      </c>
      <c r="FU7" s="210" t="s">
        <v>414</v>
      </c>
      <c r="FV7" s="210" t="s">
        <v>297</v>
      </c>
      <c r="FW7" s="210" t="s">
        <v>415</v>
      </c>
      <c r="FX7" s="210" t="s">
        <v>317</v>
      </c>
      <c r="FY7" s="211">
        <v>490132325</v>
      </c>
      <c r="FZ7" s="211">
        <f t="shared" si="44"/>
        <v>490132.32500000001</v>
      </c>
      <c r="GB7" s="199" t="s">
        <v>411</v>
      </c>
      <c r="GC7" s="199" t="s">
        <v>433</v>
      </c>
      <c r="GD7" s="199" t="s">
        <v>434</v>
      </c>
      <c r="GE7" s="199" t="s">
        <v>435</v>
      </c>
      <c r="GF7" s="270">
        <v>0</v>
      </c>
      <c r="GG7" s="270">
        <v>50000000</v>
      </c>
      <c r="GH7" s="270">
        <v>0</v>
      </c>
      <c r="GI7" s="270">
        <f t="shared" si="45"/>
        <v>0</v>
      </c>
      <c r="GJ7" s="270">
        <f t="shared" si="46"/>
        <v>50000</v>
      </c>
      <c r="GK7" s="270">
        <f t="shared" si="47"/>
        <v>0</v>
      </c>
      <c r="GM7" s="210" t="s">
        <v>414</v>
      </c>
      <c r="GN7" s="212" t="s">
        <v>297</v>
      </c>
      <c r="GO7" s="210" t="s">
        <v>417</v>
      </c>
      <c r="GP7" s="210" t="s">
        <v>318</v>
      </c>
      <c r="GQ7" s="211">
        <v>2159010</v>
      </c>
      <c r="GR7" s="351">
        <f t="shared" si="48"/>
        <v>2159.0100000000002</v>
      </c>
      <c r="GT7" s="199" t="s">
        <v>411</v>
      </c>
      <c r="GU7" s="199" t="s">
        <v>433</v>
      </c>
      <c r="GV7" s="199" t="s">
        <v>436</v>
      </c>
      <c r="GW7" s="199" t="s">
        <v>265</v>
      </c>
      <c r="GX7" s="351">
        <v>0</v>
      </c>
      <c r="GY7" s="351">
        <v>1158750000</v>
      </c>
      <c r="GZ7" s="351">
        <v>1158750000</v>
      </c>
      <c r="HA7" s="225">
        <f t="shared" si="49"/>
        <v>0</v>
      </c>
      <c r="HB7" s="225">
        <f t="shared" si="50"/>
        <v>1158750</v>
      </c>
      <c r="HC7" s="225">
        <f t="shared" si="51"/>
        <v>1158750</v>
      </c>
    </row>
    <row r="8" spans="1:211" ht="15" customHeight="1" x14ac:dyDescent="0.2">
      <c r="A8" s="770" t="s">
        <v>411</v>
      </c>
      <c r="B8" s="210" t="s">
        <v>433</v>
      </c>
      <c r="C8" s="210" t="s">
        <v>636</v>
      </c>
      <c r="D8" s="210" t="s">
        <v>637</v>
      </c>
      <c r="E8" s="211">
        <v>0</v>
      </c>
      <c r="F8" s="211">
        <v>23310000</v>
      </c>
      <c r="G8" s="211">
        <v>0</v>
      </c>
      <c r="H8" s="269">
        <f t="shared" si="8"/>
        <v>0</v>
      </c>
      <c r="I8" s="269">
        <f t="shared" si="9"/>
        <v>24289.02</v>
      </c>
      <c r="J8" s="269">
        <f t="shared" si="10"/>
        <v>0</v>
      </c>
      <c r="L8" s="771" t="s">
        <v>418</v>
      </c>
      <c r="M8" s="772" t="s">
        <v>323</v>
      </c>
      <c r="N8" s="771" t="s">
        <v>439</v>
      </c>
      <c r="O8" s="772" t="s">
        <v>590</v>
      </c>
      <c r="P8" s="259">
        <v>65000000</v>
      </c>
      <c r="Q8" s="259">
        <f t="shared" si="11"/>
        <v>67730</v>
      </c>
      <c r="S8" s="210" t="s">
        <v>411</v>
      </c>
      <c r="T8" s="212" t="s">
        <v>433</v>
      </c>
      <c r="U8" s="210" t="s">
        <v>426</v>
      </c>
      <c r="V8" s="212" t="s">
        <v>426</v>
      </c>
      <c r="W8" s="211">
        <v>0</v>
      </c>
      <c r="X8" s="211">
        <v>0</v>
      </c>
      <c r="Y8" s="211">
        <v>0</v>
      </c>
      <c r="Z8" s="259">
        <f t="shared" si="12"/>
        <v>0</v>
      </c>
      <c r="AA8" s="259">
        <f t="shared" si="13"/>
        <v>0</v>
      </c>
      <c r="AB8" s="259">
        <f t="shared" si="14"/>
        <v>0</v>
      </c>
      <c r="AD8" s="210" t="s">
        <v>414</v>
      </c>
      <c r="AE8" s="210" t="s">
        <v>297</v>
      </c>
      <c r="AF8" s="210" t="s">
        <v>438</v>
      </c>
      <c r="AG8" s="212" t="s">
        <v>320</v>
      </c>
      <c r="AH8" s="211">
        <v>232050</v>
      </c>
      <c r="AI8" s="211">
        <f t="shared" si="15"/>
        <v>241.79610000000002</v>
      </c>
      <c r="AK8" s="210" t="s">
        <v>411</v>
      </c>
      <c r="AL8" s="210" t="s">
        <v>433</v>
      </c>
      <c r="AM8" s="210" t="s">
        <v>636</v>
      </c>
      <c r="AN8" s="210" t="s">
        <v>637</v>
      </c>
      <c r="AO8" s="211">
        <v>0</v>
      </c>
      <c r="AP8" s="211">
        <v>23310000</v>
      </c>
      <c r="AQ8" s="211">
        <v>6660000</v>
      </c>
      <c r="AR8" s="211">
        <f t="shared" si="16"/>
        <v>0</v>
      </c>
      <c r="AS8" s="211">
        <f t="shared" si="17"/>
        <v>24289.02</v>
      </c>
      <c r="AT8" s="211">
        <f t="shared" si="18"/>
        <v>6939.72</v>
      </c>
      <c r="AV8" s="210" t="s">
        <v>414</v>
      </c>
      <c r="AW8" s="210" t="s">
        <v>297</v>
      </c>
      <c r="AX8" s="210" t="s">
        <v>438</v>
      </c>
      <c r="AY8" s="210" t="s">
        <v>320</v>
      </c>
      <c r="AZ8" s="211">
        <v>1079187</v>
      </c>
      <c r="BA8" s="270">
        <f t="shared" si="19"/>
        <v>1124.5128539999998</v>
      </c>
      <c r="BC8" s="210" t="s">
        <v>411</v>
      </c>
      <c r="BD8" s="210" t="s">
        <v>433</v>
      </c>
      <c r="BE8" s="210" t="s">
        <v>426</v>
      </c>
      <c r="BF8" s="210" t="s">
        <v>426</v>
      </c>
      <c r="BG8" s="211">
        <v>0</v>
      </c>
      <c r="BH8" s="211">
        <v>0</v>
      </c>
      <c r="BI8" s="211">
        <v>0</v>
      </c>
      <c r="BJ8" s="270">
        <f t="shared" si="20"/>
        <v>0</v>
      </c>
      <c r="BK8" s="270">
        <f t="shared" si="21"/>
        <v>0</v>
      </c>
      <c r="BL8" s="270">
        <f t="shared" si="22"/>
        <v>0</v>
      </c>
      <c r="BN8" s="210" t="s">
        <v>414</v>
      </c>
      <c r="BO8" s="210" t="s">
        <v>297</v>
      </c>
      <c r="BP8" s="210" t="s">
        <v>415</v>
      </c>
      <c r="BQ8" s="210" t="s">
        <v>317</v>
      </c>
      <c r="BR8" s="211">
        <v>488757400</v>
      </c>
      <c r="BS8" s="211">
        <f t="shared" si="23"/>
        <v>509285.21080000006</v>
      </c>
      <c r="BU8" s="210" t="s">
        <v>411</v>
      </c>
      <c r="BV8" s="210" t="s">
        <v>433</v>
      </c>
      <c r="BW8" s="210" t="s">
        <v>636</v>
      </c>
      <c r="BX8" s="210" t="s">
        <v>637</v>
      </c>
      <c r="BY8" s="211">
        <v>0</v>
      </c>
      <c r="BZ8" s="211">
        <v>28799456</v>
      </c>
      <c r="CA8" s="211">
        <v>13320000</v>
      </c>
      <c r="CB8" s="211">
        <f t="shared" si="24"/>
        <v>0</v>
      </c>
      <c r="CC8" s="211">
        <f t="shared" si="25"/>
        <v>30009.033152</v>
      </c>
      <c r="CD8" s="211">
        <f t="shared" si="26"/>
        <v>13879.44</v>
      </c>
      <c r="CF8" s="210" t="s">
        <v>418</v>
      </c>
      <c r="CG8" s="210" t="s">
        <v>323</v>
      </c>
      <c r="CH8" s="210" t="s">
        <v>586</v>
      </c>
      <c r="CI8" s="210" t="s">
        <v>587</v>
      </c>
      <c r="CJ8" s="211">
        <v>780000</v>
      </c>
      <c r="CK8" s="211">
        <f t="shared" si="27"/>
        <v>812.76</v>
      </c>
      <c r="CM8" s="210" t="s">
        <v>411</v>
      </c>
      <c r="CN8" s="210" t="s">
        <v>433</v>
      </c>
      <c r="CO8" s="210" t="s">
        <v>636</v>
      </c>
      <c r="CP8" s="210" t="s">
        <v>637</v>
      </c>
      <c r="CQ8" s="211">
        <v>0</v>
      </c>
      <c r="CR8" s="211">
        <v>28799456</v>
      </c>
      <c r="CS8" s="211">
        <v>16650000</v>
      </c>
      <c r="CT8" s="211">
        <f t="shared" si="28"/>
        <v>0</v>
      </c>
      <c r="CU8" s="211">
        <f t="shared" si="29"/>
        <v>30009.033152</v>
      </c>
      <c r="CV8" s="211">
        <f t="shared" si="30"/>
        <v>17349.3</v>
      </c>
      <c r="CX8" s="210" t="s">
        <v>418</v>
      </c>
      <c r="CY8" s="212" t="s">
        <v>323</v>
      </c>
      <c r="CZ8" s="210" t="s">
        <v>473</v>
      </c>
      <c r="DA8" s="212" t="s">
        <v>589</v>
      </c>
      <c r="DB8" s="211">
        <v>26870676</v>
      </c>
      <c r="DC8" s="261">
        <f t="shared" si="31"/>
        <v>27999.244392000001</v>
      </c>
      <c r="DE8" s="210" t="s">
        <v>411</v>
      </c>
      <c r="DF8" s="212" t="s">
        <v>433</v>
      </c>
      <c r="DG8" s="210" t="s">
        <v>436</v>
      </c>
      <c r="DH8" s="212" t="s">
        <v>265</v>
      </c>
      <c r="DI8" s="211">
        <v>0</v>
      </c>
      <c r="DJ8" s="211">
        <v>1004277500</v>
      </c>
      <c r="DK8" s="211">
        <v>448239375</v>
      </c>
      <c r="DL8" s="269">
        <f t="shared" si="32"/>
        <v>0</v>
      </c>
      <c r="DM8" s="269">
        <f t="shared" si="33"/>
        <v>1046457.155</v>
      </c>
      <c r="DN8" s="269">
        <f t="shared" si="34"/>
        <v>467065.42875000002</v>
      </c>
      <c r="DP8" s="210" t="s">
        <v>418</v>
      </c>
      <c r="DQ8" s="212" t="s">
        <v>323</v>
      </c>
      <c r="DR8" s="210" t="s">
        <v>473</v>
      </c>
      <c r="DS8" s="212" t="s">
        <v>589</v>
      </c>
      <c r="DT8" s="211">
        <v>25528594</v>
      </c>
      <c r="DU8" s="270">
        <f t="shared" si="35"/>
        <v>26600.794948000002</v>
      </c>
      <c r="DW8" s="210" t="s">
        <v>411</v>
      </c>
      <c r="DX8" s="212" t="s">
        <v>433</v>
      </c>
      <c r="DY8" s="210" t="s">
        <v>436</v>
      </c>
      <c r="DZ8" s="212" t="s">
        <v>265</v>
      </c>
      <c r="EA8" s="211">
        <v>0</v>
      </c>
      <c r="EB8" s="211">
        <v>1086727500</v>
      </c>
      <c r="EC8" s="211">
        <v>680801250</v>
      </c>
      <c r="ED8" s="211">
        <f t="shared" si="36"/>
        <v>0</v>
      </c>
      <c r="EE8" s="211">
        <f t="shared" si="37"/>
        <v>1132370.0549999999</v>
      </c>
      <c r="EF8" s="211">
        <f t="shared" si="38"/>
        <v>709394.90249999997</v>
      </c>
      <c r="EH8" s="210" t="s">
        <v>418</v>
      </c>
      <c r="EI8" s="212" t="s">
        <v>323</v>
      </c>
      <c r="EJ8" s="210" t="s">
        <v>464</v>
      </c>
      <c r="EK8" s="212" t="s">
        <v>588</v>
      </c>
      <c r="EL8" s="211">
        <v>50000000</v>
      </c>
      <c r="EM8" s="269">
        <f t="shared" si="39"/>
        <v>50000</v>
      </c>
      <c r="EP8" s="210" t="s">
        <v>411</v>
      </c>
      <c r="EQ8" s="212" t="s">
        <v>433</v>
      </c>
      <c r="ER8" s="210" t="s">
        <v>636</v>
      </c>
      <c r="ES8" s="210" t="s">
        <v>637</v>
      </c>
      <c r="ET8" s="211">
        <v>0</v>
      </c>
      <c r="EU8" s="211">
        <v>28799456</v>
      </c>
      <c r="EV8" s="211">
        <v>43999456</v>
      </c>
      <c r="EW8" s="274">
        <f t="shared" si="40"/>
        <v>0</v>
      </c>
      <c r="EX8" s="274">
        <f t="shared" si="41"/>
        <v>28799.455999999998</v>
      </c>
      <c r="EY8" s="274">
        <f t="shared" si="42"/>
        <v>43999.455999999998</v>
      </c>
      <c r="FA8" s="221" t="s">
        <v>418</v>
      </c>
      <c r="FB8" s="272" t="s">
        <v>323</v>
      </c>
      <c r="FC8" s="221" t="s">
        <v>439</v>
      </c>
      <c r="FD8" s="272" t="s">
        <v>590</v>
      </c>
      <c r="FE8" s="271">
        <v>0</v>
      </c>
      <c r="FF8" s="271">
        <v>0</v>
      </c>
      <c r="FG8" s="271">
        <v>45330000</v>
      </c>
      <c r="FH8" s="271">
        <f t="shared" si="4"/>
        <v>45330</v>
      </c>
      <c r="FJ8" s="221" t="s">
        <v>411</v>
      </c>
      <c r="FK8" s="221" t="s">
        <v>433</v>
      </c>
      <c r="FL8" s="221" t="s">
        <v>434</v>
      </c>
      <c r="FM8" s="221" t="s">
        <v>435</v>
      </c>
      <c r="FN8" s="270">
        <v>0</v>
      </c>
      <c r="FO8" s="270">
        <v>50000000</v>
      </c>
      <c r="FP8" s="270">
        <v>0</v>
      </c>
      <c r="FQ8" s="270">
        <f t="shared" si="43"/>
        <v>0</v>
      </c>
      <c r="FR8" s="270">
        <f t="shared" si="5"/>
        <v>50000</v>
      </c>
      <c r="FS8" s="270">
        <f t="shared" si="5"/>
        <v>0</v>
      </c>
      <c r="FU8" s="210" t="s">
        <v>418</v>
      </c>
      <c r="FV8" s="210" t="s">
        <v>323</v>
      </c>
      <c r="FW8" s="210" t="s">
        <v>439</v>
      </c>
      <c r="FX8" s="210" t="s">
        <v>590</v>
      </c>
      <c r="FY8" s="211">
        <v>25110000</v>
      </c>
      <c r="FZ8" s="211">
        <f t="shared" si="44"/>
        <v>25110</v>
      </c>
      <c r="GB8" s="199" t="s">
        <v>411</v>
      </c>
      <c r="GC8" s="199" t="s">
        <v>433</v>
      </c>
      <c r="GD8" s="199" t="s">
        <v>436</v>
      </c>
      <c r="GE8" s="199" t="s">
        <v>265</v>
      </c>
      <c r="GF8" s="270">
        <v>0</v>
      </c>
      <c r="GG8" s="270">
        <v>1158750000</v>
      </c>
      <c r="GH8" s="270">
        <v>845775000</v>
      </c>
      <c r="GI8" s="270">
        <f t="shared" si="45"/>
        <v>0</v>
      </c>
      <c r="GJ8" s="270">
        <f t="shared" si="46"/>
        <v>1158750</v>
      </c>
      <c r="GK8" s="270">
        <f t="shared" si="47"/>
        <v>845775</v>
      </c>
      <c r="GM8" s="210" t="s">
        <v>414</v>
      </c>
      <c r="GN8" s="212" t="s">
        <v>297</v>
      </c>
      <c r="GO8" s="210" t="s">
        <v>438</v>
      </c>
      <c r="GP8" s="210" t="s">
        <v>320</v>
      </c>
      <c r="GQ8" s="211">
        <v>2117010</v>
      </c>
      <c r="GR8" s="351">
        <f t="shared" si="48"/>
        <v>2117.0100000000002</v>
      </c>
      <c r="GT8" s="199" t="s">
        <v>411</v>
      </c>
      <c r="GU8" s="199" t="s">
        <v>433</v>
      </c>
      <c r="GV8" s="199" t="s">
        <v>434</v>
      </c>
      <c r="GW8" s="199" t="s">
        <v>435</v>
      </c>
      <c r="GX8" s="351">
        <v>0</v>
      </c>
      <c r="GY8" s="351">
        <v>45000000</v>
      </c>
      <c r="GZ8" s="351">
        <v>45000000</v>
      </c>
      <c r="HA8" s="225">
        <f t="shared" si="49"/>
        <v>0</v>
      </c>
      <c r="HB8" s="225">
        <f t="shared" si="50"/>
        <v>45000</v>
      </c>
      <c r="HC8" s="225">
        <f t="shared" si="51"/>
        <v>45000</v>
      </c>
    </row>
    <row r="9" spans="1:211" ht="15" customHeight="1" x14ac:dyDescent="0.2">
      <c r="A9" s="770" t="s">
        <v>411</v>
      </c>
      <c r="B9" s="210" t="s">
        <v>433</v>
      </c>
      <c r="C9" s="210" t="s">
        <v>436</v>
      </c>
      <c r="D9" s="210" t="s">
        <v>265</v>
      </c>
      <c r="E9" s="211">
        <v>0</v>
      </c>
      <c r="F9" s="211">
        <v>859712500</v>
      </c>
      <c r="G9" s="211">
        <v>102150000</v>
      </c>
      <c r="H9" s="269">
        <f t="shared" si="8"/>
        <v>0</v>
      </c>
      <c r="I9" s="269">
        <f t="shared" si="9"/>
        <v>895820.42500000005</v>
      </c>
      <c r="J9" s="269">
        <f t="shared" si="10"/>
        <v>106440.3</v>
      </c>
      <c r="L9" s="771" t="s">
        <v>440</v>
      </c>
      <c r="M9" s="772" t="s">
        <v>441</v>
      </c>
      <c r="N9" s="771" t="s">
        <v>426</v>
      </c>
      <c r="O9" s="772" t="s">
        <v>426</v>
      </c>
      <c r="P9" s="259">
        <v>134929304</v>
      </c>
      <c r="Q9" s="259">
        <f t="shared" si="11"/>
        <v>140596.334768</v>
      </c>
      <c r="S9" s="210" t="s">
        <v>411</v>
      </c>
      <c r="T9" s="212" t="s">
        <v>433</v>
      </c>
      <c r="U9" s="210" t="s">
        <v>436</v>
      </c>
      <c r="V9" s="212" t="s">
        <v>265</v>
      </c>
      <c r="W9" s="211">
        <v>0</v>
      </c>
      <c r="X9" s="211">
        <v>939712500</v>
      </c>
      <c r="Y9" s="211">
        <v>178915991</v>
      </c>
      <c r="Z9" s="259">
        <f t="shared" si="12"/>
        <v>0</v>
      </c>
      <c r="AA9" s="259">
        <f t="shared" si="13"/>
        <v>979180.42500000005</v>
      </c>
      <c r="AB9" s="259">
        <f t="shared" si="14"/>
        <v>186430.46262200002</v>
      </c>
      <c r="AD9" s="210" t="s">
        <v>418</v>
      </c>
      <c r="AE9" s="210" t="s">
        <v>323</v>
      </c>
      <c r="AF9" s="210" t="s">
        <v>439</v>
      </c>
      <c r="AG9" s="212" t="s">
        <v>590</v>
      </c>
      <c r="AH9" s="211">
        <v>10000000</v>
      </c>
      <c r="AI9" s="211">
        <f t="shared" si="15"/>
        <v>10420</v>
      </c>
      <c r="AK9" s="210" t="s">
        <v>411</v>
      </c>
      <c r="AL9" s="210" t="s">
        <v>433</v>
      </c>
      <c r="AM9" s="210" t="s">
        <v>436</v>
      </c>
      <c r="AN9" s="210" t="s">
        <v>265</v>
      </c>
      <c r="AO9" s="211">
        <v>0</v>
      </c>
      <c r="AP9" s="211">
        <v>954277500</v>
      </c>
      <c r="AQ9" s="211">
        <v>316724375</v>
      </c>
      <c r="AR9" s="211">
        <f t="shared" si="16"/>
        <v>0</v>
      </c>
      <c r="AS9" s="211">
        <f t="shared" si="17"/>
        <v>994357.15500000003</v>
      </c>
      <c r="AT9" s="211">
        <f t="shared" si="18"/>
        <v>330026.79875000002</v>
      </c>
      <c r="AV9" s="210" t="s">
        <v>418</v>
      </c>
      <c r="AW9" s="210" t="s">
        <v>323</v>
      </c>
      <c r="AX9" s="210" t="s">
        <v>464</v>
      </c>
      <c r="AY9" s="210" t="s">
        <v>588</v>
      </c>
      <c r="AZ9" s="211">
        <v>340000000</v>
      </c>
      <c r="BA9" s="270">
        <f t="shared" si="19"/>
        <v>354280</v>
      </c>
      <c r="BC9" s="210" t="s">
        <v>411</v>
      </c>
      <c r="BD9" s="210" t="s">
        <v>433</v>
      </c>
      <c r="BE9" s="210" t="s">
        <v>636</v>
      </c>
      <c r="BF9" s="210" t="s">
        <v>637</v>
      </c>
      <c r="BG9" s="211">
        <v>0</v>
      </c>
      <c r="BH9" s="211">
        <v>23310000</v>
      </c>
      <c r="BI9" s="211">
        <v>9990000</v>
      </c>
      <c r="BJ9" s="270">
        <f t="shared" si="20"/>
        <v>0</v>
      </c>
      <c r="BK9" s="270">
        <f t="shared" si="21"/>
        <v>24289.02</v>
      </c>
      <c r="BL9" s="270">
        <f t="shared" si="22"/>
        <v>10409.58</v>
      </c>
      <c r="BN9" s="210" t="s">
        <v>418</v>
      </c>
      <c r="BO9" s="210" t="s">
        <v>323</v>
      </c>
      <c r="BP9" s="210" t="s">
        <v>419</v>
      </c>
      <c r="BQ9" s="210" t="s">
        <v>467</v>
      </c>
      <c r="BR9" s="211">
        <v>111963700</v>
      </c>
      <c r="BS9" s="211">
        <f t="shared" si="23"/>
        <v>116666.17540000001</v>
      </c>
      <c r="BU9" s="210" t="s">
        <v>411</v>
      </c>
      <c r="BV9" s="210" t="s">
        <v>433</v>
      </c>
      <c r="BW9" s="210" t="s">
        <v>426</v>
      </c>
      <c r="BX9" s="210" t="s">
        <v>426</v>
      </c>
      <c r="BY9" s="211">
        <v>0</v>
      </c>
      <c r="BZ9" s="211">
        <v>0</v>
      </c>
      <c r="CA9" s="211">
        <v>0</v>
      </c>
      <c r="CB9" s="211">
        <f t="shared" si="24"/>
        <v>0</v>
      </c>
      <c r="CC9" s="211">
        <f t="shared" si="25"/>
        <v>0</v>
      </c>
      <c r="CD9" s="211">
        <f t="shared" si="26"/>
        <v>0</v>
      </c>
      <c r="CF9" s="210" t="s">
        <v>418</v>
      </c>
      <c r="CG9" s="210" t="s">
        <v>323</v>
      </c>
      <c r="CH9" s="210" t="s">
        <v>473</v>
      </c>
      <c r="CI9" s="210" t="s">
        <v>589</v>
      </c>
      <c r="CJ9" s="211">
        <v>28980487</v>
      </c>
      <c r="CK9" s="211">
        <f t="shared" si="27"/>
        <v>30197.667454000002</v>
      </c>
      <c r="CM9" s="210" t="s">
        <v>411</v>
      </c>
      <c r="CN9" s="210" t="s">
        <v>433</v>
      </c>
      <c r="CO9" s="210" t="s">
        <v>426</v>
      </c>
      <c r="CP9" s="210" t="s">
        <v>426</v>
      </c>
      <c r="CQ9" s="211">
        <v>0</v>
      </c>
      <c r="CR9" s="211">
        <v>0</v>
      </c>
      <c r="CS9" s="211">
        <v>0</v>
      </c>
      <c r="CT9" s="211">
        <f t="shared" si="28"/>
        <v>0</v>
      </c>
      <c r="CU9" s="211">
        <f t="shared" si="29"/>
        <v>0</v>
      </c>
      <c r="CV9" s="211">
        <f t="shared" si="30"/>
        <v>0</v>
      </c>
      <c r="CX9" s="210" t="s">
        <v>440</v>
      </c>
      <c r="CY9" s="212" t="s">
        <v>441</v>
      </c>
      <c r="CZ9" s="210" t="s">
        <v>426</v>
      </c>
      <c r="DA9" s="212" t="s">
        <v>426</v>
      </c>
      <c r="DB9" s="211">
        <v>38789558</v>
      </c>
      <c r="DC9" s="261">
        <f t="shared" si="31"/>
        <v>40418.719435999999</v>
      </c>
      <c r="DE9" s="210" t="s">
        <v>411</v>
      </c>
      <c r="DF9" s="212" t="s">
        <v>433</v>
      </c>
      <c r="DG9" s="210" t="s">
        <v>426</v>
      </c>
      <c r="DH9" s="212" t="s">
        <v>426</v>
      </c>
      <c r="DI9" s="211">
        <v>0</v>
      </c>
      <c r="DJ9" s="211">
        <v>0</v>
      </c>
      <c r="DK9" s="211">
        <v>0</v>
      </c>
      <c r="DL9" s="269">
        <f t="shared" si="32"/>
        <v>0</v>
      </c>
      <c r="DM9" s="269">
        <f t="shared" si="33"/>
        <v>0</v>
      </c>
      <c r="DN9" s="269">
        <f t="shared" si="34"/>
        <v>0</v>
      </c>
      <c r="DP9" s="210" t="s">
        <v>440</v>
      </c>
      <c r="DQ9" s="212" t="s">
        <v>441</v>
      </c>
      <c r="DR9" s="210" t="s">
        <v>426</v>
      </c>
      <c r="DS9" s="212" t="s">
        <v>426</v>
      </c>
      <c r="DT9" s="211">
        <v>19394779</v>
      </c>
      <c r="DU9" s="270">
        <f t="shared" si="35"/>
        <v>20209.359718</v>
      </c>
      <c r="DW9" s="210" t="s">
        <v>411</v>
      </c>
      <c r="DX9" s="212" t="s">
        <v>433</v>
      </c>
      <c r="DY9" s="210" t="s">
        <v>636</v>
      </c>
      <c r="DZ9" s="212" t="s">
        <v>637</v>
      </c>
      <c r="EA9" s="211">
        <v>0</v>
      </c>
      <c r="EB9" s="211">
        <v>43999456</v>
      </c>
      <c r="EC9" s="211">
        <v>25469456</v>
      </c>
      <c r="ED9" s="211">
        <f t="shared" si="36"/>
        <v>0</v>
      </c>
      <c r="EE9" s="211">
        <f t="shared" si="37"/>
        <v>45847.433151999998</v>
      </c>
      <c r="EF9" s="211">
        <f t="shared" si="38"/>
        <v>26539.173151999999</v>
      </c>
      <c r="EH9" s="210" t="s">
        <v>418</v>
      </c>
      <c r="EI9" s="212" t="s">
        <v>323</v>
      </c>
      <c r="EJ9" s="210" t="s">
        <v>439</v>
      </c>
      <c r="EK9" s="212" t="s">
        <v>590</v>
      </c>
      <c r="EL9" s="211">
        <v>11214000</v>
      </c>
      <c r="EM9" s="269">
        <f t="shared" si="39"/>
        <v>11214</v>
      </c>
      <c r="EP9" s="210" t="s">
        <v>411</v>
      </c>
      <c r="EQ9" s="212" t="s">
        <v>433</v>
      </c>
      <c r="ER9" s="210" t="s">
        <v>434</v>
      </c>
      <c r="ES9" s="210" t="s">
        <v>435</v>
      </c>
      <c r="ET9" s="211">
        <v>0</v>
      </c>
      <c r="EU9" s="211">
        <v>0</v>
      </c>
      <c r="EV9" s="211">
        <v>50000000</v>
      </c>
      <c r="EW9" s="274">
        <f t="shared" si="40"/>
        <v>0</v>
      </c>
      <c r="EX9" s="274">
        <f t="shared" si="41"/>
        <v>0</v>
      </c>
      <c r="EY9" s="274">
        <f t="shared" si="42"/>
        <v>50000</v>
      </c>
      <c r="FA9" s="221" t="s">
        <v>440</v>
      </c>
      <c r="FB9" s="272" t="s">
        <v>441</v>
      </c>
      <c r="FC9" s="221" t="s">
        <v>426</v>
      </c>
      <c r="FD9" s="272" t="s">
        <v>426</v>
      </c>
      <c r="FE9" s="271">
        <v>0</v>
      </c>
      <c r="FF9" s="271">
        <v>0</v>
      </c>
      <c r="FG9" s="271">
        <v>19394779</v>
      </c>
      <c r="FH9" s="271">
        <f t="shared" si="4"/>
        <v>19394.778999999999</v>
      </c>
      <c r="FJ9" s="221" t="s">
        <v>411</v>
      </c>
      <c r="FK9" s="221" t="s">
        <v>433</v>
      </c>
      <c r="FL9" s="221" t="s">
        <v>436</v>
      </c>
      <c r="FM9" s="221" t="s">
        <v>265</v>
      </c>
      <c r="FN9" s="270">
        <v>0</v>
      </c>
      <c r="FO9" s="270">
        <v>1158750000</v>
      </c>
      <c r="FP9" s="270">
        <v>758013750</v>
      </c>
      <c r="FQ9" s="270">
        <f t="shared" si="43"/>
        <v>0</v>
      </c>
      <c r="FR9" s="270">
        <f t="shared" si="5"/>
        <v>1158750</v>
      </c>
      <c r="FS9" s="270">
        <f t="shared" si="5"/>
        <v>758013.75</v>
      </c>
      <c r="FU9" s="210" t="s">
        <v>418</v>
      </c>
      <c r="FV9" s="210" t="s">
        <v>323</v>
      </c>
      <c r="FW9" s="210" t="s">
        <v>464</v>
      </c>
      <c r="FX9" s="210" t="s">
        <v>588</v>
      </c>
      <c r="FY9" s="211">
        <v>140000000</v>
      </c>
      <c r="FZ9" s="211">
        <f t="shared" si="44"/>
        <v>140000</v>
      </c>
      <c r="GB9" s="199" t="s">
        <v>411</v>
      </c>
      <c r="GC9" s="199" t="s">
        <v>433</v>
      </c>
      <c r="GD9" s="199" t="s">
        <v>426</v>
      </c>
      <c r="GE9" s="199" t="s">
        <v>426</v>
      </c>
      <c r="GF9" s="270">
        <v>0</v>
      </c>
      <c r="GG9" s="270">
        <v>0</v>
      </c>
      <c r="GH9" s="270">
        <v>0</v>
      </c>
      <c r="GI9" s="270">
        <f t="shared" si="45"/>
        <v>0</v>
      </c>
      <c r="GJ9" s="270">
        <f t="shared" si="46"/>
        <v>0</v>
      </c>
      <c r="GK9" s="270">
        <f t="shared" si="47"/>
        <v>0</v>
      </c>
      <c r="GM9" s="210" t="s">
        <v>414</v>
      </c>
      <c r="GN9" s="212" t="s">
        <v>297</v>
      </c>
      <c r="GO9" s="210" t="s">
        <v>415</v>
      </c>
      <c r="GP9" s="210" t="s">
        <v>317</v>
      </c>
      <c r="GQ9" s="211">
        <v>593034514</v>
      </c>
      <c r="GR9" s="351">
        <f t="shared" si="48"/>
        <v>593034.51399999997</v>
      </c>
      <c r="GT9" s="199" t="s">
        <v>411</v>
      </c>
      <c r="GU9" s="199" t="s">
        <v>433</v>
      </c>
      <c r="GV9" s="199" t="s">
        <v>636</v>
      </c>
      <c r="GW9" s="199" t="s">
        <v>637</v>
      </c>
      <c r="GX9" s="351">
        <v>0</v>
      </c>
      <c r="GY9" s="351">
        <v>51688405</v>
      </c>
      <c r="GZ9" s="351">
        <v>52997405</v>
      </c>
      <c r="HA9" s="225">
        <f t="shared" si="49"/>
        <v>0</v>
      </c>
      <c r="HB9" s="225">
        <f t="shared" si="50"/>
        <v>51688.404999999999</v>
      </c>
      <c r="HC9" s="225">
        <f t="shared" si="51"/>
        <v>52997.404999999999</v>
      </c>
    </row>
    <row r="10" spans="1:211" ht="15" customHeight="1" x14ac:dyDescent="0.2">
      <c r="A10" s="770" t="s">
        <v>414</v>
      </c>
      <c r="B10" s="210" t="s">
        <v>297</v>
      </c>
      <c r="C10" s="210" t="s">
        <v>415</v>
      </c>
      <c r="D10" s="210" t="s">
        <v>317</v>
      </c>
      <c r="E10" s="211">
        <v>1954009000</v>
      </c>
      <c r="F10" s="211">
        <v>0</v>
      </c>
      <c r="G10" s="211">
        <v>0</v>
      </c>
      <c r="H10" s="269">
        <f t="shared" si="8"/>
        <v>2036077.378</v>
      </c>
      <c r="I10" s="269">
        <f t="shared" si="9"/>
        <v>0</v>
      </c>
      <c r="J10" s="269">
        <f t="shared" si="10"/>
        <v>0</v>
      </c>
      <c r="L10" s="771" t="s">
        <v>442</v>
      </c>
      <c r="M10" s="772" t="s">
        <v>443</v>
      </c>
      <c r="N10" s="771" t="s">
        <v>426</v>
      </c>
      <c r="O10" s="772" t="s">
        <v>426</v>
      </c>
      <c r="P10" s="259">
        <v>5550000</v>
      </c>
      <c r="Q10" s="259">
        <f t="shared" si="11"/>
        <v>5783.1</v>
      </c>
      <c r="S10" s="210" t="s">
        <v>414</v>
      </c>
      <c r="T10" s="212" t="s">
        <v>297</v>
      </c>
      <c r="U10" s="210" t="s">
        <v>415</v>
      </c>
      <c r="V10" s="212" t="s">
        <v>317</v>
      </c>
      <c r="W10" s="211">
        <v>1954009000</v>
      </c>
      <c r="X10" s="211">
        <v>0</v>
      </c>
      <c r="Y10" s="211">
        <v>0</v>
      </c>
      <c r="Z10" s="259">
        <f t="shared" si="12"/>
        <v>2036077.378</v>
      </c>
      <c r="AA10" s="259">
        <f t="shared" si="13"/>
        <v>0</v>
      </c>
      <c r="AB10" s="259">
        <f t="shared" si="14"/>
        <v>0</v>
      </c>
      <c r="AD10" s="210" t="s">
        <v>442</v>
      </c>
      <c r="AE10" s="210" t="s">
        <v>443</v>
      </c>
      <c r="AF10" s="210" t="s">
        <v>426</v>
      </c>
      <c r="AG10" s="212" t="s">
        <v>426</v>
      </c>
      <c r="AH10" s="211">
        <v>15943098</v>
      </c>
      <c r="AI10" s="211">
        <f t="shared" si="15"/>
        <v>16612.708116000002</v>
      </c>
      <c r="AK10" s="210" t="s">
        <v>414</v>
      </c>
      <c r="AL10" s="210" t="s">
        <v>297</v>
      </c>
      <c r="AM10" s="210" t="s">
        <v>415</v>
      </c>
      <c r="AN10" s="210" t="s">
        <v>317</v>
      </c>
      <c r="AO10" s="211">
        <v>1954009000</v>
      </c>
      <c r="AP10" s="211">
        <v>0</v>
      </c>
      <c r="AQ10" s="211">
        <v>0</v>
      </c>
      <c r="AR10" s="211">
        <f t="shared" si="16"/>
        <v>2036077.378</v>
      </c>
      <c r="AS10" s="211">
        <f t="shared" si="17"/>
        <v>0</v>
      </c>
      <c r="AT10" s="211">
        <f t="shared" si="18"/>
        <v>0</v>
      </c>
      <c r="AV10" s="210" t="s">
        <v>440</v>
      </c>
      <c r="AW10" s="210" t="s">
        <v>441</v>
      </c>
      <c r="AX10" s="210" t="s">
        <v>426</v>
      </c>
      <c r="AY10" s="210" t="s">
        <v>426</v>
      </c>
      <c r="AZ10" s="211">
        <v>58184337</v>
      </c>
      <c r="BA10" s="270">
        <f t="shared" si="19"/>
        <v>60628.079153999999</v>
      </c>
      <c r="BC10" s="210" t="s">
        <v>414</v>
      </c>
      <c r="BD10" s="210" t="s">
        <v>297</v>
      </c>
      <c r="BE10" s="210" t="s">
        <v>415</v>
      </c>
      <c r="BF10" s="210" t="s">
        <v>317</v>
      </c>
      <c r="BG10" s="211">
        <v>1954009000</v>
      </c>
      <c r="BH10" s="211">
        <v>0</v>
      </c>
      <c r="BI10" s="211">
        <v>0</v>
      </c>
      <c r="BJ10" s="270">
        <f t="shared" si="20"/>
        <v>2036077.378</v>
      </c>
      <c r="BK10" s="270">
        <f t="shared" si="21"/>
        <v>0</v>
      </c>
      <c r="BL10" s="270">
        <f t="shared" si="22"/>
        <v>0</v>
      </c>
      <c r="BN10" s="210" t="s">
        <v>418</v>
      </c>
      <c r="BO10" s="210" t="s">
        <v>323</v>
      </c>
      <c r="BP10" s="210" t="s">
        <v>439</v>
      </c>
      <c r="BQ10" s="210" t="s">
        <v>590</v>
      </c>
      <c r="BR10" s="211">
        <v>5000000</v>
      </c>
      <c r="BS10" s="211">
        <f t="shared" si="23"/>
        <v>5210</v>
      </c>
      <c r="BU10" s="210" t="s">
        <v>414</v>
      </c>
      <c r="BV10" s="210" t="s">
        <v>297</v>
      </c>
      <c r="BW10" s="210" t="s">
        <v>415</v>
      </c>
      <c r="BX10" s="210" t="s">
        <v>317</v>
      </c>
      <c r="BY10" s="211">
        <v>2204009000</v>
      </c>
      <c r="BZ10" s="211">
        <v>0</v>
      </c>
      <c r="CA10" s="211">
        <v>0</v>
      </c>
      <c r="CB10" s="211">
        <f t="shared" si="24"/>
        <v>2296577.378</v>
      </c>
      <c r="CC10" s="211">
        <f t="shared" si="25"/>
        <v>0</v>
      </c>
      <c r="CD10" s="211">
        <f t="shared" si="26"/>
        <v>0</v>
      </c>
      <c r="CF10" s="210" t="s">
        <v>442</v>
      </c>
      <c r="CG10" s="210" t="s">
        <v>443</v>
      </c>
      <c r="CH10" s="210" t="s">
        <v>426</v>
      </c>
      <c r="CI10" s="210" t="s">
        <v>426</v>
      </c>
      <c r="CJ10" s="211">
        <v>15413800</v>
      </c>
      <c r="CK10" s="211">
        <f t="shared" si="27"/>
        <v>16061.179599999999</v>
      </c>
      <c r="CM10" s="210" t="s">
        <v>414</v>
      </c>
      <c r="CN10" s="210" t="s">
        <v>297</v>
      </c>
      <c r="CO10" s="210" t="s">
        <v>415</v>
      </c>
      <c r="CP10" s="210" t="s">
        <v>317</v>
      </c>
      <c r="CQ10" s="211">
        <v>2204009000</v>
      </c>
      <c r="CR10" s="211">
        <v>0</v>
      </c>
      <c r="CS10" s="211">
        <v>0</v>
      </c>
      <c r="CT10" s="211">
        <f t="shared" si="28"/>
        <v>2296577.378</v>
      </c>
      <c r="CU10" s="211">
        <f t="shared" si="29"/>
        <v>0</v>
      </c>
      <c r="CV10" s="211">
        <f t="shared" si="30"/>
        <v>0</v>
      </c>
      <c r="CX10" s="210" t="s">
        <v>442</v>
      </c>
      <c r="CY10" s="212" t="s">
        <v>443</v>
      </c>
      <c r="CZ10" s="210" t="s">
        <v>426</v>
      </c>
      <c r="DA10" s="212" t="s">
        <v>426</v>
      </c>
      <c r="DB10" s="211">
        <v>29521712</v>
      </c>
      <c r="DC10" s="261">
        <f t="shared" si="31"/>
        <v>30761.623904</v>
      </c>
      <c r="DE10" s="210" t="s">
        <v>414</v>
      </c>
      <c r="DF10" s="212" t="s">
        <v>297</v>
      </c>
      <c r="DG10" s="210" t="s">
        <v>415</v>
      </c>
      <c r="DH10" s="212" t="s">
        <v>317</v>
      </c>
      <c r="DI10" s="211">
        <v>2341009000</v>
      </c>
      <c r="DJ10" s="211">
        <v>0</v>
      </c>
      <c r="DK10" s="211">
        <v>0</v>
      </c>
      <c r="DL10" s="269">
        <f t="shared" si="32"/>
        <v>2439331.378</v>
      </c>
      <c r="DM10" s="269">
        <f t="shared" si="33"/>
        <v>0</v>
      </c>
      <c r="DN10" s="269">
        <f t="shared" si="34"/>
        <v>0</v>
      </c>
      <c r="DP10" s="210" t="s">
        <v>442</v>
      </c>
      <c r="DQ10" s="212" t="s">
        <v>443</v>
      </c>
      <c r="DR10" s="210" t="s">
        <v>426</v>
      </c>
      <c r="DS10" s="212" t="s">
        <v>426</v>
      </c>
      <c r="DT10" s="211">
        <v>13195513</v>
      </c>
      <c r="DU10" s="270">
        <f t="shared" si="35"/>
        <v>13749.724546000001</v>
      </c>
      <c r="DW10" s="210" t="s">
        <v>411</v>
      </c>
      <c r="DX10" s="212" t="s">
        <v>433</v>
      </c>
      <c r="DY10" s="210" t="s">
        <v>434</v>
      </c>
      <c r="DZ10" s="212" t="s">
        <v>435</v>
      </c>
      <c r="EA10" s="211">
        <v>0</v>
      </c>
      <c r="EB10" s="211">
        <v>50000000</v>
      </c>
      <c r="EC10" s="211">
        <v>0</v>
      </c>
      <c r="ED10" s="211">
        <f t="shared" si="36"/>
        <v>0</v>
      </c>
      <c r="EE10" s="211">
        <f t="shared" si="37"/>
        <v>52100</v>
      </c>
      <c r="EF10" s="211">
        <f t="shared" si="38"/>
        <v>0</v>
      </c>
      <c r="EH10" s="210" t="s">
        <v>442</v>
      </c>
      <c r="EI10" s="212" t="s">
        <v>443</v>
      </c>
      <c r="EJ10" s="210" t="s">
        <v>426</v>
      </c>
      <c r="EK10" s="212" t="s">
        <v>426</v>
      </c>
      <c r="EL10" s="211">
        <v>15601513</v>
      </c>
      <c r="EM10" s="269">
        <f t="shared" si="39"/>
        <v>15601.513000000001</v>
      </c>
      <c r="EP10" s="210" t="s">
        <v>411</v>
      </c>
      <c r="EQ10" s="212" t="s">
        <v>433</v>
      </c>
      <c r="ER10" s="210" t="s">
        <v>436</v>
      </c>
      <c r="ES10" s="210" t="s">
        <v>265</v>
      </c>
      <c r="ET10" s="211">
        <v>0</v>
      </c>
      <c r="EU10" s="211">
        <v>737013750</v>
      </c>
      <c r="EV10" s="211">
        <v>1086727500</v>
      </c>
      <c r="EW10" s="274">
        <f t="shared" si="40"/>
        <v>0</v>
      </c>
      <c r="EX10" s="274">
        <f t="shared" si="41"/>
        <v>737013.75</v>
      </c>
      <c r="EY10" s="274">
        <f t="shared" si="42"/>
        <v>1086727.5</v>
      </c>
      <c r="FA10" s="221" t="s">
        <v>442</v>
      </c>
      <c r="FB10" s="272" t="s">
        <v>443</v>
      </c>
      <c r="FC10" s="221" t="s">
        <v>426</v>
      </c>
      <c r="FD10" s="272" t="s">
        <v>426</v>
      </c>
      <c r="FE10" s="271">
        <v>0</v>
      </c>
      <c r="FF10" s="271">
        <v>0</v>
      </c>
      <c r="FG10" s="271">
        <v>29381177</v>
      </c>
      <c r="FH10" s="271">
        <f t="shared" si="4"/>
        <v>29381.177</v>
      </c>
      <c r="FJ10" s="221" t="s">
        <v>411</v>
      </c>
      <c r="FK10" s="221" t="s">
        <v>433</v>
      </c>
      <c r="FL10" s="221" t="s">
        <v>426</v>
      </c>
      <c r="FM10" s="221" t="s">
        <v>426</v>
      </c>
      <c r="FN10" s="270">
        <v>0</v>
      </c>
      <c r="FO10" s="270">
        <v>0</v>
      </c>
      <c r="FP10" s="270">
        <v>0</v>
      </c>
      <c r="FQ10" s="270">
        <f t="shared" si="43"/>
        <v>0</v>
      </c>
      <c r="FR10" s="270">
        <f t="shared" si="5"/>
        <v>0</v>
      </c>
      <c r="FS10" s="270">
        <f t="shared" si="5"/>
        <v>0</v>
      </c>
      <c r="FU10" s="210" t="s">
        <v>440</v>
      </c>
      <c r="FV10" s="210" t="s">
        <v>441</v>
      </c>
      <c r="FW10" s="210" t="s">
        <v>426</v>
      </c>
      <c r="FX10" s="210" t="s">
        <v>426</v>
      </c>
      <c r="FY10" s="211">
        <v>19394779</v>
      </c>
      <c r="FZ10" s="211">
        <f t="shared" si="44"/>
        <v>19394.778999999999</v>
      </c>
      <c r="GB10" s="199" t="s">
        <v>411</v>
      </c>
      <c r="GC10" s="199" t="s">
        <v>433</v>
      </c>
      <c r="GD10" s="199" t="s">
        <v>412</v>
      </c>
      <c r="GE10" s="199" t="s">
        <v>413</v>
      </c>
      <c r="GF10" s="270">
        <v>0</v>
      </c>
      <c r="GG10" s="270">
        <v>234751472</v>
      </c>
      <c r="GH10" s="270">
        <v>0</v>
      </c>
      <c r="GI10" s="270">
        <f t="shared" si="45"/>
        <v>0</v>
      </c>
      <c r="GJ10" s="270">
        <f t="shared" si="46"/>
        <v>234751.47200000001</v>
      </c>
      <c r="GK10" s="270">
        <f t="shared" si="47"/>
        <v>0</v>
      </c>
      <c r="GM10" s="210" t="s">
        <v>414</v>
      </c>
      <c r="GN10" s="212" t="s">
        <v>297</v>
      </c>
      <c r="GO10" s="210" t="s">
        <v>416</v>
      </c>
      <c r="GP10" s="210" t="s">
        <v>327</v>
      </c>
      <c r="GQ10" s="211">
        <v>51263561</v>
      </c>
      <c r="GR10" s="351">
        <f t="shared" si="48"/>
        <v>51263.561000000002</v>
      </c>
      <c r="GT10" s="199" t="s">
        <v>411</v>
      </c>
      <c r="GU10" s="199" t="s">
        <v>433</v>
      </c>
      <c r="GV10" s="199" t="s">
        <v>412</v>
      </c>
      <c r="GW10" s="199" t="s">
        <v>413</v>
      </c>
      <c r="GX10" s="351">
        <v>0</v>
      </c>
      <c r="GY10" s="351">
        <v>234751472</v>
      </c>
      <c r="GZ10" s="351">
        <v>234751472</v>
      </c>
      <c r="HA10" s="225">
        <f t="shared" si="49"/>
        <v>0</v>
      </c>
      <c r="HB10" s="225">
        <f t="shared" si="50"/>
        <v>234751.47200000001</v>
      </c>
      <c r="HC10" s="225">
        <f t="shared" si="51"/>
        <v>234751.47200000001</v>
      </c>
    </row>
    <row r="11" spans="1:211" ht="15" customHeight="1" x14ac:dyDescent="0.2">
      <c r="A11" s="770" t="s">
        <v>414</v>
      </c>
      <c r="B11" s="210" t="s">
        <v>297</v>
      </c>
      <c r="C11" s="210" t="s">
        <v>416</v>
      </c>
      <c r="D11" s="210" t="s">
        <v>327</v>
      </c>
      <c r="E11" s="211">
        <v>583665000</v>
      </c>
      <c r="F11" s="211">
        <v>0</v>
      </c>
      <c r="G11" s="211">
        <v>0</v>
      </c>
      <c r="H11" s="269">
        <f t="shared" si="8"/>
        <v>608178.93000000005</v>
      </c>
      <c r="I11" s="269">
        <f t="shared" si="9"/>
        <v>0</v>
      </c>
      <c r="J11" s="269">
        <f t="shared" si="10"/>
        <v>0</v>
      </c>
      <c r="S11" s="210" t="s">
        <v>414</v>
      </c>
      <c r="T11" s="212" t="s">
        <v>297</v>
      </c>
      <c r="U11" s="210" t="s">
        <v>416</v>
      </c>
      <c r="V11" s="212" t="s">
        <v>327</v>
      </c>
      <c r="W11" s="211">
        <v>583665000</v>
      </c>
      <c r="X11" s="211">
        <v>0</v>
      </c>
      <c r="Y11" s="211">
        <v>0</v>
      </c>
      <c r="Z11" s="259">
        <f t="shared" si="12"/>
        <v>608178.93000000005</v>
      </c>
      <c r="AA11" s="259">
        <f t="shared" si="13"/>
        <v>0</v>
      </c>
      <c r="AB11" s="259">
        <f t="shared" si="14"/>
        <v>0</v>
      </c>
      <c r="AK11" s="210" t="s">
        <v>414</v>
      </c>
      <c r="AL11" s="210" t="s">
        <v>297</v>
      </c>
      <c r="AM11" s="210" t="s">
        <v>416</v>
      </c>
      <c r="AN11" s="210" t="s">
        <v>327</v>
      </c>
      <c r="AO11" s="211">
        <v>583665000</v>
      </c>
      <c r="AP11" s="211">
        <v>0</v>
      </c>
      <c r="AQ11" s="211">
        <v>0</v>
      </c>
      <c r="AR11" s="211">
        <f t="shared" si="16"/>
        <v>608178.93000000005</v>
      </c>
      <c r="AS11" s="211">
        <f t="shared" si="17"/>
        <v>0</v>
      </c>
      <c r="AT11" s="211">
        <f t="shared" si="18"/>
        <v>0</v>
      </c>
      <c r="AV11" s="210" t="s">
        <v>442</v>
      </c>
      <c r="AW11" s="210" t="s">
        <v>443</v>
      </c>
      <c r="AX11" s="210" t="s">
        <v>426</v>
      </c>
      <c r="AY11" s="210" t="s">
        <v>426</v>
      </c>
      <c r="AZ11" s="211">
        <v>20298443</v>
      </c>
      <c r="BA11" s="270">
        <f t="shared" si="19"/>
        <v>21150.977606</v>
      </c>
      <c r="BC11" s="210" t="s">
        <v>414</v>
      </c>
      <c r="BD11" s="210" t="s">
        <v>297</v>
      </c>
      <c r="BE11" s="210" t="s">
        <v>416</v>
      </c>
      <c r="BF11" s="210" t="s">
        <v>327</v>
      </c>
      <c r="BG11" s="211">
        <v>583665000</v>
      </c>
      <c r="BH11" s="211">
        <v>0</v>
      </c>
      <c r="BI11" s="211">
        <v>0</v>
      </c>
      <c r="BJ11" s="270">
        <f t="shared" si="20"/>
        <v>608178.93000000005</v>
      </c>
      <c r="BK11" s="270">
        <f t="shared" si="21"/>
        <v>0</v>
      </c>
      <c r="BL11" s="270">
        <f t="shared" si="22"/>
        <v>0</v>
      </c>
      <c r="BN11" s="210" t="s">
        <v>440</v>
      </c>
      <c r="BO11" s="210" t="s">
        <v>441</v>
      </c>
      <c r="BP11" s="210" t="s">
        <v>426</v>
      </c>
      <c r="BQ11" s="210" t="s">
        <v>426</v>
      </c>
      <c r="BR11" s="211">
        <v>46975503</v>
      </c>
      <c r="BS11" s="211">
        <f t="shared" si="23"/>
        <v>48948.474126000001</v>
      </c>
      <c r="BU11" s="210" t="s">
        <v>414</v>
      </c>
      <c r="BV11" s="210" t="s">
        <v>297</v>
      </c>
      <c r="BW11" s="210" t="s">
        <v>416</v>
      </c>
      <c r="BX11" s="210" t="s">
        <v>327</v>
      </c>
      <c r="BY11" s="211">
        <v>333665000</v>
      </c>
      <c r="BZ11" s="211">
        <v>0</v>
      </c>
      <c r="CA11" s="211">
        <v>0</v>
      </c>
      <c r="CB11" s="211">
        <f t="shared" si="24"/>
        <v>347678.93</v>
      </c>
      <c r="CC11" s="211">
        <f t="shared" si="25"/>
        <v>0</v>
      </c>
      <c r="CD11" s="211">
        <f t="shared" si="26"/>
        <v>0</v>
      </c>
      <c r="CF11" s="210" t="s">
        <v>501</v>
      </c>
      <c r="CG11" s="210" t="s">
        <v>504</v>
      </c>
      <c r="CH11" s="210" t="s">
        <v>426</v>
      </c>
      <c r="CI11" s="210" t="s">
        <v>426</v>
      </c>
      <c r="CJ11" s="211">
        <v>20991600</v>
      </c>
      <c r="CK11" s="211">
        <f t="shared" si="27"/>
        <v>21873.247199999998</v>
      </c>
      <c r="CM11" s="210" t="s">
        <v>414</v>
      </c>
      <c r="CN11" s="210" t="s">
        <v>297</v>
      </c>
      <c r="CO11" s="210" t="s">
        <v>416</v>
      </c>
      <c r="CP11" s="210" t="s">
        <v>327</v>
      </c>
      <c r="CQ11" s="211">
        <v>333665000</v>
      </c>
      <c r="CR11" s="211">
        <v>0</v>
      </c>
      <c r="CS11" s="211">
        <v>0</v>
      </c>
      <c r="CT11" s="211">
        <f t="shared" si="28"/>
        <v>347678.93</v>
      </c>
      <c r="CU11" s="211">
        <f t="shared" si="29"/>
        <v>0</v>
      </c>
      <c r="CV11" s="211">
        <f t="shared" si="30"/>
        <v>0</v>
      </c>
      <c r="CX11" s="210" t="s">
        <v>611</v>
      </c>
      <c r="CY11" s="212" t="s">
        <v>612</v>
      </c>
      <c r="CZ11" s="210" t="s">
        <v>426</v>
      </c>
      <c r="DA11" s="212" t="s">
        <v>426</v>
      </c>
      <c r="DB11" s="211">
        <v>2598749</v>
      </c>
      <c r="DC11" s="261">
        <f t="shared" si="31"/>
        <v>2707.8964579999997</v>
      </c>
      <c r="DE11" s="210" t="s">
        <v>414</v>
      </c>
      <c r="DF11" s="212" t="s">
        <v>297</v>
      </c>
      <c r="DG11" s="210" t="s">
        <v>416</v>
      </c>
      <c r="DH11" s="212" t="s">
        <v>327</v>
      </c>
      <c r="DI11" s="211">
        <v>216665000</v>
      </c>
      <c r="DJ11" s="211">
        <v>0</v>
      </c>
      <c r="DK11" s="211">
        <v>0</v>
      </c>
      <c r="DL11" s="269">
        <f t="shared" si="32"/>
        <v>225764.93000000002</v>
      </c>
      <c r="DM11" s="269">
        <f t="shared" si="33"/>
        <v>0</v>
      </c>
      <c r="DN11" s="269">
        <f t="shared" si="34"/>
        <v>0</v>
      </c>
      <c r="DP11" s="210" t="s">
        <v>501</v>
      </c>
      <c r="DQ11" s="212" t="s">
        <v>504</v>
      </c>
      <c r="DR11" s="210" t="s">
        <v>426</v>
      </c>
      <c r="DS11" s="212" t="s">
        <v>426</v>
      </c>
      <c r="DT11" s="211">
        <v>41983200</v>
      </c>
      <c r="DU11" s="270">
        <f t="shared" si="35"/>
        <v>43746.494399999996</v>
      </c>
      <c r="DW11" s="210" t="s">
        <v>414</v>
      </c>
      <c r="DX11" s="212" t="s">
        <v>297</v>
      </c>
      <c r="DY11" s="210" t="s">
        <v>415</v>
      </c>
      <c r="DZ11" s="212" t="s">
        <v>317</v>
      </c>
      <c r="EA11" s="211">
        <v>2341009000</v>
      </c>
      <c r="EB11" s="211">
        <v>0</v>
      </c>
      <c r="EC11" s="211">
        <v>0</v>
      </c>
      <c r="ED11" s="211">
        <f t="shared" si="36"/>
        <v>2439331.378</v>
      </c>
      <c r="EE11" s="211">
        <f t="shared" si="37"/>
        <v>0</v>
      </c>
      <c r="EF11" s="211">
        <f t="shared" si="38"/>
        <v>0</v>
      </c>
      <c r="EH11" s="210" t="s">
        <v>501</v>
      </c>
      <c r="EI11" s="212" t="s">
        <v>504</v>
      </c>
      <c r="EJ11" s="210" t="s">
        <v>426</v>
      </c>
      <c r="EK11" s="212" t="s">
        <v>426</v>
      </c>
      <c r="EL11" s="211">
        <v>20991600</v>
      </c>
      <c r="EM11" s="269">
        <f t="shared" si="39"/>
        <v>20991.599999999999</v>
      </c>
      <c r="EP11" s="210" t="s">
        <v>414</v>
      </c>
      <c r="EQ11" s="212" t="s">
        <v>297</v>
      </c>
      <c r="ER11" s="210" t="s">
        <v>415</v>
      </c>
      <c r="ES11" s="210" t="s">
        <v>317</v>
      </c>
      <c r="ET11" s="211">
        <v>2341009000</v>
      </c>
      <c r="EU11" s="211">
        <v>0</v>
      </c>
      <c r="EV11" s="211">
        <v>0</v>
      </c>
      <c r="EW11" s="274">
        <f t="shared" si="40"/>
        <v>2341009</v>
      </c>
      <c r="EX11" s="274">
        <f t="shared" si="41"/>
        <v>0</v>
      </c>
      <c r="EY11" s="274">
        <f t="shared" si="42"/>
        <v>0</v>
      </c>
      <c r="FA11" s="221" t="s">
        <v>501</v>
      </c>
      <c r="FB11" s="272" t="s">
        <v>504</v>
      </c>
      <c r="FC11" s="221" t="s">
        <v>426</v>
      </c>
      <c r="FD11" s="272" t="s">
        <v>426</v>
      </c>
      <c r="FE11" s="271">
        <v>0</v>
      </c>
      <c r="FF11" s="271">
        <v>0</v>
      </c>
      <c r="FG11" s="271">
        <v>20991600</v>
      </c>
      <c r="FH11" s="271">
        <f t="shared" si="4"/>
        <v>20991.599999999999</v>
      </c>
      <c r="FJ11" s="221" t="s">
        <v>414</v>
      </c>
      <c r="FK11" s="221" t="s">
        <v>297</v>
      </c>
      <c r="FL11" s="221" t="s">
        <v>415</v>
      </c>
      <c r="FM11" s="221" t="s">
        <v>317</v>
      </c>
      <c r="FN11" s="270">
        <v>2341009000</v>
      </c>
      <c r="FO11" s="270">
        <v>0</v>
      </c>
      <c r="FP11" s="270">
        <v>0</v>
      </c>
      <c r="FQ11" s="270">
        <f t="shared" si="43"/>
        <v>2341009</v>
      </c>
      <c r="FR11" s="270">
        <f t="shared" si="5"/>
        <v>0</v>
      </c>
      <c r="FS11" s="270">
        <f t="shared" si="5"/>
        <v>0</v>
      </c>
      <c r="FU11" s="210" t="s">
        <v>442</v>
      </c>
      <c r="FV11" s="210" t="s">
        <v>443</v>
      </c>
      <c r="FW11" s="210" t="s">
        <v>426</v>
      </c>
      <c r="FX11" s="210" t="s">
        <v>426</v>
      </c>
      <c r="FY11" s="211">
        <v>7426309</v>
      </c>
      <c r="FZ11" s="211">
        <f t="shared" si="44"/>
        <v>7426.3090000000002</v>
      </c>
      <c r="GB11" s="199" t="s">
        <v>411</v>
      </c>
      <c r="GC11" s="199" t="s">
        <v>433</v>
      </c>
      <c r="GD11" s="199" t="s">
        <v>636</v>
      </c>
      <c r="GE11" s="199" t="s">
        <v>637</v>
      </c>
      <c r="GF11" s="270">
        <v>0</v>
      </c>
      <c r="GG11" s="270">
        <v>49363679</v>
      </c>
      <c r="GH11" s="270">
        <v>34163679</v>
      </c>
      <c r="GI11" s="270">
        <f t="shared" si="45"/>
        <v>0</v>
      </c>
      <c r="GJ11" s="270">
        <f t="shared" si="46"/>
        <v>49363.678999999996</v>
      </c>
      <c r="GK11" s="270">
        <f t="shared" si="47"/>
        <v>34163.678999999996</v>
      </c>
      <c r="GM11" s="210" t="s">
        <v>480</v>
      </c>
      <c r="GN11" s="212" t="s">
        <v>495</v>
      </c>
      <c r="GO11" s="210" t="s">
        <v>426</v>
      </c>
      <c r="GP11" s="210" t="s">
        <v>426</v>
      </c>
      <c r="GQ11" s="211">
        <v>17434690</v>
      </c>
      <c r="GR11" s="351">
        <f t="shared" si="48"/>
        <v>17434.689999999999</v>
      </c>
      <c r="GT11" s="199" t="s">
        <v>411</v>
      </c>
      <c r="GU11" s="199" t="s">
        <v>433</v>
      </c>
      <c r="GV11" s="199" t="s">
        <v>426</v>
      </c>
      <c r="GW11" s="199" t="s">
        <v>426</v>
      </c>
      <c r="GX11" s="351">
        <v>0</v>
      </c>
      <c r="GY11" s="351">
        <v>0</v>
      </c>
      <c r="GZ11" s="351">
        <v>0</v>
      </c>
      <c r="HA11" s="225">
        <f t="shared" si="49"/>
        <v>0</v>
      </c>
      <c r="HB11" s="225">
        <f t="shared" si="50"/>
        <v>0</v>
      </c>
      <c r="HC11" s="225">
        <f t="shared" si="51"/>
        <v>0</v>
      </c>
    </row>
    <row r="12" spans="1:211" ht="15" customHeight="1" x14ac:dyDescent="0.2">
      <c r="A12" s="770" t="s">
        <v>414</v>
      </c>
      <c r="B12" s="210" t="s">
        <v>297</v>
      </c>
      <c r="C12" s="210" t="s">
        <v>438</v>
      </c>
      <c r="D12" s="210" t="s">
        <v>320</v>
      </c>
      <c r="E12" s="211">
        <v>62915000</v>
      </c>
      <c r="F12" s="211">
        <v>0</v>
      </c>
      <c r="G12" s="211">
        <v>0</v>
      </c>
      <c r="H12" s="269">
        <f t="shared" si="8"/>
        <v>65557.430000000008</v>
      </c>
      <c r="I12" s="269">
        <f t="shared" si="9"/>
        <v>0</v>
      </c>
      <c r="J12" s="269">
        <f t="shared" si="10"/>
        <v>0</v>
      </c>
      <c r="S12" s="210" t="s">
        <v>414</v>
      </c>
      <c r="T12" s="212" t="s">
        <v>297</v>
      </c>
      <c r="U12" s="210" t="s">
        <v>438</v>
      </c>
      <c r="V12" s="212" t="s">
        <v>320</v>
      </c>
      <c r="W12" s="211">
        <v>62915000</v>
      </c>
      <c r="X12" s="211">
        <v>0</v>
      </c>
      <c r="Y12" s="211">
        <v>0</v>
      </c>
      <c r="Z12" s="259">
        <f t="shared" si="12"/>
        <v>65557.430000000008</v>
      </c>
      <c r="AA12" s="259">
        <f t="shared" si="13"/>
        <v>0</v>
      </c>
      <c r="AB12" s="259">
        <f t="shared" si="14"/>
        <v>0</v>
      </c>
      <c r="AK12" s="210" t="s">
        <v>414</v>
      </c>
      <c r="AL12" s="210" t="s">
        <v>297</v>
      </c>
      <c r="AM12" s="210" t="s">
        <v>438</v>
      </c>
      <c r="AN12" s="210" t="s">
        <v>320</v>
      </c>
      <c r="AO12" s="211">
        <v>62915000</v>
      </c>
      <c r="AP12" s="211">
        <v>0</v>
      </c>
      <c r="AQ12" s="211">
        <v>0</v>
      </c>
      <c r="AR12" s="211">
        <f t="shared" si="16"/>
        <v>65557.430000000008</v>
      </c>
      <c r="AS12" s="211">
        <f t="shared" si="17"/>
        <v>0</v>
      </c>
      <c r="AT12" s="211">
        <f t="shared" si="18"/>
        <v>0</v>
      </c>
      <c r="AV12" s="210" t="s">
        <v>611</v>
      </c>
      <c r="AW12" s="210" t="s">
        <v>612</v>
      </c>
      <c r="AX12" s="210" t="s">
        <v>426</v>
      </c>
      <c r="AY12" s="210" t="s">
        <v>426</v>
      </c>
      <c r="AZ12" s="211">
        <v>2598750</v>
      </c>
      <c r="BA12" s="270">
        <f t="shared" si="19"/>
        <v>2707.8975</v>
      </c>
      <c r="BC12" s="210" t="s">
        <v>414</v>
      </c>
      <c r="BD12" s="210" t="s">
        <v>297</v>
      </c>
      <c r="BE12" s="210" t="s">
        <v>438</v>
      </c>
      <c r="BF12" s="210" t="s">
        <v>320</v>
      </c>
      <c r="BG12" s="211">
        <v>62915000</v>
      </c>
      <c r="BH12" s="211">
        <v>0</v>
      </c>
      <c r="BI12" s="211">
        <v>0</v>
      </c>
      <c r="BJ12" s="270">
        <f t="shared" si="20"/>
        <v>65557.430000000008</v>
      </c>
      <c r="BK12" s="270">
        <f t="shared" si="21"/>
        <v>0</v>
      </c>
      <c r="BL12" s="270">
        <f t="shared" si="22"/>
        <v>0</v>
      </c>
      <c r="BN12" s="210" t="s">
        <v>442</v>
      </c>
      <c r="BO12" s="210" t="s">
        <v>443</v>
      </c>
      <c r="BP12" s="210" t="s">
        <v>426</v>
      </c>
      <c r="BQ12" s="210" t="s">
        <v>426</v>
      </c>
      <c r="BR12" s="211">
        <v>5314366</v>
      </c>
      <c r="BS12" s="211">
        <f t="shared" si="23"/>
        <v>5537.5693719999999</v>
      </c>
      <c r="BU12" s="210" t="s">
        <v>414</v>
      </c>
      <c r="BV12" s="210" t="s">
        <v>297</v>
      </c>
      <c r="BW12" s="210" t="s">
        <v>438</v>
      </c>
      <c r="BX12" s="210" t="s">
        <v>320</v>
      </c>
      <c r="BY12" s="211">
        <v>62915000</v>
      </c>
      <c r="BZ12" s="211">
        <v>0</v>
      </c>
      <c r="CA12" s="211">
        <v>0</v>
      </c>
      <c r="CB12" s="211">
        <f t="shared" si="24"/>
        <v>65557.430000000008</v>
      </c>
      <c r="CC12" s="211">
        <f t="shared" si="25"/>
        <v>0</v>
      </c>
      <c r="CD12" s="211">
        <f t="shared" si="26"/>
        <v>0</v>
      </c>
      <c r="CF12" s="210" t="s">
        <v>611</v>
      </c>
      <c r="CG12" s="210" t="s">
        <v>612</v>
      </c>
      <c r="CH12" s="210" t="s">
        <v>426</v>
      </c>
      <c r="CI12" s="210" t="s">
        <v>426</v>
      </c>
      <c r="CJ12" s="211">
        <v>5197500</v>
      </c>
      <c r="CK12" s="211">
        <f t="shared" si="27"/>
        <v>5415.7950000000001</v>
      </c>
      <c r="CM12" s="210" t="s">
        <v>414</v>
      </c>
      <c r="CN12" s="210" t="s">
        <v>297</v>
      </c>
      <c r="CO12" s="210" t="s">
        <v>438</v>
      </c>
      <c r="CP12" s="210" t="s">
        <v>320</v>
      </c>
      <c r="CQ12" s="211">
        <v>62915000</v>
      </c>
      <c r="CR12" s="211">
        <v>0</v>
      </c>
      <c r="CS12" s="211">
        <v>0</v>
      </c>
      <c r="CT12" s="211">
        <f t="shared" si="28"/>
        <v>65557.430000000008</v>
      </c>
      <c r="CU12" s="211">
        <f t="shared" si="29"/>
        <v>0</v>
      </c>
      <c r="CV12" s="211">
        <f t="shared" si="30"/>
        <v>0</v>
      </c>
      <c r="DE12" s="210" t="s">
        <v>414</v>
      </c>
      <c r="DF12" s="212" t="s">
        <v>297</v>
      </c>
      <c r="DG12" s="210" t="s">
        <v>438</v>
      </c>
      <c r="DH12" s="212" t="s">
        <v>320</v>
      </c>
      <c r="DI12" s="211">
        <v>42915000</v>
      </c>
      <c r="DJ12" s="211">
        <v>0</v>
      </c>
      <c r="DK12" s="211">
        <v>0</v>
      </c>
      <c r="DL12" s="269">
        <f t="shared" si="32"/>
        <v>44717.43</v>
      </c>
      <c r="DM12" s="269">
        <f t="shared" si="33"/>
        <v>0</v>
      </c>
      <c r="DN12" s="269">
        <f t="shared" si="34"/>
        <v>0</v>
      </c>
      <c r="DQ12" s="273"/>
      <c r="DU12" s="202">
        <f>SUM(DU3:DU11)</f>
        <v>380495.237234</v>
      </c>
      <c r="DW12" s="210" t="s">
        <v>414</v>
      </c>
      <c r="DX12" s="212" t="s">
        <v>297</v>
      </c>
      <c r="DY12" s="210" t="s">
        <v>416</v>
      </c>
      <c r="DZ12" s="212" t="s">
        <v>327</v>
      </c>
      <c r="EA12" s="211">
        <v>216665000</v>
      </c>
      <c r="EB12" s="211">
        <v>0</v>
      </c>
      <c r="EC12" s="211">
        <v>0</v>
      </c>
      <c r="ED12" s="211">
        <f t="shared" si="36"/>
        <v>225764.93000000002</v>
      </c>
      <c r="EE12" s="211">
        <f t="shared" si="37"/>
        <v>0</v>
      </c>
      <c r="EF12" s="211">
        <f t="shared" si="38"/>
        <v>0</v>
      </c>
      <c r="EH12" s="210" t="s">
        <v>611</v>
      </c>
      <c r="EI12" s="212" t="s">
        <v>612</v>
      </c>
      <c r="EJ12" s="210" t="s">
        <v>426</v>
      </c>
      <c r="EK12" s="212" t="s">
        <v>426</v>
      </c>
      <c r="EL12" s="211">
        <v>10394996</v>
      </c>
      <c r="EM12" s="269">
        <f t="shared" si="39"/>
        <v>10394.995999999999</v>
      </c>
      <c r="EP12" s="210" t="s">
        <v>414</v>
      </c>
      <c r="EQ12" s="212" t="s">
        <v>297</v>
      </c>
      <c r="ER12" s="210" t="s">
        <v>416</v>
      </c>
      <c r="ES12" s="210" t="s">
        <v>327</v>
      </c>
      <c r="ET12" s="211">
        <v>216665000</v>
      </c>
      <c r="EU12" s="211">
        <v>0</v>
      </c>
      <c r="EV12" s="211">
        <v>0</v>
      </c>
      <c r="EW12" s="274">
        <f t="shared" si="40"/>
        <v>216665</v>
      </c>
      <c r="EX12" s="274">
        <f t="shared" si="41"/>
        <v>0</v>
      </c>
      <c r="EY12" s="274">
        <f t="shared" si="42"/>
        <v>0</v>
      </c>
      <c r="FE12" s="199"/>
      <c r="FF12" s="199"/>
      <c r="FG12" s="199"/>
      <c r="FJ12" s="221" t="s">
        <v>414</v>
      </c>
      <c r="FK12" s="221" t="s">
        <v>297</v>
      </c>
      <c r="FL12" s="221" t="s">
        <v>416</v>
      </c>
      <c r="FM12" s="221" t="s">
        <v>327</v>
      </c>
      <c r="FN12" s="270">
        <v>216665000</v>
      </c>
      <c r="FO12" s="270">
        <v>0</v>
      </c>
      <c r="FP12" s="270">
        <v>0</v>
      </c>
      <c r="FQ12" s="270">
        <f t="shared" si="43"/>
        <v>216665</v>
      </c>
      <c r="FR12" s="270">
        <f t="shared" si="5"/>
        <v>0</v>
      </c>
      <c r="FS12" s="270">
        <f t="shared" si="5"/>
        <v>0</v>
      </c>
      <c r="FU12" s="210" t="s">
        <v>501</v>
      </c>
      <c r="FV12" s="210" t="s">
        <v>504</v>
      </c>
      <c r="FW12" s="210" t="s">
        <v>426</v>
      </c>
      <c r="FX12" s="210" t="s">
        <v>426</v>
      </c>
      <c r="FY12" s="211">
        <v>20991600</v>
      </c>
      <c r="FZ12" s="211">
        <f t="shared" si="44"/>
        <v>20991.599999999999</v>
      </c>
      <c r="GB12" s="199" t="s">
        <v>414</v>
      </c>
      <c r="GC12" s="199" t="s">
        <v>297</v>
      </c>
      <c r="GD12" s="199" t="s">
        <v>415</v>
      </c>
      <c r="GE12" s="199" t="s">
        <v>317</v>
      </c>
      <c r="GF12" s="270">
        <v>2351809670</v>
      </c>
      <c r="GG12" s="270">
        <v>0</v>
      </c>
      <c r="GH12" s="270">
        <v>0</v>
      </c>
      <c r="GI12" s="270">
        <f t="shared" si="45"/>
        <v>2351809.67</v>
      </c>
      <c r="GJ12" s="270">
        <f t="shared" si="46"/>
        <v>0</v>
      </c>
      <c r="GK12" s="270">
        <f t="shared" si="47"/>
        <v>0</v>
      </c>
      <c r="GM12" s="210" t="s">
        <v>418</v>
      </c>
      <c r="GN12" s="212" t="s">
        <v>323</v>
      </c>
      <c r="GO12" s="210" t="s">
        <v>473</v>
      </c>
      <c r="GP12" s="210" t="s">
        <v>589</v>
      </c>
      <c r="GQ12" s="211">
        <v>314520000</v>
      </c>
      <c r="GR12" s="351">
        <f t="shared" si="48"/>
        <v>314520</v>
      </c>
      <c r="GT12" s="199" t="s">
        <v>414</v>
      </c>
      <c r="GU12" s="199" t="s">
        <v>297</v>
      </c>
      <c r="GV12" s="199" t="s">
        <v>415</v>
      </c>
      <c r="GW12" s="199" t="s">
        <v>317</v>
      </c>
      <c r="GX12" s="351">
        <v>2336393795</v>
      </c>
      <c r="GY12" s="351">
        <v>0</v>
      </c>
      <c r="GZ12" s="351">
        <v>0</v>
      </c>
      <c r="HA12" s="225">
        <f t="shared" si="49"/>
        <v>2336393.7949999999</v>
      </c>
      <c r="HB12" s="225">
        <f t="shared" si="50"/>
        <v>0</v>
      </c>
      <c r="HC12" s="225">
        <f t="shared" si="51"/>
        <v>0</v>
      </c>
    </row>
    <row r="13" spans="1:211" ht="15" customHeight="1" x14ac:dyDescent="0.2">
      <c r="A13" s="773" t="s">
        <v>414</v>
      </c>
      <c r="B13" s="774" t="s">
        <v>297</v>
      </c>
      <c r="C13" s="774" t="s">
        <v>417</v>
      </c>
      <c r="D13" s="774" t="s">
        <v>318</v>
      </c>
      <c r="E13" s="775">
        <v>30520000</v>
      </c>
      <c r="F13" s="775">
        <v>0</v>
      </c>
      <c r="G13" s="775">
        <v>0</v>
      </c>
      <c r="H13" s="776">
        <f t="shared" si="8"/>
        <v>31801.84</v>
      </c>
      <c r="I13" s="776">
        <f t="shared" si="9"/>
        <v>0</v>
      </c>
      <c r="J13" s="776">
        <f t="shared" si="10"/>
        <v>0</v>
      </c>
      <c r="K13" s="777"/>
      <c r="L13" s="777"/>
      <c r="M13" s="777"/>
      <c r="N13" s="777"/>
      <c r="O13" s="777"/>
      <c r="P13" s="777"/>
      <c r="Q13" s="777"/>
      <c r="R13" s="777"/>
      <c r="S13" s="774" t="s">
        <v>414</v>
      </c>
      <c r="T13" s="778" t="s">
        <v>297</v>
      </c>
      <c r="U13" s="774" t="s">
        <v>417</v>
      </c>
      <c r="V13" s="778" t="s">
        <v>318</v>
      </c>
      <c r="W13" s="775">
        <v>30520000</v>
      </c>
      <c r="X13" s="775">
        <v>0</v>
      </c>
      <c r="Y13" s="775">
        <v>0</v>
      </c>
      <c r="Z13" s="779">
        <f t="shared" si="12"/>
        <v>31801.84</v>
      </c>
      <c r="AA13" s="779">
        <f t="shared" si="13"/>
        <v>0</v>
      </c>
      <c r="AB13" s="779">
        <f t="shared" si="14"/>
        <v>0</v>
      </c>
      <c r="AC13" s="777"/>
      <c r="AD13" s="777"/>
      <c r="AE13" s="777"/>
      <c r="AF13" s="777"/>
      <c r="AG13" s="777"/>
      <c r="AH13" s="777"/>
      <c r="AI13" s="777"/>
      <c r="AJ13" s="777"/>
      <c r="AK13" s="774" t="s">
        <v>414</v>
      </c>
      <c r="AL13" s="774" t="s">
        <v>297</v>
      </c>
      <c r="AM13" s="774" t="s">
        <v>417</v>
      </c>
      <c r="AN13" s="774" t="s">
        <v>318</v>
      </c>
      <c r="AO13" s="775">
        <v>30520000</v>
      </c>
      <c r="AP13" s="775">
        <v>0</v>
      </c>
      <c r="AQ13" s="775">
        <v>0</v>
      </c>
      <c r="AR13" s="775">
        <f t="shared" si="16"/>
        <v>31801.84</v>
      </c>
      <c r="AS13" s="775">
        <f t="shared" si="17"/>
        <v>0</v>
      </c>
      <c r="AT13" s="775">
        <f t="shared" si="18"/>
        <v>0</v>
      </c>
      <c r="AU13" s="777"/>
      <c r="AV13" s="777"/>
      <c r="AW13" s="777"/>
      <c r="AX13" s="777"/>
      <c r="AY13" s="777"/>
      <c r="AZ13" s="777"/>
      <c r="BA13" s="777"/>
      <c r="BB13" s="777"/>
      <c r="BC13" s="774" t="s">
        <v>414</v>
      </c>
      <c r="BD13" s="774" t="s">
        <v>297</v>
      </c>
      <c r="BE13" s="774" t="s">
        <v>417</v>
      </c>
      <c r="BF13" s="774" t="s">
        <v>318</v>
      </c>
      <c r="BG13" s="775">
        <v>30520000</v>
      </c>
      <c r="BH13" s="775">
        <v>0</v>
      </c>
      <c r="BI13" s="775">
        <v>0</v>
      </c>
      <c r="BJ13" s="780">
        <f t="shared" si="20"/>
        <v>31801.84</v>
      </c>
      <c r="BK13" s="780">
        <f t="shared" si="21"/>
        <v>0</v>
      </c>
      <c r="BL13" s="780">
        <f t="shared" si="22"/>
        <v>0</v>
      </c>
      <c r="BM13" s="777"/>
      <c r="BN13" s="210" t="s">
        <v>611</v>
      </c>
      <c r="BO13" s="210" t="s">
        <v>612</v>
      </c>
      <c r="BP13" s="210" t="s">
        <v>426</v>
      </c>
      <c r="BQ13" s="210" t="s">
        <v>426</v>
      </c>
      <c r="BR13" s="211">
        <v>-1</v>
      </c>
      <c r="BS13" s="211">
        <f>+BR13/$BR$1*$BS$1</f>
        <v>-1.042E-3</v>
      </c>
      <c r="BU13" s="210" t="s">
        <v>414</v>
      </c>
      <c r="BV13" s="210" t="s">
        <v>297</v>
      </c>
      <c r="BW13" s="210" t="s">
        <v>417</v>
      </c>
      <c r="BX13" s="210" t="s">
        <v>318</v>
      </c>
      <c r="BY13" s="211">
        <v>30520000</v>
      </c>
      <c r="BZ13" s="211">
        <v>0</v>
      </c>
      <c r="CA13" s="211">
        <v>0</v>
      </c>
      <c r="CB13" s="211">
        <f t="shared" si="24"/>
        <v>31801.84</v>
      </c>
      <c r="CC13" s="211">
        <f t="shared" si="25"/>
        <v>0</v>
      </c>
      <c r="CD13" s="211">
        <f t="shared" si="26"/>
        <v>0</v>
      </c>
      <c r="CK13" s="275"/>
      <c r="CM13" s="210" t="s">
        <v>414</v>
      </c>
      <c r="CN13" s="210" t="s">
        <v>297</v>
      </c>
      <c r="CO13" s="210" t="s">
        <v>417</v>
      </c>
      <c r="CP13" s="210" t="s">
        <v>318</v>
      </c>
      <c r="CQ13" s="211">
        <v>30520000</v>
      </c>
      <c r="CR13" s="211">
        <v>0</v>
      </c>
      <c r="CS13" s="211">
        <v>0</v>
      </c>
      <c r="CT13" s="211">
        <f t="shared" si="28"/>
        <v>31801.84</v>
      </c>
      <c r="CU13" s="211">
        <f t="shared" si="29"/>
        <v>0</v>
      </c>
      <c r="CV13" s="211">
        <f t="shared" si="30"/>
        <v>0</v>
      </c>
      <c r="DE13" s="210" t="s">
        <v>414</v>
      </c>
      <c r="DF13" s="212" t="s">
        <v>297</v>
      </c>
      <c r="DG13" s="210" t="s">
        <v>417</v>
      </c>
      <c r="DH13" s="212" t="s">
        <v>318</v>
      </c>
      <c r="DI13" s="211">
        <v>30520000</v>
      </c>
      <c r="DJ13" s="211">
        <v>0</v>
      </c>
      <c r="DK13" s="211">
        <v>0</v>
      </c>
      <c r="DL13" s="269">
        <f t="shared" si="32"/>
        <v>31801.84</v>
      </c>
      <c r="DM13" s="269">
        <f t="shared" si="33"/>
        <v>0</v>
      </c>
      <c r="DN13" s="269">
        <f t="shared" si="34"/>
        <v>0</v>
      </c>
      <c r="DW13" s="210" t="s">
        <v>414</v>
      </c>
      <c r="DX13" s="212" t="s">
        <v>297</v>
      </c>
      <c r="DY13" s="210" t="s">
        <v>438</v>
      </c>
      <c r="DZ13" s="212" t="s">
        <v>320</v>
      </c>
      <c r="EA13" s="211">
        <v>42915000</v>
      </c>
      <c r="EB13" s="211">
        <v>0</v>
      </c>
      <c r="EC13" s="211">
        <v>0</v>
      </c>
      <c r="ED13" s="211">
        <f t="shared" si="36"/>
        <v>44717.43</v>
      </c>
      <c r="EE13" s="211">
        <f t="shared" si="37"/>
        <v>0</v>
      </c>
      <c r="EF13" s="211">
        <f t="shared" si="38"/>
        <v>0</v>
      </c>
      <c r="EP13" s="210" t="s">
        <v>414</v>
      </c>
      <c r="EQ13" s="212" t="s">
        <v>297</v>
      </c>
      <c r="ER13" s="210" t="s">
        <v>438</v>
      </c>
      <c r="ES13" s="210" t="s">
        <v>320</v>
      </c>
      <c r="ET13" s="211">
        <v>42915000</v>
      </c>
      <c r="EU13" s="211">
        <v>0</v>
      </c>
      <c r="EV13" s="211">
        <v>0</v>
      </c>
      <c r="EW13" s="274">
        <f t="shared" si="40"/>
        <v>42915</v>
      </c>
      <c r="EX13" s="274">
        <f t="shared" si="41"/>
        <v>0</v>
      </c>
      <c r="EY13" s="274">
        <f t="shared" si="42"/>
        <v>0</v>
      </c>
      <c r="FE13" s="199"/>
      <c r="FF13" s="199"/>
      <c r="FG13" s="199"/>
      <c r="FJ13" s="221" t="s">
        <v>414</v>
      </c>
      <c r="FK13" s="221" t="s">
        <v>297</v>
      </c>
      <c r="FL13" s="221" t="s">
        <v>438</v>
      </c>
      <c r="FM13" s="221" t="s">
        <v>320</v>
      </c>
      <c r="FN13" s="270">
        <v>42915000</v>
      </c>
      <c r="FO13" s="270">
        <v>0</v>
      </c>
      <c r="FP13" s="270">
        <v>0</v>
      </c>
      <c r="FQ13" s="270">
        <f t="shared" si="43"/>
        <v>42915</v>
      </c>
      <c r="FR13" s="270">
        <f t="shared" si="5"/>
        <v>0</v>
      </c>
      <c r="FS13" s="270">
        <f t="shared" si="5"/>
        <v>0</v>
      </c>
      <c r="FU13" s="210" t="s">
        <v>611</v>
      </c>
      <c r="FV13" s="210" t="s">
        <v>612</v>
      </c>
      <c r="FW13" s="210" t="s">
        <v>426</v>
      </c>
      <c r="FX13" s="210" t="s">
        <v>426</v>
      </c>
      <c r="FY13" s="211">
        <v>2598749</v>
      </c>
      <c r="FZ13" s="211">
        <f t="shared" si="44"/>
        <v>2598.7489999999998</v>
      </c>
      <c r="GB13" s="199" t="s">
        <v>414</v>
      </c>
      <c r="GC13" s="199" t="s">
        <v>297</v>
      </c>
      <c r="GD13" s="199" t="s">
        <v>416</v>
      </c>
      <c r="GE13" s="199" t="s">
        <v>327</v>
      </c>
      <c r="GF13" s="270">
        <v>216665000</v>
      </c>
      <c r="GG13" s="270">
        <v>0</v>
      </c>
      <c r="GH13" s="270">
        <v>0</v>
      </c>
      <c r="GI13" s="270">
        <f t="shared" si="45"/>
        <v>216665</v>
      </c>
      <c r="GJ13" s="270">
        <f t="shared" si="46"/>
        <v>0</v>
      </c>
      <c r="GK13" s="270">
        <f t="shared" si="47"/>
        <v>0</v>
      </c>
      <c r="GM13" s="210" t="s">
        <v>418</v>
      </c>
      <c r="GN13" s="212" t="s">
        <v>323</v>
      </c>
      <c r="GO13" s="210" t="s">
        <v>464</v>
      </c>
      <c r="GP13" s="210" t="s">
        <v>588</v>
      </c>
      <c r="GQ13" s="211">
        <v>264217140</v>
      </c>
      <c r="GR13" s="351">
        <f t="shared" si="48"/>
        <v>264217.14</v>
      </c>
      <c r="GT13" s="199" t="s">
        <v>414</v>
      </c>
      <c r="GU13" s="199" t="s">
        <v>297</v>
      </c>
      <c r="GV13" s="199" t="s">
        <v>416</v>
      </c>
      <c r="GW13" s="199" t="s">
        <v>327</v>
      </c>
      <c r="GX13" s="351">
        <v>200598800</v>
      </c>
      <c r="GY13" s="351">
        <v>0</v>
      </c>
      <c r="GZ13" s="351">
        <v>0</v>
      </c>
      <c r="HA13" s="225">
        <f t="shared" si="49"/>
        <v>200598.8</v>
      </c>
      <c r="HB13" s="225">
        <f t="shared" si="50"/>
        <v>0</v>
      </c>
      <c r="HC13" s="225">
        <f t="shared" si="51"/>
        <v>0</v>
      </c>
    </row>
    <row r="14" spans="1:211" ht="15" customHeight="1" x14ac:dyDescent="0.2">
      <c r="A14" s="210" t="s">
        <v>414</v>
      </c>
      <c r="B14" s="210" t="s">
        <v>297</v>
      </c>
      <c r="C14" s="210" t="s">
        <v>437</v>
      </c>
      <c r="D14" s="210" t="s">
        <v>319</v>
      </c>
      <c r="E14" s="211">
        <v>8000000</v>
      </c>
      <c r="F14" s="211">
        <v>0</v>
      </c>
      <c r="G14" s="211">
        <v>0</v>
      </c>
      <c r="H14" s="269">
        <f t="shared" si="8"/>
        <v>8336</v>
      </c>
      <c r="I14" s="269">
        <f t="shared" si="9"/>
        <v>0</v>
      </c>
      <c r="J14" s="269">
        <f t="shared" si="10"/>
        <v>0</v>
      </c>
      <c r="S14" s="210" t="s">
        <v>414</v>
      </c>
      <c r="T14" s="212" t="s">
        <v>297</v>
      </c>
      <c r="U14" s="210" t="s">
        <v>437</v>
      </c>
      <c r="V14" s="212" t="s">
        <v>319</v>
      </c>
      <c r="W14" s="211">
        <v>8000000</v>
      </c>
      <c r="X14" s="211">
        <v>0</v>
      </c>
      <c r="Y14" s="211">
        <v>0</v>
      </c>
      <c r="Z14" s="259">
        <f t="shared" si="12"/>
        <v>8336</v>
      </c>
      <c r="AA14" s="259">
        <f t="shared" si="13"/>
        <v>0</v>
      </c>
      <c r="AB14" s="259">
        <f t="shared" si="14"/>
        <v>0</v>
      </c>
      <c r="AK14" s="210" t="s">
        <v>414</v>
      </c>
      <c r="AL14" s="210" t="s">
        <v>297</v>
      </c>
      <c r="AM14" s="210" t="s">
        <v>437</v>
      </c>
      <c r="AN14" s="210" t="s">
        <v>319</v>
      </c>
      <c r="AO14" s="211">
        <v>8000000</v>
      </c>
      <c r="AP14" s="211">
        <v>0</v>
      </c>
      <c r="AQ14" s="211">
        <v>0</v>
      </c>
      <c r="AR14" s="211">
        <f t="shared" si="16"/>
        <v>8336</v>
      </c>
      <c r="AS14" s="211">
        <f t="shared" si="17"/>
        <v>0</v>
      </c>
      <c r="AT14" s="211">
        <f t="shared" si="18"/>
        <v>0</v>
      </c>
      <c r="BC14" s="210" t="s">
        <v>414</v>
      </c>
      <c r="BD14" s="210" t="s">
        <v>297</v>
      </c>
      <c r="BE14" s="210" t="s">
        <v>437</v>
      </c>
      <c r="BF14" s="210" t="s">
        <v>319</v>
      </c>
      <c r="BG14" s="211">
        <v>8000000</v>
      </c>
      <c r="BH14" s="211">
        <v>0</v>
      </c>
      <c r="BI14" s="211">
        <v>0</v>
      </c>
      <c r="BJ14" s="270">
        <f t="shared" si="20"/>
        <v>8336</v>
      </c>
      <c r="BK14" s="270">
        <f t="shared" si="21"/>
        <v>0</v>
      </c>
      <c r="BL14" s="270">
        <f t="shared" si="22"/>
        <v>0</v>
      </c>
      <c r="BS14" s="211">
        <f>SUM(BS3:BS13)</f>
        <v>701183.03387600009</v>
      </c>
      <c r="BU14" s="210" t="s">
        <v>414</v>
      </c>
      <c r="BV14" s="210" t="s">
        <v>297</v>
      </c>
      <c r="BW14" s="210" t="s">
        <v>437</v>
      </c>
      <c r="BX14" s="210" t="s">
        <v>319</v>
      </c>
      <c r="BY14" s="211">
        <v>8000000</v>
      </c>
      <c r="BZ14" s="211">
        <v>0</v>
      </c>
      <c r="CA14" s="211">
        <v>0</v>
      </c>
      <c r="CB14" s="211">
        <f t="shared" si="24"/>
        <v>8336</v>
      </c>
      <c r="CC14" s="211">
        <f t="shared" si="25"/>
        <v>0</v>
      </c>
      <c r="CD14" s="211">
        <f t="shared" si="26"/>
        <v>0</v>
      </c>
      <c r="CM14" s="210" t="s">
        <v>414</v>
      </c>
      <c r="CN14" s="210" t="s">
        <v>297</v>
      </c>
      <c r="CO14" s="210" t="s">
        <v>437</v>
      </c>
      <c r="CP14" s="210" t="s">
        <v>319</v>
      </c>
      <c r="CQ14" s="211">
        <v>8000000</v>
      </c>
      <c r="CR14" s="211">
        <v>0</v>
      </c>
      <c r="CS14" s="211">
        <v>0</v>
      </c>
      <c r="CT14" s="211">
        <f t="shared" si="28"/>
        <v>8336</v>
      </c>
      <c r="CU14" s="211">
        <f t="shared" si="29"/>
        <v>0</v>
      </c>
      <c r="CV14" s="211">
        <f t="shared" si="30"/>
        <v>0</v>
      </c>
      <c r="DE14" s="210" t="s">
        <v>414</v>
      </c>
      <c r="DF14" s="212" t="s">
        <v>297</v>
      </c>
      <c r="DG14" s="210" t="s">
        <v>437</v>
      </c>
      <c r="DH14" s="212" t="s">
        <v>319</v>
      </c>
      <c r="DI14" s="211">
        <v>8000000</v>
      </c>
      <c r="DJ14" s="211">
        <v>0</v>
      </c>
      <c r="DK14" s="211">
        <v>0</v>
      </c>
      <c r="DL14" s="269">
        <f t="shared" si="32"/>
        <v>8336</v>
      </c>
      <c r="DM14" s="269">
        <f t="shared" si="33"/>
        <v>0</v>
      </c>
      <c r="DN14" s="269">
        <f t="shared" si="34"/>
        <v>0</v>
      </c>
      <c r="DU14" s="203"/>
      <c r="DW14" s="210" t="s">
        <v>414</v>
      </c>
      <c r="DX14" s="212" t="s">
        <v>297</v>
      </c>
      <c r="DY14" s="210" t="s">
        <v>417</v>
      </c>
      <c r="DZ14" s="212" t="s">
        <v>318</v>
      </c>
      <c r="EA14" s="211">
        <v>30520000</v>
      </c>
      <c r="EB14" s="211">
        <v>0</v>
      </c>
      <c r="EC14" s="211">
        <v>0</v>
      </c>
      <c r="ED14" s="211">
        <f t="shared" si="36"/>
        <v>31801.84</v>
      </c>
      <c r="EE14" s="211">
        <f t="shared" si="37"/>
        <v>0</v>
      </c>
      <c r="EF14" s="211">
        <f t="shared" si="38"/>
        <v>0</v>
      </c>
      <c r="EP14" s="210" t="s">
        <v>414</v>
      </c>
      <c r="EQ14" s="212" t="s">
        <v>297</v>
      </c>
      <c r="ER14" s="210" t="s">
        <v>417</v>
      </c>
      <c r="ES14" s="210" t="s">
        <v>318</v>
      </c>
      <c r="ET14" s="211">
        <v>30520000</v>
      </c>
      <c r="EU14" s="211">
        <v>0</v>
      </c>
      <c r="EV14" s="211">
        <v>0</v>
      </c>
      <c r="EW14" s="274">
        <f t="shared" si="40"/>
        <v>30520</v>
      </c>
      <c r="EX14" s="274">
        <f t="shared" si="41"/>
        <v>0</v>
      </c>
      <c r="EY14" s="274">
        <f t="shared" si="42"/>
        <v>0</v>
      </c>
      <c r="FJ14" s="221" t="s">
        <v>414</v>
      </c>
      <c r="FK14" s="221" t="s">
        <v>297</v>
      </c>
      <c r="FL14" s="221" t="s">
        <v>417</v>
      </c>
      <c r="FM14" s="221" t="s">
        <v>318</v>
      </c>
      <c r="FN14" s="270">
        <v>30520000</v>
      </c>
      <c r="FO14" s="270">
        <v>0</v>
      </c>
      <c r="FP14" s="270">
        <v>0</v>
      </c>
      <c r="FQ14" s="270">
        <f t="shared" si="43"/>
        <v>30520</v>
      </c>
      <c r="FR14" s="270">
        <f t="shared" si="5"/>
        <v>0</v>
      </c>
      <c r="FS14" s="270">
        <f t="shared" si="5"/>
        <v>0</v>
      </c>
      <c r="FZ14" s="275">
        <f>SUM(FZ3:FZ13)</f>
        <v>840480.9709999999</v>
      </c>
      <c r="GB14" s="199" t="s">
        <v>414</v>
      </c>
      <c r="GC14" s="199" t="s">
        <v>297</v>
      </c>
      <c r="GD14" s="199" t="s">
        <v>417</v>
      </c>
      <c r="GE14" s="199" t="s">
        <v>318</v>
      </c>
      <c r="GF14" s="270">
        <v>29700000</v>
      </c>
      <c r="GG14" s="270">
        <v>0</v>
      </c>
      <c r="GH14" s="270">
        <v>0</v>
      </c>
      <c r="GI14" s="270">
        <f t="shared" si="45"/>
        <v>29700</v>
      </c>
      <c r="GJ14" s="270">
        <f t="shared" si="46"/>
        <v>0</v>
      </c>
      <c r="GK14" s="270">
        <f t="shared" si="47"/>
        <v>0</v>
      </c>
      <c r="GM14" s="210" t="s">
        <v>418</v>
      </c>
      <c r="GN14" s="212" t="s">
        <v>323</v>
      </c>
      <c r="GO14" s="210" t="s">
        <v>586</v>
      </c>
      <c r="GP14" s="210" t="s">
        <v>587</v>
      </c>
      <c r="GQ14" s="211">
        <v>780000</v>
      </c>
      <c r="GR14" s="351">
        <f t="shared" si="48"/>
        <v>780</v>
      </c>
      <c r="GT14" s="199" t="s">
        <v>414</v>
      </c>
      <c r="GU14" s="199" t="s">
        <v>297</v>
      </c>
      <c r="GV14" s="199" t="s">
        <v>438</v>
      </c>
      <c r="GW14" s="199" t="s">
        <v>320</v>
      </c>
      <c r="GX14" s="351">
        <v>46888285</v>
      </c>
      <c r="GY14" s="351">
        <v>0</v>
      </c>
      <c r="GZ14" s="351">
        <v>0</v>
      </c>
      <c r="HA14" s="225">
        <f t="shared" si="49"/>
        <v>46888.285000000003</v>
      </c>
      <c r="HB14" s="225">
        <f t="shared" si="50"/>
        <v>0</v>
      </c>
      <c r="HC14" s="225">
        <f t="shared" si="51"/>
        <v>0</v>
      </c>
    </row>
    <row r="15" spans="1:211" ht="15" customHeight="1" x14ac:dyDescent="0.2">
      <c r="A15" s="210" t="s">
        <v>414</v>
      </c>
      <c r="B15" s="210" t="s">
        <v>297</v>
      </c>
      <c r="C15" s="210" t="s">
        <v>416</v>
      </c>
      <c r="D15" s="210" t="s">
        <v>327</v>
      </c>
      <c r="E15" s="211">
        <v>0</v>
      </c>
      <c r="F15" s="211">
        <v>45138031</v>
      </c>
      <c r="G15" s="211">
        <v>14216571</v>
      </c>
      <c r="H15" s="269">
        <f t="shared" si="8"/>
        <v>0</v>
      </c>
      <c r="I15" s="269">
        <f t="shared" si="9"/>
        <v>47033.828302000002</v>
      </c>
      <c r="J15" s="269">
        <f t="shared" si="10"/>
        <v>14813.666982000001</v>
      </c>
      <c r="S15" s="210" t="s">
        <v>414</v>
      </c>
      <c r="T15" s="212" t="s">
        <v>297</v>
      </c>
      <c r="U15" s="210" t="s">
        <v>415</v>
      </c>
      <c r="V15" s="212" t="s">
        <v>317</v>
      </c>
      <c r="W15" s="211">
        <v>0</v>
      </c>
      <c r="X15" s="211">
        <v>497240563</v>
      </c>
      <c r="Y15" s="211">
        <v>0</v>
      </c>
      <c r="Z15" s="259">
        <f t="shared" si="12"/>
        <v>0</v>
      </c>
      <c r="AA15" s="259">
        <f t="shared" si="13"/>
        <v>518124.66664600006</v>
      </c>
      <c r="AB15" s="259">
        <f t="shared" si="14"/>
        <v>0</v>
      </c>
      <c r="AK15" s="210" t="s">
        <v>414</v>
      </c>
      <c r="AL15" s="210" t="s">
        <v>297</v>
      </c>
      <c r="AM15" s="210" t="s">
        <v>438</v>
      </c>
      <c r="AN15" s="210" t="s">
        <v>320</v>
      </c>
      <c r="AO15" s="211">
        <v>0</v>
      </c>
      <c r="AP15" s="211">
        <v>1227819</v>
      </c>
      <c r="AQ15" s="211">
        <v>1227819</v>
      </c>
      <c r="AR15" s="211">
        <f t="shared" si="16"/>
        <v>0</v>
      </c>
      <c r="AS15" s="211">
        <f t="shared" si="17"/>
        <v>1279.3873980000001</v>
      </c>
      <c r="AT15" s="211">
        <f t="shared" si="18"/>
        <v>1279.3873980000001</v>
      </c>
      <c r="BC15" s="210" t="s">
        <v>414</v>
      </c>
      <c r="BD15" s="210" t="s">
        <v>297</v>
      </c>
      <c r="BE15" s="210" t="s">
        <v>415</v>
      </c>
      <c r="BF15" s="210" t="s">
        <v>317</v>
      </c>
      <c r="BG15" s="211">
        <v>0</v>
      </c>
      <c r="BH15" s="211">
        <v>1322087432</v>
      </c>
      <c r="BI15" s="211">
        <v>300018541</v>
      </c>
      <c r="BJ15" s="270">
        <f t="shared" si="20"/>
        <v>0</v>
      </c>
      <c r="BK15" s="270">
        <f t="shared" si="21"/>
        <v>1377615.104144</v>
      </c>
      <c r="BL15" s="270">
        <f t="shared" si="22"/>
        <v>312619.31972200004</v>
      </c>
      <c r="BU15" s="210" t="s">
        <v>414</v>
      </c>
      <c r="BV15" s="210" t="s">
        <v>297</v>
      </c>
      <c r="BW15" s="210" t="s">
        <v>416</v>
      </c>
      <c r="BX15" s="210" t="s">
        <v>327</v>
      </c>
      <c r="BY15" s="211">
        <v>0</v>
      </c>
      <c r="BZ15" s="211">
        <v>112737439</v>
      </c>
      <c r="CA15" s="211">
        <v>53800301</v>
      </c>
      <c r="CB15" s="211">
        <f t="shared" si="24"/>
        <v>0</v>
      </c>
      <c r="CC15" s="211">
        <f t="shared" si="25"/>
        <v>117472.411438</v>
      </c>
      <c r="CD15" s="211">
        <f t="shared" si="26"/>
        <v>56059.913642</v>
      </c>
      <c r="CK15" s="203"/>
      <c r="CM15" s="210" t="s">
        <v>414</v>
      </c>
      <c r="CN15" s="210" t="s">
        <v>297</v>
      </c>
      <c r="CO15" s="210" t="s">
        <v>415</v>
      </c>
      <c r="CP15" s="210" t="s">
        <v>317</v>
      </c>
      <c r="CQ15" s="211">
        <v>0</v>
      </c>
      <c r="CR15" s="211">
        <v>1332425332</v>
      </c>
      <c r="CS15" s="211">
        <v>920181962</v>
      </c>
      <c r="CT15" s="211">
        <f t="shared" si="28"/>
        <v>0</v>
      </c>
      <c r="CU15" s="211">
        <f t="shared" si="29"/>
        <v>1388387.195944</v>
      </c>
      <c r="CV15" s="211">
        <f t="shared" si="30"/>
        <v>958829.6044040001</v>
      </c>
      <c r="DE15" s="210" t="s">
        <v>414</v>
      </c>
      <c r="DF15" s="212" t="s">
        <v>297</v>
      </c>
      <c r="DG15" s="210" t="s">
        <v>417</v>
      </c>
      <c r="DH15" s="212" t="s">
        <v>318</v>
      </c>
      <c r="DI15" s="211">
        <v>0</v>
      </c>
      <c r="DJ15" s="211">
        <v>25908120</v>
      </c>
      <c r="DK15" s="211">
        <v>15113070</v>
      </c>
      <c r="DL15" s="269">
        <f t="shared" si="32"/>
        <v>0</v>
      </c>
      <c r="DM15" s="269">
        <f t="shared" si="33"/>
        <v>26996.261040000001</v>
      </c>
      <c r="DN15" s="269">
        <f t="shared" si="34"/>
        <v>15747.818940000001</v>
      </c>
      <c r="DW15" s="210" t="s">
        <v>414</v>
      </c>
      <c r="DX15" s="212" t="s">
        <v>297</v>
      </c>
      <c r="DY15" s="210" t="s">
        <v>437</v>
      </c>
      <c r="DZ15" s="212" t="s">
        <v>319</v>
      </c>
      <c r="EA15" s="211">
        <v>8000000</v>
      </c>
      <c r="EB15" s="211">
        <v>0</v>
      </c>
      <c r="EC15" s="211">
        <v>0</v>
      </c>
      <c r="ED15" s="211">
        <f t="shared" si="36"/>
        <v>8336</v>
      </c>
      <c r="EE15" s="211">
        <f t="shared" si="37"/>
        <v>0</v>
      </c>
      <c r="EF15" s="211">
        <f t="shared" si="38"/>
        <v>0</v>
      </c>
      <c r="EP15" s="210" t="s">
        <v>414</v>
      </c>
      <c r="EQ15" s="212" t="s">
        <v>297</v>
      </c>
      <c r="ER15" s="210" t="s">
        <v>437</v>
      </c>
      <c r="ES15" s="210" t="s">
        <v>319</v>
      </c>
      <c r="ET15" s="211">
        <v>8000000</v>
      </c>
      <c r="EU15" s="211">
        <v>0</v>
      </c>
      <c r="EV15" s="211">
        <v>0</v>
      </c>
      <c r="EW15" s="274">
        <f t="shared" si="40"/>
        <v>8000</v>
      </c>
      <c r="EX15" s="274">
        <f t="shared" si="41"/>
        <v>0</v>
      </c>
      <c r="EY15" s="274">
        <f t="shared" si="42"/>
        <v>0</v>
      </c>
      <c r="FJ15" s="221" t="s">
        <v>414</v>
      </c>
      <c r="FK15" s="221" t="s">
        <v>297</v>
      </c>
      <c r="FL15" s="221" t="s">
        <v>437</v>
      </c>
      <c r="FM15" s="221" t="s">
        <v>319</v>
      </c>
      <c r="FN15" s="270">
        <v>8000000</v>
      </c>
      <c r="FO15" s="270">
        <v>0</v>
      </c>
      <c r="FP15" s="270">
        <v>0</v>
      </c>
      <c r="FQ15" s="270">
        <f t="shared" si="43"/>
        <v>8000</v>
      </c>
      <c r="FR15" s="270">
        <f t="shared" si="5"/>
        <v>0</v>
      </c>
      <c r="FS15" s="270">
        <f t="shared" si="5"/>
        <v>0</v>
      </c>
      <c r="GB15" s="199" t="s">
        <v>414</v>
      </c>
      <c r="GC15" s="199" t="s">
        <v>297</v>
      </c>
      <c r="GD15" s="199" t="s">
        <v>438</v>
      </c>
      <c r="GE15" s="199" t="s">
        <v>320</v>
      </c>
      <c r="GF15" s="270">
        <v>12114330</v>
      </c>
      <c r="GG15" s="270">
        <v>0</v>
      </c>
      <c r="GH15" s="270">
        <v>0</v>
      </c>
      <c r="GI15" s="270">
        <f t="shared" si="45"/>
        <v>12114.33</v>
      </c>
      <c r="GJ15" s="270">
        <f t="shared" si="46"/>
        <v>0</v>
      </c>
      <c r="GK15" s="270">
        <f t="shared" si="47"/>
        <v>0</v>
      </c>
      <c r="GM15" s="210" t="s">
        <v>418</v>
      </c>
      <c r="GN15" s="212" t="s">
        <v>323</v>
      </c>
      <c r="GO15" s="210" t="s">
        <v>439</v>
      </c>
      <c r="GP15" s="210" t="s">
        <v>590</v>
      </c>
      <c r="GQ15" s="211">
        <v>107846000</v>
      </c>
      <c r="GR15" s="351">
        <f t="shared" si="48"/>
        <v>107846</v>
      </c>
      <c r="GT15" s="199" t="s">
        <v>414</v>
      </c>
      <c r="GU15" s="199" t="s">
        <v>297</v>
      </c>
      <c r="GV15" s="199" t="s">
        <v>417</v>
      </c>
      <c r="GW15" s="199" t="s">
        <v>318</v>
      </c>
      <c r="GX15" s="351">
        <v>26408120</v>
      </c>
      <c r="GY15" s="351">
        <v>0</v>
      </c>
      <c r="GZ15" s="351">
        <v>0</v>
      </c>
      <c r="HA15" s="225">
        <f t="shared" si="49"/>
        <v>26408.12</v>
      </c>
      <c r="HB15" s="225">
        <f t="shared" si="50"/>
        <v>0</v>
      </c>
      <c r="HC15" s="225">
        <f t="shared" si="51"/>
        <v>0</v>
      </c>
    </row>
    <row r="16" spans="1:211" ht="15" customHeight="1" x14ac:dyDescent="0.2">
      <c r="A16" s="210" t="s">
        <v>414</v>
      </c>
      <c r="B16" s="210" t="s">
        <v>297</v>
      </c>
      <c r="C16" s="210" t="s">
        <v>426</v>
      </c>
      <c r="D16" s="210" t="s">
        <v>426</v>
      </c>
      <c r="E16" s="211">
        <v>0</v>
      </c>
      <c r="F16" s="211">
        <v>0</v>
      </c>
      <c r="G16" s="211">
        <v>0</v>
      </c>
      <c r="H16" s="269">
        <f t="shared" si="8"/>
        <v>0</v>
      </c>
      <c r="I16" s="269">
        <f t="shared" si="9"/>
        <v>0</v>
      </c>
      <c r="J16" s="269">
        <f t="shared" si="10"/>
        <v>0</v>
      </c>
      <c r="S16" s="210" t="s">
        <v>414</v>
      </c>
      <c r="T16" s="212" t="s">
        <v>297</v>
      </c>
      <c r="U16" s="210" t="s">
        <v>416</v>
      </c>
      <c r="V16" s="212" t="s">
        <v>327</v>
      </c>
      <c r="W16" s="211">
        <v>0</v>
      </c>
      <c r="X16" s="211">
        <v>45138031</v>
      </c>
      <c r="Y16" s="211">
        <v>14216571</v>
      </c>
      <c r="Z16" s="259">
        <f t="shared" si="12"/>
        <v>0</v>
      </c>
      <c r="AA16" s="259">
        <f t="shared" si="13"/>
        <v>47033.828302000002</v>
      </c>
      <c r="AB16" s="259">
        <f t="shared" si="14"/>
        <v>14813.666982000001</v>
      </c>
      <c r="AK16" s="210" t="s">
        <v>414</v>
      </c>
      <c r="AL16" s="210" t="s">
        <v>297</v>
      </c>
      <c r="AM16" s="210" t="s">
        <v>426</v>
      </c>
      <c r="AN16" s="210" t="s">
        <v>426</v>
      </c>
      <c r="AO16" s="211">
        <v>0</v>
      </c>
      <c r="AP16" s="211">
        <v>0</v>
      </c>
      <c r="AQ16" s="211">
        <v>0</v>
      </c>
      <c r="AR16" s="211">
        <f t="shared" si="16"/>
        <v>0</v>
      </c>
      <c r="AS16" s="211">
        <f t="shared" si="17"/>
        <v>0</v>
      </c>
      <c r="AT16" s="211">
        <f t="shared" si="18"/>
        <v>0</v>
      </c>
      <c r="BC16" s="210" t="s">
        <v>414</v>
      </c>
      <c r="BD16" s="210" t="s">
        <v>297</v>
      </c>
      <c r="BE16" s="210" t="s">
        <v>416</v>
      </c>
      <c r="BF16" s="210" t="s">
        <v>327</v>
      </c>
      <c r="BG16" s="211">
        <v>0</v>
      </c>
      <c r="BH16" s="211">
        <v>112737439</v>
      </c>
      <c r="BI16" s="211">
        <v>53671821</v>
      </c>
      <c r="BJ16" s="270">
        <f t="shared" si="20"/>
        <v>0</v>
      </c>
      <c r="BK16" s="270">
        <f t="shared" si="21"/>
        <v>117472.411438</v>
      </c>
      <c r="BL16" s="270">
        <f t="shared" si="22"/>
        <v>55926.037482000007</v>
      </c>
      <c r="BU16" s="210" t="s">
        <v>414</v>
      </c>
      <c r="BV16" s="210" t="s">
        <v>297</v>
      </c>
      <c r="BW16" s="210" t="s">
        <v>417</v>
      </c>
      <c r="BX16" s="210" t="s">
        <v>318</v>
      </c>
      <c r="BY16" s="211">
        <v>0</v>
      </c>
      <c r="BZ16" s="211">
        <v>25908120</v>
      </c>
      <c r="CA16" s="211">
        <v>10795050</v>
      </c>
      <c r="CB16" s="211">
        <f t="shared" si="24"/>
        <v>0</v>
      </c>
      <c r="CC16" s="211">
        <f t="shared" si="25"/>
        <v>26996.261040000001</v>
      </c>
      <c r="CD16" s="211">
        <f t="shared" si="26"/>
        <v>11248.4421</v>
      </c>
      <c r="CM16" s="210" t="s">
        <v>414</v>
      </c>
      <c r="CN16" s="210" t="s">
        <v>297</v>
      </c>
      <c r="CO16" s="210" t="s">
        <v>438</v>
      </c>
      <c r="CP16" s="210" t="s">
        <v>320</v>
      </c>
      <c r="CQ16" s="211">
        <v>0</v>
      </c>
      <c r="CR16" s="211">
        <v>11098926</v>
      </c>
      <c r="CS16" s="211">
        <v>5598926</v>
      </c>
      <c r="CT16" s="211">
        <f t="shared" si="28"/>
        <v>0</v>
      </c>
      <c r="CU16" s="211">
        <f t="shared" si="29"/>
        <v>11565.080892</v>
      </c>
      <c r="CV16" s="211">
        <f t="shared" si="30"/>
        <v>5834.0808920000009</v>
      </c>
      <c r="DE16" s="210" t="s">
        <v>414</v>
      </c>
      <c r="DF16" s="212" t="s">
        <v>297</v>
      </c>
      <c r="DG16" s="210" t="s">
        <v>426</v>
      </c>
      <c r="DH16" s="212" t="s">
        <v>426</v>
      </c>
      <c r="DI16" s="211">
        <v>0</v>
      </c>
      <c r="DJ16" s="211">
        <v>0</v>
      </c>
      <c r="DK16" s="211">
        <v>0</v>
      </c>
      <c r="DL16" s="269">
        <f t="shared" si="32"/>
        <v>0</v>
      </c>
      <c r="DM16" s="269">
        <f t="shared" si="33"/>
        <v>0</v>
      </c>
      <c r="DN16" s="269">
        <f t="shared" si="34"/>
        <v>0</v>
      </c>
      <c r="DW16" s="210" t="s">
        <v>414</v>
      </c>
      <c r="DX16" s="212" t="s">
        <v>297</v>
      </c>
      <c r="DY16" s="210" t="s">
        <v>416</v>
      </c>
      <c r="DZ16" s="212" t="s">
        <v>327</v>
      </c>
      <c r="EA16" s="211">
        <v>0</v>
      </c>
      <c r="EB16" s="211">
        <v>112737439</v>
      </c>
      <c r="EC16" s="211">
        <v>53800301</v>
      </c>
      <c r="ED16" s="211">
        <f t="shared" si="36"/>
        <v>0</v>
      </c>
      <c r="EE16" s="211">
        <f t="shared" si="37"/>
        <v>117472.411438</v>
      </c>
      <c r="EF16" s="211">
        <f t="shared" si="38"/>
        <v>56059.913642</v>
      </c>
      <c r="EP16" s="210" t="s">
        <v>414</v>
      </c>
      <c r="EQ16" s="212" t="s">
        <v>297</v>
      </c>
      <c r="ER16" s="210" t="s">
        <v>416</v>
      </c>
      <c r="ES16" s="210" t="s">
        <v>327</v>
      </c>
      <c r="ET16" s="211">
        <v>0</v>
      </c>
      <c r="EU16" s="211">
        <v>81473806</v>
      </c>
      <c r="EV16" s="211">
        <v>112875393</v>
      </c>
      <c r="EW16" s="274">
        <f t="shared" si="40"/>
        <v>0</v>
      </c>
      <c r="EX16" s="274">
        <f t="shared" si="41"/>
        <v>81473.805999999997</v>
      </c>
      <c r="EY16" s="274">
        <f t="shared" si="42"/>
        <v>112875.393</v>
      </c>
      <c r="FJ16" s="221" t="s">
        <v>414</v>
      </c>
      <c r="FK16" s="221" t="s">
        <v>297</v>
      </c>
      <c r="FL16" s="221" t="s">
        <v>426</v>
      </c>
      <c r="FM16" s="221" t="s">
        <v>426</v>
      </c>
      <c r="FN16" s="270">
        <v>0</v>
      </c>
      <c r="FO16" s="270">
        <v>0</v>
      </c>
      <c r="FP16" s="270">
        <v>0</v>
      </c>
      <c r="FQ16" s="270">
        <f t="shared" si="43"/>
        <v>0</v>
      </c>
      <c r="FR16" s="270">
        <f t="shared" si="5"/>
        <v>0</v>
      </c>
      <c r="FS16" s="270">
        <f t="shared" si="5"/>
        <v>0</v>
      </c>
      <c r="GB16" s="199" t="s">
        <v>414</v>
      </c>
      <c r="GC16" s="199" t="s">
        <v>297</v>
      </c>
      <c r="GD16" s="199" t="s">
        <v>426</v>
      </c>
      <c r="GE16" s="199" t="s">
        <v>426</v>
      </c>
      <c r="GF16" s="270">
        <v>0</v>
      </c>
      <c r="GG16" s="270">
        <v>0</v>
      </c>
      <c r="GH16" s="270">
        <v>0</v>
      </c>
      <c r="GI16" s="270">
        <f t="shared" si="45"/>
        <v>0</v>
      </c>
      <c r="GJ16" s="270">
        <f t="shared" si="46"/>
        <v>0</v>
      </c>
      <c r="GK16" s="270">
        <f t="shared" si="47"/>
        <v>0</v>
      </c>
      <c r="GM16" s="210" t="s">
        <v>987</v>
      </c>
      <c r="GN16" s="212" t="s">
        <v>855</v>
      </c>
      <c r="GO16" s="210" t="s">
        <v>426</v>
      </c>
      <c r="GP16" s="210" t="s">
        <v>426</v>
      </c>
      <c r="GQ16" s="211">
        <v>2598750</v>
      </c>
      <c r="GR16" s="351">
        <f t="shared" si="48"/>
        <v>2598.75</v>
      </c>
      <c r="GT16" s="199" t="s">
        <v>414</v>
      </c>
      <c r="GU16" s="199" t="s">
        <v>297</v>
      </c>
      <c r="GV16" s="199" t="s">
        <v>438</v>
      </c>
      <c r="GW16" s="199" t="s">
        <v>320</v>
      </c>
      <c r="GX16" s="351">
        <v>0</v>
      </c>
      <c r="GY16" s="351">
        <v>12301340</v>
      </c>
      <c r="GZ16" s="351">
        <v>12301340</v>
      </c>
      <c r="HA16" s="225">
        <f t="shared" si="49"/>
        <v>0</v>
      </c>
      <c r="HB16" s="225">
        <f t="shared" si="50"/>
        <v>12301.34</v>
      </c>
      <c r="HC16" s="225">
        <f t="shared" si="51"/>
        <v>12301.34</v>
      </c>
    </row>
    <row r="17" spans="1:211" ht="15" customHeight="1" x14ac:dyDescent="0.2">
      <c r="A17" s="210" t="s">
        <v>414</v>
      </c>
      <c r="B17" s="210" t="s">
        <v>297</v>
      </c>
      <c r="C17" s="210" t="s">
        <v>417</v>
      </c>
      <c r="D17" s="210" t="s">
        <v>318</v>
      </c>
      <c r="E17" s="211">
        <v>0</v>
      </c>
      <c r="F17" s="211">
        <v>25908120</v>
      </c>
      <c r="G17" s="211">
        <v>2159010</v>
      </c>
      <c r="H17" s="269">
        <f t="shared" si="8"/>
        <v>0</v>
      </c>
      <c r="I17" s="269">
        <f t="shared" si="9"/>
        <v>26996.261040000001</v>
      </c>
      <c r="J17" s="269">
        <f t="shared" si="10"/>
        <v>2249.6884200000004</v>
      </c>
      <c r="S17" s="210" t="s">
        <v>414</v>
      </c>
      <c r="T17" s="212" t="s">
        <v>297</v>
      </c>
      <c r="U17" s="210" t="s">
        <v>417</v>
      </c>
      <c r="V17" s="212" t="s">
        <v>318</v>
      </c>
      <c r="W17" s="211">
        <v>0</v>
      </c>
      <c r="X17" s="211">
        <v>25908120</v>
      </c>
      <c r="Y17" s="211">
        <v>4318020</v>
      </c>
      <c r="Z17" s="259">
        <f t="shared" si="12"/>
        <v>0</v>
      </c>
      <c r="AA17" s="259">
        <f t="shared" si="13"/>
        <v>26996.261040000001</v>
      </c>
      <c r="AB17" s="259">
        <f t="shared" si="14"/>
        <v>4499.3768400000008</v>
      </c>
      <c r="AK17" s="210" t="s">
        <v>414</v>
      </c>
      <c r="AL17" s="210" t="s">
        <v>297</v>
      </c>
      <c r="AM17" s="210" t="s">
        <v>415</v>
      </c>
      <c r="AN17" s="210" t="s">
        <v>317</v>
      </c>
      <c r="AO17" s="211">
        <v>0</v>
      </c>
      <c r="AP17" s="211">
        <v>1056663757</v>
      </c>
      <c r="AQ17" s="211">
        <v>189651376</v>
      </c>
      <c r="AR17" s="211">
        <f t="shared" si="16"/>
        <v>0</v>
      </c>
      <c r="AS17" s="211">
        <f t="shared" si="17"/>
        <v>1101043.6347940001</v>
      </c>
      <c r="AT17" s="211">
        <f t="shared" si="18"/>
        <v>197616.73379199998</v>
      </c>
      <c r="BC17" s="210" t="s">
        <v>414</v>
      </c>
      <c r="BD17" s="210" t="s">
        <v>297</v>
      </c>
      <c r="BE17" s="210" t="s">
        <v>426</v>
      </c>
      <c r="BF17" s="210" t="s">
        <v>426</v>
      </c>
      <c r="BG17" s="211">
        <v>0</v>
      </c>
      <c r="BH17" s="211">
        <v>0</v>
      </c>
      <c r="BI17" s="211">
        <v>0</v>
      </c>
      <c r="BJ17" s="270">
        <f t="shared" si="20"/>
        <v>0</v>
      </c>
      <c r="BK17" s="270">
        <f t="shared" si="21"/>
        <v>0</v>
      </c>
      <c r="BL17" s="270">
        <f t="shared" si="22"/>
        <v>0</v>
      </c>
      <c r="BU17" s="210" t="s">
        <v>414</v>
      </c>
      <c r="BV17" s="210" t="s">
        <v>297</v>
      </c>
      <c r="BW17" s="210" t="s">
        <v>438</v>
      </c>
      <c r="BX17" s="210" t="s">
        <v>320</v>
      </c>
      <c r="BY17" s="211">
        <v>0</v>
      </c>
      <c r="BZ17" s="211">
        <v>11098926</v>
      </c>
      <c r="CA17" s="211">
        <v>5598926</v>
      </c>
      <c r="CB17" s="211">
        <f t="shared" si="24"/>
        <v>0</v>
      </c>
      <c r="CC17" s="211">
        <f t="shared" si="25"/>
        <v>11565.080892</v>
      </c>
      <c r="CD17" s="211">
        <f t="shared" si="26"/>
        <v>5834.0808920000009</v>
      </c>
      <c r="CM17" s="210" t="s">
        <v>414</v>
      </c>
      <c r="CN17" s="210" t="s">
        <v>297</v>
      </c>
      <c r="CO17" s="210" t="s">
        <v>417</v>
      </c>
      <c r="CP17" s="210" t="s">
        <v>318</v>
      </c>
      <c r="CQ17" s="211">
        <v>0</v>
      </c>
      <c r="CR17" s="211">
        <v>25908120</v>
      </c>
      <c r="CS17" s="211">
        <v>12954060</v>
      </c>
      <c r="CT17" s="211">
        <f t="shared" si="28"/>
        <v>0</v>
      </c>
      <c r="CU17" s="211">
        <f t="shared" si="29"/>
        <v>26996.261040000001</v>
      </c>
      <c r="CV17" s="211">
        <f t="shared" si="30"/>
        <v>13498.130520000001</v>
      </c>
      <c r="DE17" s="210" t="s">
        <v>414</v>
      </c>
      <c r="DF17" s="212" t="s">
        <v>297</v>
      </c>
      <c r="DG17" s="210" t="s">
        <v>416</v>
      </c>
      <c r="DH17" s="212" t="s">
        <v>327</v>
      </c>
      <c r="DI17" s="211">
        <v>0</v>
      </c>
      <c r="DJ17" s="211">
        <v>112737439</v>
      </c>
      <c r="DK17" s="211">
        <v>53800301</v>
      </c>
      <c r="DL17" s="269">
        <f t="shared" si="32"/>
        <v>0</v>
      </c>
      <c r="DM17" s="269">
        <f t="shared" si="33"/>
        <v>117472.411438</v>
      </c>
      <c r="DN17" s="269">
        <f t="shared" si="34"/>
        <v>56059.913642</v>
      </c>
      <c r="DW17" s="210" t="s">
        <v>414</v>
      </c>
      <c r="DX17" s="212" t="s">
        <v>297</v>
      </c>
      <c r="DY17" s="210" t="s">
        <v>426</v>
      </c>
      <c r="DZ17" s="212" t="s">
        <v>426</v>
      </c>
      <c r="EA17" s="211">
        <v>0</v>
      </c>
      <c r="EB17" s="211">
        <v>0</v>
      </c>
      <c r="EC17" s="211">
        <v>0</v>
      </c>
      <c r="ED17" s="211">
        <f t="shared" si="36"/>
        <v>0</v>
      </c>
      <c r="EE17" s="211">
        <f t="shared" si="37"/>
        <v>0</v>
      </c>
      <c r="EF17" s="211">
        <f t="shared" si="38"/>
        <v>0</v>
      </c>
      <c r="EP17" s="210" t="s">
        <v>414</v>
      </c>
      <c r="EQ17" s="212" t="s">
        <v>297</v>
      </c>
      <c r="ER17" s="210" t="s">
        <v>415</v>
      </c>
      <c r="ES17" s="210" t="s">
        <v>317</v>
      </c>
      <c r="ET17" s="211">
        <v>0</v>
      </c>
      <c r="EU17" s="211">
        <v>1115711573</v>
      </c>
      <c r="EV17" s="211">
        <v>1171884058</v>
      </c>
      <c r="EW17" s="274">
        <f t="shared" si="40"/>
        <v>0</v>
      </c>
      <c r="EX17" s="274">
        <f t="shared" si="41"/>
        <v>1115711.5730000001</v>
      </c>
      <c r="EY17" s="274">
        <f t="shared" si="42"/>
        <v>1171884.058</v>
      </c>
      <c r="FJ17" s="221" t="s">
        <v>414</v>
      </c>
      <c r="FK17" s="221" t="s">
        <v>297</v>
      </c>
      <c r="FL17" s="221" t="s">
        <v>416</v>
      </c>
      <c r="FM17" s="221" t="s">
        <v>327</v>
      </c>
      <c r="FN17" s="270">
        <v>0</v>
      </c>
      <c r="FO17" s="270">
        <v>167544411</v>
      </c>
      <c r="FP17" s="270">
        <v>81473806</v>
      </c>
      <c r="FQ17" s="270">
        <f t="shared" si="43"/>
        <v>0</v>
      </c>
      <c r="FR17" s="270">
        <f t="shared" si="5"/>
        <v>167544.41099999999</v>
      </c>
      <c r="FS17" s="270">
        <f t="shared" si="5"/>
        <v>81473.805999999997</v>
      </c>
      <c r="GB17" s="199" t="s">
        <v>414</v>
      </c>
      <c r="GC17" s="199" t="s">
        <v>297</v>
      </c>
      <c r="GD17" s="199" t="s">
        <v>438</v>
      </c>
      <c r="GE17" s="199" t="s">
        <v>320</v>
      </c>
      <c r="GF17" s="270">
        <v>0</v>
      </c>
      <c r="GG17" s="270">
        <v>12114330</v>
      </c>
      <c r="GH17" s="270">
        <v>10184330</v>
      </c>
      <c r="GI17" s="270">
        <f t="shared" si="45"/>
        <v>0</v>
      </c>
      <c r="GJ17" s="270">
        <f t="shared" si="46"/>
        <v>12114.33</v>
      </c>
      <c r="GK17" s="270">
        <f t="shared" si="47"/>
        <v>10184.33</v>
      </c>
      <c r="GM17" s="210" t="s">
        <v>440</v>
      </c>
      <c r="GN17" s="212" t="s">
        <v>441</v>
      </c>
      <c r="GO17" s="210" t="s">
        <v>426</v>
      </c>
      <c r="GP17" s="210" t="s">
        <v>426</v>
      </c>
      <c r="GQ17" s="211">
        <v>259951188</v>
      </c>
      <c r="GR17" s="351">
        <f t="shared" si="48"/>
        <v>259951.18799999999</v>
      </c>
      <c r="GT17" s="199" t="s">
        <v>414</v>
      </c>
      <c r="GU17" s="199" t="s">
        <v>297</v>
      </c>
      <c r="GV17" s="199" t="s">
        <v>416</v>
      </c>
      <c r="GW17" s="199" t="s">
        <v>327</v>
      </c>
      <c r="GX17" s="351">
        <v>0</v>
      </c>
      <c r="GY17" s="351">
        <v>176905587</v>
      </c>
      <c r="GZ17" s="351">
        <v>184258824</v>
      </c>
      <c r="HA17" s="225">
        <f t="shared" si="49"/>
        <v>0</v>
      </c>
      <c r="HB17" s="225">
        <f t="shared" si="50"/>
        <v>176905.587</v>
      </c>
      <c r="HC17" s="225">
        <f t="shared" si="51"/>
        <v>184258.82399999999</v>
      </c>
    </row>
    <row r="18" spans="1:211" ht="15" customHeight="1" x14ac:dyDescent="0.2">
      <c r="A18" s="210" t="s">
        <v>414</v>
      </c>
      <c r="B18" s="210" t="s">
        <v>297</v>
      </c>
      <c r="C18" s="210" t="s">
        <v>438</v>
      </c>
      <c r="D18" s="210" t="s">
        <v>320</v>
      </c>
      <c r="E18" s="211">
        <v>0</v>
      </c>
      <c r="F18" s="211">
        <v>995769</v>
      </c>
      <c r="G18" s="211">
        <v>0</v>
      </c>
      <c r="H18" s="269">
        <f t="shared" si="8"/>
        <v>0</v>
      </c>
      <c r="I18" s="269">
        <f t="shared" si="9"/>
        <v>1037.5912980000001</v>
      </c>
      <c r="J18" s="269">
        <f t="shared" si="10"/>
        <v>0</v>
      </c>
      <c r="S18" s="210" t="s">
        <v>414</v>
      </c>
      <c r="T18" s="212" t="s">
        <v>297</v>
      </c>
      <c r="U18" s="210" t="s">
        <v>438</v>
      </c>
      <c r="V18" s="212" t="s">
        <v>320</v>
      </c>
      <c r="W18" s="211">
        <v>0</v>
      </c>
      <c r="X18" s="211">
        <v>1227819</v>
      </c>
      <c r="Y18" s="211">
        <v>995769</v>
      </c>
      <c r="Z18" s="259">
        <f t="shared" si="12"/>
        <v>0</v>
      </c>
      <c r="AA18" s="259">
        <f t="shared" si="13"/>
        <v>1279.3873980000001</v>
      </c>
      <c r="AB18" s="259">
        <f t="shared" si="14"/>
        <v>1037.5912980000001</v>
      </c>
      <c r="AK18" s="210" t="s">
        <v>414</v>
      </c>
      <c r="AL18" s="210" t="s">
        <v>297</v>
      </c>
      <c r="AM18" s="210" t="s">
        <v>416</v>
      </c>
      <c r="AN18" s="210" t="s">
        <v>327</v>
      </c>
      <c r="AO18" s="211">
        <v>0</v>
      </c>
      <c r="AP18" s="211">
        <v>144035314</v>
      </c>
      <c r="AQ18" s="211">
        <v>15109166</v>
      </c>
      <c r="AR18" s="211">
        <f t="shared" si="16"/>
        <v>0</v>
      </c>
      <c r="AS18" s="211">
        <f t="shared" si="17"/>
        <v>150084.79718800003</v>
      </c>
      <c r="AT18" s="211">
        <f t="shared" si="18"/>
        <v>15743.750972</v>
      </c>
      <c r="BC18" s="210" t="s">
        <v>414</v>
      </c>
      <c r="BD18" s="210" t="s">
        <v>297</v>
      </c>
      <c r="BE18" s="210" t="s">
        <v>417</v>
      </c>
      <c r="BF18" s="210" t="s">
        <v>318</v>
      </c>
      <c r="BG18" s="211">
        <v>0</v>
      </c>
      <c r="BH18" s="211">
        <v>25908120</v>
      </c>
      <c r="BI18" s="211">
        <v>8636040</v>
      </c>
      <c r="BJ18" s="270">
        <f t="shared" si="20"/>
        <v>0</v>
      </c>
      <c r="BK18" s="270">
        <f t="shared" si="21"/>
        <v>26996.261040000001</v>
      </c>
      <c r="BL18" s="270">
        <f t="shared" si="22"/>
        <v>8998.7536800000016</v>
      </c>
      <c r="BU18" s="210" t="s">
        <v>414</v>
      </c>
      <c r="BV18" s="210" t="s">
        <v>297</v>
      </c>
      <c r="BW18" s="210" t="s">
        <v>426</v>
      </c>
      <c r="BX18" s="210" t="s">
        <v>426</v>
      </c>
      <c r="BY18" s="211">
        <v>0</v>
      </c>
      <c r="BZ18" s="211">
        <v>0</v>
      </c>
      <c r="CA18" s="211">
        <v>0</v>
      </c>
      <c r="CB18" s="211">
        <f t="shared" si="24"/>
        <v>0</v>
      </c>
      <c r="CC18" s="211">
        <f t="shared" si="25"/>
        <v>0</v>
      </c>
      <c r="CD18" s="211">
        <f t="shared" si="26"/>
        <v>0</v>
      </c>
      <c r="CM18" s="210" t="s">
        <v>414</v>
      </c>
      <c r="CN18" s="210" t="s">
        <v>297</v>
      </c>
      <c r="CO18" s="210" t="s">
        <v>426</v>
      </c>
      <c r="CP18" s="210" t="s">
        <v>426</v>
      </c>
      <c r="CQ18" s="211">
        <v>0</v>
      </c>
      <c r="CR18" s="211">
        <v>0</v>
      </c>
      <c r="CS18" s="211">
        <v>0</v>
      </c>
      <c r="CT18" s="211">
        <f t="shared" si="28"/>
        <v>0</v>
      </c>
      <c r="CU18" s="211">
        <f t="shared" si="29"/>
        <v>0</v>
      </c>
      <c r="CV18" s="211">
        <f t="shared" si="30"/>
        <v>0</v>
      </c>
      <c r="DE18" s="210" t="s">
        <v>414</v>
      </c>
      <c r="DF18" s="212" t="s">
        <v>297</v>
      </c>
      <c r="DG18" s="210" t="s">
        <v>415</v>
      </c>
      <c r="DH18" s="212" t="s">
        <v>317</v>
      </c>
      <c r="DI18" s="211">
        <v>0</v>
      </c>
      <c r="DJ18" s="211">
        <v>1164704829</v>
      </c>
      <c r="DK18" s="211">
        <v>1044931923</v>
      </c>
      <c r="DL18" s="269">
        <f t="shared" si="32"/>
        <v>0</v>
      </c>
      <c r="DM18" s="269">
        <f t="shared" si="33"/>
        <v>1213622.431818</v>
      </c>
      <c r="DN18" s="269">
        <f t="shared" si="34"/>
        <v>1088819.0637660001</v>
      </c>
      <c r="DW18" s="210" t="s">
        <v>414</v>
      </c>
      <c r="DX18" s="212" t="s">
        <v>297</v>
      </c>
      <c r="DY18" s="210" t="s">
        <v>438</v>
      </c>
      <c r="DZ18" s="212" t="s">
        <v>320</v>
      </c>
      <c r="EA18" s="211">
        <v>0</v>
      </c>
      <c r="EB18" s="211">
        <v>11098926</v>
      </c>
      <c r="EC18" s="211">
        <v>5598926</v>
      </c>
      <c r="ED18" s="211">
        <f t="shared" si="36"/>
        <v>0</v>
      </c>
      <c r="EE18" s="211">
        <f t="shared" si="37"/>
        <v>11565.080892</v>
      </c>
      <c r="EF18" s="211">
        <f t="shared" si="38"/>
        <v>5834.0808920000009</v>
      </c>
      <c r="EP18" s="210" t="s">
        <v>414</v>
      </c>
      <c r="EQ18" s="212" t="s">
        <v>297</v>
      </c>
      <c r="ER18" s="210" t="s">
        <v>426</v>
      </c>
      <c r="ES18" s="210" t="s">
        <v>426</v>
      </c>
      <c r="ET18" s="211">
        <v>0</v>
      </c>
      <c r="EU18" s="211">
        <v>0</v>
      </c>
      <c r="EV18" s="211">
        <v>0</v>
      </c>
      <c r="EW18" s="274">
        <f t="shared" si="40"/>
        <v>0</v>
      </c>
      <c r="EX18" s="274">
        <f t="shared" si="41"/>
        <v>0</v>
      </c>
      <c r="EY18" s="274">
        <f t="shared" si="42"/>
        <v>0</v>
      </c>
      <c r="FJ18" s="221" t="s">
        <v>414</v>
      </c>
      <c r="FK18" s="221" t="s">
        <v>297</v>
      </c>
      <c r="FL18" s="221" t="s">
        <v>415</v>
      </c>
      <c r="FM18" s="221" t="s">
        <v>317</v>
      </c>
      <c r="FN18" s="270">
        <v>0</v>
      </c>
      <c r="FO18" s="270">
        <v>1773913764</v>
      </c>
      <c r="FP18" s="270">
        <v>1171867658</v>
      </c>
      <c r="FQ18" s="270">
        <f t="shared" si="43"/>
        <v>0</v>
      </c>
      <c r="FR18" s="270">
        <f t="shared" si="5"/>
        <v>1773913.764</v>
      </c>
      <c r="FS18" s="270">
        <f t="shared" si="5"/>
        <v>1171867.6580000001</v>
      </c>
      <c r="GB18" s="199" t="s">
        <v>414</v>
      </c>
      <c r="GC18" s="199" t="s">
        <v>297</v>
      </c>
      <c r="GD18" s="199" t="s">
        <v>417</v>
      </c>
      <c r="GE18" s="199" t="s">
        <v>318</v>
      </c>
      <c r="GF18" s="270">
        <v>0</v>
      </c>
      <c r="GG18" s="270">
        <v>25908120</v>
      </c>
      <c r="GH18" s="270">
        <v>23749110</v>
      </c>
      <c r="GI18" s="270">
        <f t="shared" si="45"/>
        <v>0</v>
      </c>
      <c r="GJ18" s="270">
        <f t="shared" si="46"/>
        <v>25908.12</v>
      </c>
      <c r="GK18" s="270">
        <f t="shared" si="47"/>
        <v>23749.11</v>
      </c>
      <c r="GM18" s="210" t="s">
        <v>442</v>
      </c>
      <c r="GN18" s="212" t="s">
        <v>443</v>
      </c>
      <c r="GO18" s="210" t="s">
        <v>426</v>
      </c>
      <c r="GP18" s="210" t="s">
        <v>426</v>
      </c>
      <c r="GQ18" s="211">
        <v>74518740</v>
      </c>
      <c r="GR18" s="351">
        <f t="shared" si="48"/>
        <v>74518.740000000005</v>
      </c>
      <c r="GT18" s="199" t="s">
        <v>414</v>
      </c>
      <c r="GU18" s="199" t="s">
        <v>297</v>
      </c>
      <c r="GV18" s="199" t="s">
        <v>415</v>
      </c>
      <c r="GW18" s="199" t="s">
        <v>317</v>
      </c>
      <c r="GX18" s="351">
        <v>0</v>
      </c>
      <c r="GY18" s="351">
        <v>2255034497</v>
      </c>
      <c r="GZ18" s="351">
        <v>2307794645</v>
      </c>
      <c r="HA18" s="225">
        <f t="shared" si="49"/>
        <v>0</v>
      </c>
      <c r="HB18" s="225">
        <f t="shared" si="50"/>
        <v>2255034.497</v>
      </c>
      <c r="HC18" s="225">
        <f t="shared" si="51"/>
        <v>2307794.645</v>
      </c>
    </row>
    <row r="19" spans="1:211" ht="15" customHeight="1" x14ac:dyDescent="0.2">
      <c r="A19" s="210" t="s">
        <v>480</v>
      </c>
      <c r="B19" s="210" t="s">
        <v>495</v>
      </c>
      <c r="C19" s="210" t="s">
        <v>426</v>
      </c>
      <c r="D19" s="210" t="s">
        <v>426</v>
      </c>
      <c r="E19" s="211">
        <v>42435000</v>
      </c>
      <c r="F19" s="211">
        <v>0</v>
      </c>
      <c r="G19" s="211">
        <v>0</v>
      </c>
      <c r="H19" s="269">
        <f t="shared" si="8"/>
        <v>44217.270000000004</v>
      </c>
      <c r="I19" s="269">
        <f t="shared" si="9"/>
        <v>0</v>
      </c>
      <c r="J19" s="269">
        <f t="shared" si="10"/>
        <v>0</v>
      </c>
      <c r="S19" s="210" t="s">
        <v>414</v>
      </c>
      <c r="T19" s="212" t="s">
        <v>297</v>
      </c>
      <c r="U19" s="210" t="s">
        <v>426</v>
      </c>
      <c r="V19" s="212" t="s">
        <v>426</v>
      </c>
      <c r="W19" s="211">
        <v>0</v>
      </c>
      <c r="X19" s="211">
        <v>0</v>
      </c>
      <c r="Y19" s="211">
        <v>0</v>
      </c>
      <c r="Z19" s="259">
        <f t="shared" si="12"/>
        <v>0</v>
      </c>
      <c r="AA19" s="259">
        <f t="shared" si="13"/>
        <v>0</v>
      </c>
      <c r="AB19" s="259">
        <f t="shared" si="14"/>
        <v>0</v>
      </c>
      <c r="AK19" s="210" t="s">
        <v>414</v>
      </c>
      <c r="AL19" s="210" t="s">
        <v>297</v>
      </c>
      <c r="AM19" s="210" t="s">
        <v>417</v>
      </c>
      <c r="AN19" s="210" t="s">
        <v>318</v>
      </c>
      <c r="AO19" s="211">
        <v>0</v>
      </c>
      <c r="AP19" s="211">
        <v>25908120</v>
      </c>
      <c r="AQ19" s="211">
        <v>6477030</v>
      </c>
      <c r="AR19" s="211">
        <f t="shared" si="16"/>
        <v>0</v>
      </c>
      <c r="AS19" s="211">
        <f t="shared" si="17"/>
        <v>26996.261040000001</v>
      </c>
      <c r="AT19" s="211">
        <f t="shared" si="18"/>
        <v>6749.0652600000003</v>
      </c>
      <c r="BC19" s="210" t="s">
        <v>414</v>
      </c>
      <c r="BD19" s="210" t="s">
        <v>297</v>
      </c>
      <c r="BE19" s="210" t="s">
        <v>438</v>
      </c>
      <c r="BF19" s="210" t="s">
        <v>320</v>
      </c>
      <c r="BG19" s="211">
        <v>0</v>
      </c>
      <c r="BH19" s="211">
        <v>11098926</v>
      </c>
      <c r="BI19" s="211">
        <v>2307006</v>
      </c>
      <c r="BJ19" s="270">
        <f t="shared" si="20"/>
        <v>0</v>
      </c>
      <c r="BK19" s="270">
        <f t="shared" si="21"/>
        <v>11565.080892</v>
      </c>
      <c r="BL19" s="270">
        <f t="shared" si="22"/>
        <v>2403.9002519999999</v>
      </c>
      <c r="BU19" s="210" t="s">
        <v>414</v>
      </c>
      <c r="BV19" s="210" t="s">
        <v>297</v>
      </c>
      <c r="BW19" s="210" t="s">
        <v>415</v>
      </c>
      <c r="BX19" s="210" t="s">
        <v>317</v>
      </c>
      <c r="BY19" s="211">
        <v>0</v>
      </c>
      <c r="BZ19" s="211">
        <v>1332425332</v>
      </c>
      <c r="CA19" s="211">
        <v>788775941</v>
      </c>
      <c r="CB19" s="211">
        <f t="shared" si="24"/>
        <v>0</v>
      </c>
      <c r="CC19" s="211">
        <f t="shared" si="25"/>
        <v>1388387.195944</v>
      </c>
      <c r="CD19" s="211">
        <f t="shared" si="26"/>
        <v>821904.53052200004</v>
      </c>
      <c r="CM19" s="210" t="s">
        <v>414</v>
      </c>
      <c r="CN19" s="210" t="s">
        <v>297</v>
      </c>
      <c r="CO19" s="210" t="s">
        <v>416</v>
      </c>
      <c r="CP19" s="210" t="s">
        <v>327</v>
      </c>
      <c r="CQ19" s="211">
        <v>0</v>
      </c>
      <c r="CR19" s="211">
        <v>112737439</v>
      </c>
      <c r="CS19" s="211">
        <v>53800301</v>
      </c>
      <c r="CT19" s="211">
        <f t="shared" si="28"/>
        <v>0</v>
      </c>
      <c r="CU19" s="211">
        <f t="shared" si="29"/>
        <v>117472.411438</v>
      </c>
      <c r="CV19" s="211">
        <f t="shared" si="30"/>
        <v>56059.913642</v>
      </c>
      <c r="DE19" s="210" t="s">
        <v>414</v>
      </c>
      <c r="DF19" s="212" t="s">
        <v>297</v>
      </c>
      <c r="DG19" s="210" t="s">
        <v>438</v>
      </c>
      <c r="DH19" s="212" t="s">
        <v>320</v>
      </c>
      <c r="DI19" s="211">
        <v>0</v>
      </c>
      <c r="DJ19" s="211">
        <v>11098926</v>
      </c>
      <c r="DK19" s="211">
        <v>5598926</v>
      </c>
      <c r="DL19" s="269">
        <f t="shared" si="32"/>
        <v>0</v>
      </c>
      <c r="DM19" s="269">
        <f t="shared" si="33"/>
        <v>11565.080892</v>
      </c>
      <c r="DN19" s="269">
        <f t="shared" si="34"/>
        <v>5834.0808920000009</v>
      </c>
      <c r="DW19" s="210" t="s">
        <v>414</v>
      </c>
      <c r="DX19" s="212" t="s">
        <v>297</v>
      </c>
      <c r="DY19" s="210" t="s">
        <v>417</v>
      </c>
      <c r="DZ19" s="212" t="s">
        <v>318</v>
      </c>
      <c r="EA19" s="211">
        <v>0</v>
      </c>
      <c r="EB19" s="211">
        <v>25908120</v>
      </c>
      <c r="EC19" s="211">
        <v>17272080</v>
      </c>
      <c r="ED19" s="211">
        <f t="shared" si="36"/>
        <v>0</v>
      </c>
      <c r="EE19" s="211">
        <f t="shared" si="37"/>
        <v>26996.261040000001</v>
      </c>
      <c r="EF19" s="211">
        <f t="shared" si="38"/>
        <v>17997.507360000003</v>
      </c>
      <c r="EP19" s="210" t="s">
        <v>414</v>
      </c>
      <c r="EQ19" s="212" t="s">
        <v>297</v>
      </c>
      <c r="ER19" s="210" t="s">
        <v>417</v>
      </c>
      <c r="ES19" s="210" t="s">
        <v>318</v>
      </c>
      <c r="ET19" s="211">
        <v>0</v>
      </c>
      <c r="EU19" s="211">
        <v>19431090</v>
      </c>
      <c r="EV19" s="211">
        <v>25908120</v>
      </c>
      <c r="EW19" s="274">
        <f t="shared" si="40"/>
        <v>0</v>
      </c>
      <c r="EX19" s="274">
        <f t="shared" si="41"/>
        <v>19431.09</v>
      </c>
      <c r="EY19" s="274">
        <f t="shared" si="42"/>
        <v>25908.12</v>
      </c>
      <c r="FJ19" s="221" t="s">
        <v>414</v>
      </c>
      <c r="FK19" s="221" t="s">
        <v>297</v>
      </c>
      <c r="FL19" s="221" t="s">
        <v>417</v>
      </c>
      <c r="FM19" s="221" t="s">
        <v>318</v>
      </c>
      <c r="FN19" s="270">
        <v>0</v>
      </c>
      <c r="FO19" s="270">
        <v>25908120</v>
      </c>
      <c r="FP19" s="270">
        <v>21590100</v>
      </c>
      <c r="FQ19" s="270">
        <f t="shared" si="43"/>
        <v>0</v>
      </c>
      <c r="FR19" s="270">
        <f t="shared" ref="FR19:FR53" si="52">FO19/$FQ$1*$FR$1</f>
        <v>25908.12</v>
      </c>
      <c r="FS19" s="270">
        <f t="shared" ref="FS19:FS53" si="53">FP19/$FQ$1*$FR$1</f>
        <v>21590.1</v>
      </c>
      <c r="GB19" s="199" t="s">
        <v>414</v>
      </c>
      <c r="GC19" s="199" t="s">
        <v>297</v>
      </c>
      <c r="GD19" s="199" t="s">
        <v>415</v>
      </c>
      <c r="GE19" s="199" t="s">
        <v>317</v>
      </c>
      <c r="GF19" s="270">
        <v>0</v>
      </c>
      <c r="GG19" s="270">
        <v>2153111473</v>
      </c>
      <c r="GH19" s="270">
        <v>1661999983</v>
      </c>
      <c r="GI19" s="270">
        <f t="shared" si="45"/>
        <v>0</v>
      </c>
      <c r="GJ19" s="270">
        <f t="shared" si="46"/>
        <v>2153111.4730000002</v>
      </c>
      <c r="GK19" s="270">
        <f t="shared" si="47"/>
        <v>1661999.983</v>
      </c>
      <c r="GM19" s="210" t="s">
        <v>501</v>
      </c>
      <c r="GN19" s="212" t="s">
        <v>504</v>
      </c>
      <c r="GO19" s="210" t="s">
        <v>426</v>
      </c>
      <c r="GP19" s="210" t="s">
        <v>426</v>
      </c>
      <c r="GQ19" s="211">
        <v>23990400</v>
      </c>
      <c r="GR19" s="351">
        <f t="shared" si="48"/>
        <v>23990.400000000001</v>
      </c>
      <c r="GT19" s="199" t="s">
        <v>414</v>
      </c>
      <c r="GU19" s="199" t="s">
        <v>297</v>
      </c>
      <c r="GV19" s="199" t="s">
        <v>426</v>
      </c>
      <c r="GW19" s="199" t="s">
        <v>426</v>
      </c>
      <c r="GX19" s="351">
        <v>0</v>
      </c>
      <c r="GY19" s="351">
        <v>0</v>
      </c>
      <c r="GZ19" s="351">
        <v>0</v>
      </c>
      <c r="HA19" s="225">
        <f t="shared" si="49"/>
        <v>0</v>
      </c>
      <c r="HB19" s="225">
        <f t="shared" si="50"/>
        <v>0</v>
      </c>
      <c r="HC19" s="225">
        <f t="shared" si="51"/>
        <v>0</v>
      </c>
    </row>
    <row r="20" spans="1:211" ht="15" customHeight="1" x14ac:dyDescent="0.2">
      <c r="A20" s="210" t="s">
        <v>418</v>
      </c>
      <c r="B20" s="210" t="s">
        <v>323</v>
      </c>
      <c r="C20" s="210" t="s">
        <v>473</v>
      </c>
      <c r="D20" s="210" t="s">
        <v>589</v>
      </c>
      <c r="E20" s="211">
        <v>524827000</v>
      </c>
      <c r="F20" s="211">
        <v>0</v>
      </c>
      <c r="G20" s="211">
        <v>0</v>
      </c>
      <c r="H20" s="269">
        <f t="shared" si="8"/>
        <v>546869.73400000005</v>
      </c>
      <c r="I20" s="269">
        <f t="shared" si="9"/>
        <v>0</v>
      </c>
      <c r="J20" s="269">
        <f t="shared" si="10"/>
        <v>0</v>
      </c>
      <c r="S20" s="210" t="s">
        <v>480</v>
      </c>
      <c r="T20" s="212" t="s">
        <v>495</v>
      </c>
      <c r="U20" s="210" t="s">
        <v>426</v>
      </c>
      <c r="V20" s="212" t="s">
        <v>426</v>
      </c>
      <c r="W20" s="211">
        <v>42435000</v>
      </c>
      <c r="X20" s="211">
        <v>0</v>
      </c>
      <c r="Y20" s="211">
        <v>0</v>
      </c>
      <c r="Z20" s="259">
        <f t="shared" si="12"/>
        <v>44217.270000000004</v>
      </c>
      <c r="AA20" s="259">
        <f t="shared" si="13"/>
        <v>0</v>
      </c>
      <c r="AB20" s="259">
        <f t="shared" si="14"/>
        <v>0</v>
      </c>
      <c r="AK20" s="210" t="s">
        <v>480</v>
      </c>
      <c r="AL20" s="210" t="s">
        <v>495</v>
      </c>
      <c r="AM20" s="210" t="s">
        <v>426</v>
      </c>
      <c r="AN20" s="210" t="s">
        <v>426</v>
      </c>
      <c r="AO20" s="211">
        <v>42435000</v>
      </c>
      <c r="AP20" s="211">
        <v>0</v>
      </c>
      <c r="AQ20" s="211">
        <v>0</v>
      </c>
      <c r="AR20" s="211">
        <f t="shared" si="16"/>
        <v>44217.270000000004</v>
      </c>
      <c r="AS20" s="211">
        <f t="shared" si="17"/>
        <v>0</v>
      </c>
      <c r="AT20" s="211">
        <f t="shared" si="18"/>
        <v>0</v>
      </c>
      <c r="BC20" s="210" t="s">
        <v>480</v>
      </c>
      <c r="BD20" s="210" t="s">
        <v>495</v>
      </c>
      <c r="BE20" s="210" t="s">
        <v>426</v>
      </c>
      <c r="BF20" s="210" t="s">
        <v>426</v>
      </c>
      <c r="BG20" s="211">
        <v>42435000</v>
      </c>
      <c r="BH20" s="211">
        <v>0</v>
      </c>
      <c r="BI20" s="211">
        <v>0</v>
      </c>
      <c r="BJ20" s="270">
        <f t="shared" si="20"/>
        <v>44217.270000000004</v>
      </c>
      <c r="BK20" s="270">
        <f t="shared" si="21"/>
        <v>0</v>
      </c>
      <c r="BL20" s="270">
        <f t="shared" si="22"/>
        <v>0</v>
      </c>
      <c r="BU20" s="210" t="s">
        <v>480</v>
      </c>
      <c r="BV20" s="210" t="s">
        <v>495</v>
      </c>
      <c r="BW20" s="210" t="s">
        <v>426</v>
      </c>
      <c r="BX20" s="210" t="s">
        <v>426</v>
      </c>
      <c r="BY20" s="211">
        <v>42435000</v>
      </c>
      <c r="BZ20" s="211">
        <v>0</v>
      </c>
      <c r="CA20" s="211">
        <v>0</v>
      </c>
      <c r="CB20" s="211">
        <f t="shared" si="24"/>
        <v>44217.270000000004</v>
      </c>
      <c r="CC20" s="211">
        <f t="shared" si="25"/>
        <v>0</v>
      </c>
      <c r="CD20" s="211">
        <f t="shared" si="26"/>
        <v>0</v>
      </c>
      <c r="CM20" s="210" t="s">
        <v>480</v>
      </c>
      <c r="CN20" s="210" t="s">
        <v>495</v>
      </c>
      <c r="CO20" s="210" t="s">
        <v>426</v>
      </c>
      <c r="CP20" s="210" t="s">
        <v>426</v>
      </c>
      <c r="CQ20" s="211">
        <v>42435000</v>
      </c>
      <c r="CR20" s="211">
        <v>0</v>
      </c>
      <c r="CS20" s="211">
        <v>0</v>
      </c>
      <c r="CT20" s="211">
        <f t="shared" si="28"/>
        <v>44217.270000000004</v>
      </c>
      <c r="CU20" s="211">
        <f t="shared" si="29"/>
        <v>0</v>
      </c>
      <c r="CV20" s="211">
        <f t="shared" si="30"/>
        <v>0</v>
      </c>
      <c r="DE20" s="210" t="s">
        <v>480</v>
      </c>
      <c r="DF20" s="212" t="s">
        <v>495</v>
      </c>
      <c r="DG20" s="210" t="s">
        <v>426</v>
      </c>
      <c r="DH20" s="212" t="s">
        <v>426</v>
      </c>
      <c r="DI20" s="211">
        <v>42435000</v>
      </c>
      <c r="DJ20" s="211">
        <v>0</v>
      </c>
      <c r="DK20" s="211">
        <v>0</v>
      </c>
      <c r="DL20" s="269">
        <f t="shared" si="32"/>
        <v>44217.270000000004</v>
      </c>
      <c r="DM20" s="269">
        <f t="shared" si="33"/>
        <v>0</v>
      </c>
      <c r="DN20" s="269">
        <f t="shared" si="34"/>
        <v>0</v>
      </c>
      <c r="DW20" s="210" t="s">
        <v>414</v>
      </c>
      <c r="DX20" s="212" t="s">
        <v>297</v>
      </c>
      <c r="DY20" s="210" t="s">
        <v>415</v>
      </c>
      <c r="DZ20" s="212" t="s">
        <v>317</v>
      </c>
      <c r="EA20" s="211">
        <v>0</v>
      </c>
      <c r="EB20" s="211">
        <v>1110999073</v>
      </c>
      <c r="EC20" s="211">
        <v>1068998073</v>
      </c>
      <c r="ED20" s="211">
        <f t="shared" si="36"/>
        <v>0</v>
      </c>
      <c r="EE20" s="211">
        <f t="shared" si="37"/>
        <v>1157661.034066</v>
      </c>
      <c r="EF20" s="211">
        <f t="shared" si="38"/>
        <v>1113895.9920660001</v>
      </c>
      <c r="EP20" s="210" t="s">
        <v>414</v>
      </c>
      <c r="EQ20" s="212" t="s">
        <v>297</v>
      </c>
      <c r="ER20" s="210" t="s">
        <v>438</v>
      </c>
      <c r="ES20" s="210" t="s">
        <v>320</v>
      </c>
      <c r="ET20" s="211">
        <v>0</v>
      </c>
      <c r="EU20" s="211">
        <v>5598926</v>
      </c>
      <c r="EV20" s="211">
        <v>11375601</v>
      </c>
      <c r="EW20" s="274">
        <f t="shared" si="40"/>
        <v>0</v>
      </c>
      <c r="EX20" s="274">
        <f t="shared" si="41"/>
        <v>5598.9260000000004</v>
      </c>
      <c r="EY20" s="274">
        <f t="shared" si="42"/>
        <v>11375.601000000001</v>
      </c>
      <c r="FJ20" s="221" t="s">
        <v>414</v>
      </c>
      <c r="FK20" s="221" t="s">
        <v>297</v>
      </c>
      <c r="FL20" s="221" t="s">
        <v>438</v>
      </c>
      <c r="FM20" s="221" t="s">
        <v>320</v>
      </c>
      <c r="FN20" s="270">
        <v>0</v>
      </c>
      <c r="FO20" s="270">
        <v>12114330</v>
      </c>
      <c r="FP20" s="270">
        <v>9445601</v>
      </c>
      <c r="FQ20" s="270">
        <f t="shared" si="43"/>
        <v>0</v>
      </c>
      <c r="FR20" s="270">
        <f t="shared" si="52"/>
        <v>12114.33</v>
      </c>
      <c r="FS20" s="270">
        <f t="shared" si="53"/>
        <v>9445.6010000000006</v>
      </c>
      <c r="GB20" s="199" t="s">
        <v>414</v>
      </c>
      <c r="GC20" s="199" t="s">
        <v>297</v>
      </c>
      <c r="GD20" s="199" t="s">
        <v>416</v>
      </c>
      <c r="GE20" s="199" t="s">
        <v>327</v>
      </c>
      <c r="GF20" s="270">
        <v>0</v>
      </c>
      <c r="GG20" s="270">
        <v>184905039</v>
      </c>
      <c r="GH20" s="270">
        <v>125642026</v>
      </c>
      <c r="GI20" s="270">
        <f t="shared" si="45"/>
        <v>0</v>
      </c>
      <c r="GJ20" s="270">
        <f t="shared" si="46"/>
        <v>184905.03899999999</v>
      </c>
      <c r="GK20" s="270">
        <f t="shared" si="47"/>
        <v>125642.026</v>
      </c>
      <c r="GM20" s="210" t="s">
        <v>611</v>
      </c>
      <c r="GN20" s="212" t="s">
        <v>612</v>
      </c>
      <c r="GO20" s="210" t="s">
        <v>426</v>
      </c>
      <c r="GP20" s="210" t="s">
        <v>426</v>
      </c>
      <c r="GQ20" s="211">
        <v>6208998</v>
      </c>
      <c r="GR20" s="351">
        <f t="shared" si="48"/>
        <v>6208.9979999999996</v>
      </c>
      <c r="GT20" s="199" t="s">
        <v>414</v>
      </c>
      <c r="GU20" s="199" t="s">
        <v>297</v>
      </c>
      <c r="GV20" s="199" t="s">
        <v>417</v>
      </c>
      <c r="GW20" s="199" t="s">
        <v>318</v>
      </c>
      <c r="GX20" s="351">
        <v>0</v>
      </c>
      <c r="GY20" s="351">
        <v>25908120</v>
      </c>
      <c r="GZ20" s="351">
        <v>25908120</v>
      </c>
      <c r="HA20" s="225">
        <f t="shared" si="49"/>
        <v>0</v>
      </c>
      <c r="HB20" s="225">
        <f t="shared" si="50"/>
        <v>25908.12</v>
      </c>
      <c r="HC20" s="225">
        <f t="shared" si="51"/>
        <v>25908.12</v>
      </c>
    </row>
    <row r="21" spans="1:211" ht="15" customHeight="1" x14ac:dyDescent="0.2">
      <c r="A21" s="210" t="s">
        <v>418</v>
      </c>
      <c r="B21" s="210" t="s">
        <v>323</v>
      </c>
      <c r="C21" s="210" t="s">
        <v>464</v>
      </c>
      <c r="D21" s="210" t="s">
        <v>588</v>
      </c>
      <c r="E21" s="211">
        <v>340000000</v>
      </c>
      <c r="F21" s="211">
        <v>0</v>
      </c>
      <c r="G21" s="211">
        <v>0</v>
      </c>
      <c r="H21" s="269">
        <f t="shared" si="8"/>
        <v>354280</v>
      </c>
      <c r="I21" s="269">
        <f t="shared" si="9"/>
        <v>0</v>
      </c>
      <c r="J21" s="269">
        <f t="shared" si="10"/>
        <v>0</v>
      </c>
      <c r="S21" s="210" t="s">
        <v>418</v>
      </c>
      <c r="T21" s="212" t="s">
        <v>323</v>
      </c>
      <c r="U21" s="210" t="s">
        <v>473</v>
      </c>
      <c r="V21" s="212" t="s">
        <v>589</v>
      </c>
      <c r="W21" s="211">
        <v>524827000</v>
      </c>
      <c r="X21" s="211">
        <v>0</v>
      </c>
      <c r="Y21" s="211">
        <v>0</v>
      </c>
      <c r="Z21" s="259">
        <f t="shared" si="12"/>
        <v>546869.73400000005</v>
      </c>
      <c r="AA21" s="259">
        <f t="shared" si="13"/>
        <v>0</v>
      </c>
      <c r="AB21" s="259">
        <f t="shared" si="14"/>
        <v>0</v>
      </c>
      <c r="AK21" s="210" t="s">
        <v>418</v>
      </c>
      <c r="AL21" s="210" t="s">
        <v>323</v>
      </c>
      <c r="AM21" s="210" t="s">
        <v>473</v>
      </c>
      <c r="AN21" s="210" t="s">
        <v>589</v>
      </c>
      <c r="AO21" s="211">
        <v>524827000</v>
      </c>
      <c r="AP21" s="211">
        <v>0</v>
      </c>
      <c r="AQ21" s="211">
        <v>0</v>
      </c>
      <c r="AR21" s="211">
        <f t="shared" si="16"/>
        <v>546869.73400000005</v>
      </c>
      <c r="AS21" s="211">
        <f t="shared" si="17"/>
        <v>0</v>
      </c>
      <c r="AT21" s="211">
        <f t="shared" si="18"/>
        <v>0</v>
      </c>
      <c r="BC21" s="210" t="s">
        <v>418</v>
      </c>
      <c r="BD21" s="210" t="s">
        <v>323</v>
      </c>
      <c r="BE21" s="210" t="s">
        <v>473</v>
      </c>
      <c r="BF21" s="210" t="s">
        <v>589</v>
      </c>
      <c r="BG21" s="211">
        <v>524827000</v>
      </c>
      <c r="BH21" s="211">
        <v>0</v>
      </c>
      <c r="BI21" s="211">
        <v>0</v>
      </c>
      <c r="BJ21" s="270">
        <f t="shared" si="20"/>
        <v>546869.73400000005</v>
      </c>
      <c r="BK21" s="270">
        <f t="shared" si="21"/>
        <v>0</v>
      </c>
      <c r="BL21" s="270">
        <f t="shared" si="22"/>
        <v>0</v>
      </c>
      <c r="BU21" s="210" t="s">
        <v>418</v>
      </c>
      <c r="BV21" s="210" t="s">
        <v>323</v>
      </c>
      <c r="BW21" s="210" t="s">
        <v>473</v>
      </c>
      <c r="BX21" s="210" t="s">
        <v>589</v>
      </c>
      <c r="BY21" s="211">
        <v>524827000</v>
      </c>
      <c r="BZ21" s="211">
        <v>0</v>
      </c>
      <c r="CA21" s="211">
        <v>0</v>
      </c>
      <c r="CB21" s="211">
        <f t="shared" si="24"/>
        <v>546869.73400000005</v>
      </c>
      <c r="CC21" s="211">
        <f t="shared" si="25"/>
        <v>0</v>
      </c>
      <c r="CD21" s="211">
        <f t="shared" si="26"/>
        <v>0</v>
      </c>
      <c r="CM21" s="210" t="s">
        <v>418</v>
      </c>
      <c r="CN21" s="210" t="s">
        <v>323</v>
      </c>
      <c r="CO21" s="210" t="s">
        <v>473</v>
      </c>
      <c r="CP21" s="210" t="s">
        <v>589</v>
      </c>
      <c r="CQ21" s="211">
        <v>524827000</v>
      </c>
      <c r="CR21" s="211">
        <v>0</v>
      </c>
      <c r="CS21" s="211">
        <v>0</v>
      </c>
      <c r="CT21" s="211">
        <f t="shared" si="28"/>
        <v>546869.73400000005</v>
      </c>
      <c r="CU21" s="211">
        <f t="shared" si="29"/>
        <v>0</v>
      </c>
      <c r="CV21" s="211">
        <f t="shared" si="30"/>
        <v>0</v>
      </c>
      <c r="DE21" s="210" t="s">
        <v>418</v>
      </c>
      <c r="DF21" s="212" t="s">
        <v>323</v>
      </c>
      <c r="DG21" s="210" t="s">
        <v>473</v>
      </c>
      <c r="DH21" s="212" t="s">
        <v>589</v>
      </c>
      <c r="DI21" s="211">
        <v>474827000</v>
      </c>
      <c r="DJ21" s="211">
        <v>0</v>
      </c>
      <c r="DK21" s="211">
        <v>0</v>
      </c>
      <c r="DL21" s="269">
        <f t="shared" si="32"/>
        <v>494769.734</v>
      </c>
      <c r="DM21" s="269">
        <f t="shared" si="33"/>
        <v>0</v>
      </c>
      <c r="DN21" s="269">
        <f t="shared" si="34"/>
        <v>0</v>
      </c>
      <c r="DW21" s="210" t="s">
        <v>480</v>
      </c>
      <c r="DX21" s="212" t="s">
        <v>495</v>
      </c>
      <c r="DY21" s="210" t="s">
        <v>426</v>
      </c>
      <c r="DZ21" s="212" t="s">
        <v>426</v>
      </c>
      <c r="EA21" s="211">
        <v>42435000</v>
      </c>
      <c r="EB21" s="211">
        <v>0</v>
      </c>
      <c r="EC21" s="211">
        <v>0</v>
      </c>
      <c r="ED21" s="211">
        <f t="shared" si="36"/>
        <v>44217.270000000004</v>
      </c>
      <c r="EE21" s="211">
        <f t="shared" si="37"/>
        <v>0</v>
      </c>
      <c r="EF21" s="211">
        <f t="shared" si="38"/>
        <v>0</v>
      </c>
      <c r="EP21" s="210" t="s">
        <v>480</v>
      </c>
      <c r="EQ21" s="212" t="s">
        <v>495</v>
      </c>
      <c r="ER21" s="210" t="s">
        <v>426</v>
      </c>
      <c r="ES21" s="210" t="s">
        <v>426</v>
      </c>
      <c r="ET21" s="211">
        <v>42435000</v>
      </c>
      <c r="EU21" s="211">
        <v>0</v>
      </c>
      <c r="EV21" s="211">
        <v>0</v>
      </c>
      <c r="EW21" s="274">
        <f t="shared" si="40"/>
        <v>42435</v>
      </c>
      <c r="EX21" s="274">
        <f t="shared" si="41"/>
        <v>0</v>
      </c>
      <c r="EY21" s="274">
        <f t="shared" si="42"/>
        <v>0</v>
      </c>
      <c r="FE21" s="199"/>
      <c r="FF21" s="199"/>
      <c r="FG21" s="199"/>
      <c r="FJ21" s="221" t="s">
        <v>480</v>
      </c>
      <c r="FK21" s="221" t="s">
        <v>495</v>
      </c>
      <c r="FL21" s="221" t="s">
        <v>426</v>
      </c>
      <c r="FM21" s="221" t="s">
        <v>426</v>
      </c>
      <c r="FN21" s="270">
        <v>42435000</v>
      </c>
      <c r="FO21" s="270">
        <v>0</v>
      </c>
      <c r="FP21" s="270">
        <v>0</v>
      </c>
      <c r="FQ21" s="270">
        <f t="shared" si="43"/>
        <v>42435</v>
      </c>
      <c r="FR21" s="270">
        <f t="shared" si="52"/>
        <v>0</v>
      </c>
      <c r="FS21" s="270">
        <f t="shared" si="53"/>
        <v>0</v>
      </c>
      <c r="GB21" s="199" t="s">
        <v>414</v>
      </c>
      <c r="GC21" s="199" t="s">
        <v>297</v>
      </c>
      <c r="GD21" s="199" t="s">
        <v>437</v>
      </c>
      <c r="GE21" s="199" t="s">
        <v>319</v>
      </c>
      <c r="GF21" s="270">
        <v>0</v>
      </c>
      <c r="GG21" s="270">
        <v>0</v>
      </c>
      <c r="GH21" s="270">
        <v>0</v>
      </c>
      <c r="GI21" s="270">
        <f t="shared" si="45"/>
        <v>0</v>
      </c>
      <c r="GJ21" s="270">
        <f t="shared" si="46"/>
        <v>0</v>
      </c>
      <c r="GK21" s="270">
        <f t="shared" si="47"/>
        <v>0</v>
      </c>
      <c r="GM21" s="210" t="s">
        <v>613</v>
      </c>
      <c r="GN21" s="212" t="s">
        <v>614</v>
      </c>
      <c r="GO21" s="210" t="s">
        <v>426</v>
      </c>
      <c r="GP21" s="210" t="s">
        <v>426</v>
      </c>
      <c r="GQ21" s="211">
        <v>41284336</v>
      </c>
      <c r="GR21" s="351">
        <f t="shared" si="48"/>
        <v>41284.336000000003</v>
      </c>
      <c r="GT21" s="199" t="s">
        <v>414</v>
      </c>
      <c r="GU21" s="199" t="s">
        <v>297</v>
      </c>
      <c r="GV21" s="199" t="s">
        <v>437</v>
      </c>
      <c r="GW21" s="199" t="s">
        <v>319</v>
      </c>
      <c r="GX21" s="351">
        <v>0</v>
      </c>
      <c r="GY21" s="351">
        <v>0</v>
      </c>
      <c r="GZ21" s="351">
        <v>0</v>
      </c>
      <c r="HA21" s="225">
        <f t="shared" si="49"/>
        <v>0</v>
      </c>
      <c r="HB21" s="225">
        <f t="shared" si="50"/>
        <v>0</v>
      </c>
      <c r="HC21" s="225">
        <f t="shared" si="51"/>
        <v>0</v>
      </c>
    </row>
    <row r="22" spans="1:211" ht="15" customHeight="1" x14ac:dyDescent="0.2">
      <c r="A22" s="210" t="s">
        <v>418</v>
      </c>
      <c r="B22" s="210" t="s">
        <v>323</v>
      </c>
      <c r="C22" s="210" t="s">
        <v>439</v>
      </c>
      <c r="D22" s="210" t="s">
        <v>590</v>
      </c>
      <c r="E22" s="211">
        <v>285000000</v>
      </c>
      <c r="F22" s="211">
        <v>0</v>
      </c>
      <c r="G22" s="211">
        <v>0</v>
      </c>
      <c r="H22" s="269">
        <f t="shared" si="8"/>
        <v>296970</v>
      </c>
      <c r="I22" s="269">
        <f t="shared" si="9"/>
        <v>0</v>
      </c>
      <c r="J22" s="269">
        <f t="shared" si="10"/>
        <v>0</v>
      </c>
      <c r="S22" s="210" t="s">
        <v>418</v>
      </c>
      <c r="T22" s="212" t="s">
        <v>323</v>
      </c>
      <c r="U22" s="210" t="s">
        <v>464</v>
      </c>
      <c r="V22" s="212" t="s">
        <v>588</v>
      </c>
      <c r="W22" s="211">
        <v>340000000</v>
      </c>
      <c r="X22" s="211">
        <v>0</v>
      </c>
      <c r="Y22" s="211">
        <v>0</v>
      </c>
      <c r="Z22" s="259">
        <f t="shared" si="12"/>
        <v>354280</v>
      </c>
      <c r="AA22" s="259">
        <f t="shared" si="13"/>
        <v>0</v>
      </c>
      <c r="AB22" s="259">
        <f t="shared" si="14"/>
        <v>0</v>
      </c>
      <c r="AK22" s="210" t="s">
        <v>418</v>
      </c>
      <c r="AL22" s="210" t="s">
        <v>323</v>
      </c>
      <c r="AM22" s="210" t="s">
        <v>464</v>
      </c>
      <c r="AN22" s="210" t="s">
        <v>588</v>
      </c>
      <c r="AO22" s="211">
        <v>340000000</v>
      </c>
      <c r="AP22" s="211">
        <v>0</v>
      </c>
      <c r="AQ22" s="211">
        <v>0</v>
      </c>
      <c r="AR22" s="211">
        <f t="shared" si="16"/>
        <v>354280</v>
      </c>
      <c r="AS22" s="211">
        <f t="shared" si="17"/>
        <v>0</v>
      </c>
      <c r="AT22" s="211">
        <f t="shared" si="18"/>
        <v>0</v>
      </c>
      <c r="BC22" s="210" t="s">
        <v>418</v>
      </c>
      <c r="BD22" s="210" t="s">
        <v>323</v>
      </c>
      <c r="BE22" s="210" t="s">
        <v>464</v>
      </c>
      <c r="BF22" s="210" t="s">
        <v>588</v>
      </c>
      <c r="BG22" s="211">
        <v>340000000</v>
      </c>
      <c r="BH22" s="211">
        <v>0</v>
      </c>
      <c r="BI22" s="211">
        <v>0</v>
      </c>
      <c r="BJ22" s="270">
        <f t="shared" si="20"/>
        <v>354280</v>
      </c>
      <c r="BK22" s="270">
        <f t="shared" si="21"/>
        <v>0</v>
      </c>
      <c r="BL22" s="270">
        <f t="shared" si="22"/>
        <v>0</v>
      </c>
      <c r="BU22" s="210" t="s">
        <v>418</v>
      </c>
      <c r="BV22" s="210" t="s">
        <v>323</v>
      </c>
      <c r="BW22" s="210" t="s">
        <v>464</v>
      </c>
      <c r="BX22" s="210" t="s">
        <v>588</v>
      </c>
      <c r="BY22" s="211">
        <v>340000000</v>
      </c>
      <c r="BZ22" s="211">
        <v>0</v>
      </c>
      <c r="CA22" s="211">
        <v>0</v>
      </c>
      <c r="CB22" s="211">
        <f t="shared" si="24"/>
        <v>354280</v>
      </c>
      <c r="CC22" s="211">
        <f t="shared" si="25"/>
        <v>0</v>
      </c>
      <c r="CD22" s="211">
        <f t="shared" si="26"/>
        <v>0</v>
      </c>
      <c r="CM22" s="210" t="s">
        <v>418</v>
      </c>
      <c r="CN22" s="210" t="s">
        <v>323</v>
      </c>
      <c r="CO22" s="210" t="s">
        <v>464</v>
      </c>
      <c r="CP22" s="210" t="s">
        <v>588</v>
      </c>
      <c r="CQ22" s="211">
        <v>340000000</v>
      </c>
      <c r="CR22" s="211">
        <v>0</v>
      </c>
      <c r="CS22" s="211">
        <v>0</v>
      </c>
      <c r="CT22" s="211">
        <f t="shared" si="28"/>
        <v>354280</v>
      </c>
      <c r="CU22" s="211">
        <f t="shared" si="29"/>
        <v>0</v>
      </c>
      <c r="CV22" s="211">
        <f t="shared" si="30"/>
        <v>0</v>
      </c>
      <c r="DE22" s="210" t="s">
        <v>418</v>
      </c>
      <c r="DF22" s="212" t="s">
        <v>323</v>
      </c>
      <c r="DG22" s="210" t="s">
        <v>464</v>
      </c>
      <c r="DH22" s="212" t="s">
        <v>588</v>
      </c>
      <c r="DI22" s="211">
        <v>390000000</v>
      </c>
      <c r="DJ22" s="211">
        <v>0</v>
      </c>
      <c r="DK22" s="211">
        <v>0</v>
      </c>
      <c r="DL22" s="269">
        <f t="shared" si="32"/>
        <v>406380</v>
      </c>
      <c r="DM22" s="269">
        <f t="shared" si="33"/>
        <v>0</v>
      </c>
      <c r="DN22" s="269">
        <f t="shared" si="34"/>
        <v>0</v>
      </c>
      <c r="DW22" s="210" t="s">
        <v>418</v>
      </c>
      <c r="DX22" s="212" t="s">
        <v>323</v>
      </c>
      <c r="DY22" s="210" t="s">
        <v>464</v>
      </c>
      <c r="DZ22" s="212" t="s">
        <v>588</v>
      </c>
      <c r="EA22" s="211">
        <v>705565000</v>
      </c>
      <c r="EB22" s="211">
        <v>0</v>
      </c>
      <c r="EC22" s="211">
        <v>0</v>
      </c>
      <c r="ED22" s="211">
        <f t="shared" si="36"/>
        <v>735198.73</v>
      </c>
      <c r="EE22" s="211">
        <f t="shared" si="37"/>
        <v>0</v>
      </c>
      <c r="EF22" s="211">
        <f t="shared" si="38"/>
        <v>0</v>
      </c>
      <c r="EP22" s="210" t="s">
        <v>418</v>
      </c>
      <c r="EQ22" s="212" t="s">
        <v>323</v>
      </c>
      <c r="ER22" s="210" t="s">
        <v>464</v>
      </c>
      <c r="ES22" s="210" t="s">
        <v>588</v>
      </c>
      <c r="ET22" s="211">
        <v>705120243</v>
      </c>
      <c r="EU22" s="211">
        <v>0</v>
      </c>
      <c r="EV22" s="211">
        <v>0</v>
      </c>
      <c r="EW22" s="274">
        <f t="shared" si="40"/>
        <v>705120.24300000002</v>
      </c>
      <c r="EX22" s="274">
        <f t="shared" si="41"/>
        <v>0</v>
      </c>
      <c r="EY22" s="274">
        <f t="shared" si="42"/>
        <v>0</v>
      </c>
      <c r="FJ22" s="221" t="s">
        <v>418</v>
      </c>
      <c r="FK22" s="221" t="s">
        <v>323</v>
      </c>
      <c r="FL22" s="221" t="s">
        <v>464</v>
      </c>
      <c r="FM22" s="221" t="s">
        <v>588</v>
      </c>
      <c r="FN22" s="270">
        <v>805120243</v>
      </c>
      <c r="FO22" s="270">
        <v>0</v>
      </c>
      <c r="FP22" s="270">
        <v>0</v>
      </c>
      <c r="FQ22" s="270">
        <f t="shared" si="43"/>
        <v>805120.24300000002</v>
      </c>
      <c r="FR22" s="270">
        <f t="shared" si="52"/>
        <v>0</v>
      </c>
      <c r="FS22" s="270">
        <f t="shared" si="53"/>
        <v>0</v>
      </c>
      <c r="GB22" s="199" t="s">
        <v>480</v>
      </c>
      <c r="GC22" s="199" t="s">
        <v>495</v>
      </c>
      <c r="GD22" s="199" t="s">
        <v>426</v>
      </c>
      <c r="GE22" s="199" t="s">
        <v>426</v>
      </c>
      <c r="GF22" s="270">
        <v>42435000</v>
      </c>
      <c r="GG22" s="270">
        <v>0</v>
      </c>
      <c r="GH22" s="270">
        <v>0</v>
      </c>
      <c r="GI22" s="270">
        <f t="shared" si="45"/>
        <v>42435</v>
      </c>
      <c r="GJ22" s="270">
        <f t="shared" si="46"/>
        <v>0</v>
      </c>
      <c r="GK22" s="270">
        <f t="shared" si="47"/>
        <v>0</v>
      </c>
      <c r="GR22" s="202">
        <f>SUM(GR3:GR21)</f>
        <v>2372175.5350000001</v>
      </c>
      <c r="GT22" s="199" t="s">
        <v>480</v>
      </c>
      <c r="GU22" s="199" t="s">
        <v>495</v>
      </c>
      <c r="GV22" s="199" t="s">
        <v>426</v>
      </c>
      <c r="GW22" s="199" t="s">
        <v>426</v>
      </c>
      <c r="GX22" s="351">
        <v>42435000</v>
      </c>
      <c r="GY22" s="351">
        <v>0</v>
      </c>
      <c r="GZ22" s="351">
        <v>0</v>
      </c>
      <c r="HA22" s="225">
        <f t="shared" si="49"/>
        <v>42435</v>
      </c>
      <c r="HB22" s="225">
        <f t="shared" si="50"/>
        <v>0</v>
      </c>
      <c r="HC22" s="225">
        <f t="shared" si="51"/>
        <v>0</v>
      </c>
    </row>
    <row r="23" spans="1:211" ht="15" customHeight="1" x14ac:dyDescent="0.2">
      <c r="A23" s="210" t="s">
        <v>418</v>
      </c>
      <c r="B23" s="210" t="s">
        <v>323</v>
      </c>
      <c r="C23" s="210" t="s">
        <v>474</v>
      </c>
      <c r="D23" s="210" t="s">
        <v>465</v>
      </c>
      <c r="E23" s="211">
        <v>235000000</v>
      </c>
      <c r="F23" s="211">
        <v>0</v>
      </c>
      <c r="G23" s="211">
        <v>0</v>
      </c>
      <c r="H23" s="269">
        <f t="shared" si="8"/>
        <v>244870</v>
      </c>
      <c r="I23" s="269">
        <f t="shared" si="9"/>
        <v>0</v>
      </c>
      <c r="J23" s="269">
        <f t="shared" si="10"/>
        <v>0</v>
      </c>
      <c r="S23" s="210" t="s">
        <v>418</v>
      </c>
      <c r="T23" s="212" t="s">
        <v>323</v>
      </c>
      <c r="U23" s="210" t="s">
        <v>439</v>
      </c>
      <c r="V23" s="212" t="s">
        <v>590</v>
      </c>
      <c r="W23" s="211">
        <v>285000000</v>
      </c>
      <c r="X23" s="211">
        <v>0</v>
      </c>
      <c r="Y23" s="211">
        <v>0</v>
      </c>
      <c r="Z23" s="259">
        <f t="shared" si="12"/>
        <v>296970</v>
      </c>
      <c r="AA23" s="259">
        <f t="shared" si="13"/>
        <v>0</v>
      </c>
      <c r="AB23" s="259">
        <f t="shared" si="14"/>
        <v>0</v>
      </c>
      <c r="AK23" s="210" t="s">
        <v>418</v>
      </c>
      <c r="AL23" s="210" t="s">
        <v>323</v>
      </c>
      <c r="AM23" s="210" t="s">
        <v>439</v>
      </c>
      <c r="AN23" s="210" t="s">
        <v>590</v>
      </c>
      <c r="AO23" s="211">
        <v>285000000</v>
      </c>
      <c r="AP23" s="211">
        <v>0</v>
      </c>
      <c r="AQ23" s="211">
        <v>0</v>
      </c>
      <c r="AR23" s="211">
        <f t="shared" si="16"/>
        <v>296970</v>
      </c>
      <c r="AS23" s="211">
        <f t="shared" si="17"/>
        <v>0</v>
      </c>
      <c r="AT23" s="211">
        <f t="shared" si="18"/>
        <v>0</v>
      </c>
      <c r="BC23" s="210" t="s">
        <v>418</v>
      </c>
      <c r="BD23" s="210" t="s">
        <v>323</v>
      </c>
      <c r="BE23" s="210" t="s">
        <v>439</v>
      </c>
      <c r="BF23" s="210" t="s">
        <v>590</v>
      </c>
      <c r="BG23" s="211">
        <v>285000000</v>
      </c>
      <c r="BH23" s="211">
        <v>0</v>
      </c>
      <c r="BI23" s="211">
        <v>0</v>
      </c>
      <c r="BJ23" s="270">
        <f t="shared" si="20"/>
        <v>296970</v>
      </c>
      <c r="BK23" s="270">
        <f t="shared" si="21"/>
        <v>0</v>
      </c>
      <c r="BL23" s="270">
        <f t="shared" si="22"/>
        <v>0</v>
      </c>
      <c r="BU23" s="210" t="s">
        <v>418</v>
      </c>
      <c r="BV23" s="210" t="s">
        <v>323</v>
      </c>
      <c r="BW23" s="210" t="s">
        <v>439</v>
      </c>
      <c r="BX23" s="210" t="s">
        <v>590</v>
      </c>
      <c r="BY23" s="211">
        <v>285000000</v>
      </c>
      <c r="BZ23" s="211">
        <v>0</v>
      </c>
      <c r="CA23" s="211">
        <v>0</v>
      </c>
      <c r="CB23" s="211">
        <f t="shared" si="24"/>
        <v>296970</v>
      </c>
      <c r="CC23" s="211">
        <f t="shared" si="25"/>
        <v>0</v>
      </c>
      <c r="CD23" s="211">
        <f t="shared" si="26"/>
        <v>0</v>
      </c>
      <c r="CM23" s="210" t="s">
        <v>418</v>
      </c>
      <c r="CN23" s="210" t="s">
        <v>323</v>
      </c>
      <c r="CO23" s="210" t="s">
        <v>439</v>
      </c>
      <c r="CP23" s="210" t="s">
        <v>590</v>
      </c>
      <c r="CQ23" s="211">
        <v>285000000</v>
      </c>
      <c r="CR23" s="211">
        <v>0</v>
      </c>
      <c r="CS23" s="211">
        <v>0</v>
      </c>
      <c r="CT23" s="211">
        <f t="shared" si="28"/>
        <v>296970</v>
      </c>
      <c r="CU23" s="211">
        <f t="shared" si="29"/>
        <v>0</v>
      </c>
      <c r="CV23" s="211">
        <f t="shared" si="30"/>
        <v>0</v>
      </c>
      <c r="DE23" s="210" t="s">
        <v>418</v>
      </c>
      <c r="DF23" s="212" t="s">
        <v>323</v>
      </c>
      <c r="DG23" s="210" t="s">
        <v>439</v>
      </c>
      <c r="DH23" s="212" t="s">
        <v>590</v>
      </c>
      <c r="DI23" s="211">
        <v>285000000</v>
      </c>
      <c r="DJ23" s="211">
        <v>0</v>
      </c>
      <c r="DK23" s="211">
        <v>0</v>
      </c>
      <c r="DL23" s="269">
        <f t="shared" si="32"/>
        <v>296970</v>
      </c>
      <c r="DM23" s="269">
        <f t="shared" si="33"/>
        <v>0</v>
      </c>
      <c r="DN23" s="269">
        <f t="shared" si="34"/>
        <v>0</v>
      </c>
      <c r="DW23" s="210" t="s">
        <v>418</v>
      </c>
      <c r="DX23" s="212" t="s">
        <v>323</v>
      </c>
      <c r="DY23" s="210" t="s">
        <v>439</v>
      </c>
      <c r="DZ23" s="212" t="s">
        <v>590</v>
      </c>
      <c r="EA23" s="211">
        <v>269055243</v>
      </c>
      <c r="EB23" s="211">
        <v>0</v>
      </c>
      <c r="EC23" s="211">
        <v>0</v>
      </c>
      <c r="ED23" s="211">
        <f t="shared" si="36"/>
        <v>280355.56320600002</v>
      </c>
      <c r="EE23" s="211">
        <f t="shared" si="37"/>
        <v>0</v>
      </c>
      <c r="EF23" s="211">
        <f t="shared" si="38"/>
        <v>0</v>
      </c>
      <c r="EP23" s="210" t="s">
        <v>418</v>
      </c>
      <c r="EQ23" s="212" t="s">
        <v>323</v>
      </c>
      <c r="ER23" s="210" t="s">
        <v>473</v>
      </c>
      <c r="ES23" s="210" t="s">
        <v>589</v>
      </c>
      <c r="ET23" s="211">
        <v>557123057</v>
      </c>
      <c r="EU23" s="211">
        <v>0</v>
      </c>
      <c r="EV23" s="211">
        <v>0</v>
      </c>
      <c r="EW23" s="274">
        <f t="shared" si="40"/>
        <v>557123.05700000003</v>
      </c>
      <c r="EX23" s="274">
        <f t="shared" si="41"/>
        <v>0</v>
      </c>
      <c r="EY23" s="274">
        <f t="shared" si="42"/>
        <v>0</v>
      </c>
      <c r="FJ23" s="221" t="s">
        <v>418</v>
      </c>
      <c r="FK23" s="221" t="s">
        <v>323</v>
      </c>
      <c r="FL23" s="221" t="s">
        <v>473</v>
      </c>
      <c r="FM23" s="221" t="s">
        <v>589</v>
      </c>
      <c r="FN23" s="270">
        <v>457123057</v>
      </c>
      <c r="FO23" s="270">
        <v>0</v>
      </c>
      <c r="FP23" s="270">
        <v>0</v>
      </c>
      <c r="FQ23" s="270">
        <f t="shared" si="43"/>
        <v>457123.05699999997</v>
      </c>
      <c r="FR23" s="270">
        <f t="shared" si="52"/>
        <v>0</v>
      </c>
      <c r="FS23" s="270">
        <f t="shared" si="53"/>
        <v>0</v>
      </c>
      <c r="GB23" s="199" t="s">
        <v>480</v>
      </c>
      <c r="GC23" s="199" t="s">
        <v>495</v>
      </c>
      <c r="GD23" s="199" t="s">
        <v>426</v>
      </c>
      <c r="GE23" s="199" t="s">
        <v>426</v>
      </c>
      <c r="GF23" s="270">
        <v>0</v>
      </c>
      <c r="GG23" s="270">
        <v>17434690</v>
      </c>
      <c r="GH23" s="270">
        <v>0</v>
      </c>
      <c r="GI23" s="270">
        <f t="shared" si="45"/>
        <v>0</v>
      </c>
      <c r="GJ23" s="270">
        <f t="shared" si="46"/>
        <v>17434.689999999999</v>
      </c>
      <c r="GK23" s="270">
        <f t="shared" si="47"/>
        <v>0</v>
      </c>
      <c r="GR23" s="203"/>
      <c r="GT23" s="199" t="s">
        <v>480</v>
      </c>
      <c r="GU23" s="199" t="s">
        <v>495</v>
      </c>
      <c r="GV23" s="199" t="s">
        <v>426</v>
      </c>
      <c r="GW23" s="199" t="s">
        <v>426</v>
      </c>
      <c r="GX23" s="351">
        <v>0</v>
      </c>
      <c r="GY23" s="351">
        <v>17434690</v>
      </c>
      <c r="GZ23" s="351">
        <v>26434690</v>
      </c>
      <c r="HA23" s="225">
        <f t="shared" si="49"/>
        <v>0</v>
      </c>
      <c r="HB23" s="225">
        <f t="shared" si="50"/>
        <v>17434.689999999999</v>
      </c>
      <c r="HC23" s="225">
        <f t="shared" si="51"/>
        <v>26434.69</v>
      </c>
    </row>
    <row r="24" spans="1:211" ht="15" customHeight="1" x14ac:dyDescent="0.2">
      <c r="A24" s="210" t="s">
        <v>418</v>
      </c>
      <c r="B24" s="210" t="s">
        <v>323</v>
      </c>
      <c r="C24" s="210" t="s">
        <v>586</v>
      </c>
      <c r="D24" s="210" t="s">
        <v>587</v>
      </c>
      <c r="E24" s="211">
        <v>205000000</v>
      </c>
      <c r="F24" s="211">
        <v>0</v>
      </c>
      <c r="G24" s="211">
        <v>0</v>
      </c>
      <c r="H24" s="269">
        <f t="shared" si="8"/>
        <v>213610</v>
      </c>
      <c r="I24" s="269">
        <f t="shared" si="9"/>
        <v>0</v>
      </c>
      <c r="J24" s="269">
        <f t="shared" si="10"/>
        <v>0</v>
      </c>
      <c r="S24" s="210" t="s">
        <v>418</v>
      </c>
      <c r="T24" s="212" t="s">
        <v>323</v>
      </c>
      <c r="U24" s="210" t="s">
        <v>474</v>
      </c>
      <c r="V24" s="212" t="s">
        <v>465</v>
      </c>
      <c r="W24" s="211">
        <v>235000000</v>
      </c>
      <c r="X24" s="211">
        <v>0</v>
      </c>
      <c r="Y24" s="211">
        <v>0</v>
      </c>
      <c r="Z24" s="259">
        <f t="shared" si="12"/>
        <v>244870</v>
      </c>
      <c r="AA24" s="259">
        <f t="shared" si="13"/>
        <v>0</v>
      </c>
      <c r="AB24" s="259">
        <f t="shared" si="14"/>
        <v>0</v>
      </c>
      <c r="AK24" s="210" t="s">
        <v>418</v>
      </c>
      <c r="AL24" s="210" t="s">
        <v>323</v>
      </c>
      <c r="AM24" s="210" t="s">
        <v>474</v>
      </c>
      <c r="AN24" s="210" t="s">
        <v>465</v>
      </c>
      <c r="AO24" s="211">
        <v>235000000</v>
      </c>
      <c r="AP24" s="211">
        <v>0</v>
      </c>
      <c r="AQ24" s="211">
        <v>0</v>
      </c>
      <c r="AR24" s="211">
        <f t="shared" si="16"/>
        <v>244870</v>
      </c>
      <c r="AS24" s="211">
        <f t="shared" si="17"/>
        <v>0</v>
      </c>
      <c r="AT24" s="211">
        <f t="shared" si="18"/>
        <v>0</v>
      </c>
      <c r="BC24" s="210" t="s">
        <v>418</v>
      </c>
      <c r="BD24" s="210" t="s">
        <v>323</v>
      </c>
      <c r="BE24" s="210" t="s">
        <v>474</v>
      </c>
      <c r="BF24" s="210" t="s">
        <v>465</v>
      </c>
      <c r="BG24" s="211">
        <v>235000000</v>
      </c>
      <c r="BH24" s="211">
        <v>0</v>
      </c>
      <c r="BI24" s="211">
        <v>0</v>
      </c>
      <c r="BJ24" s="270">
        <f t="shared" si="20"/>
        <v>244870</v>
      </c>
      <c r="BK24" s="270">
        <f t="shared" si="21"/>
        <v>0</v>
      </c>
      <c r="BL24" s="270">
        <f t="shared" si="22"/>
        <v>0</v>
      </c>
      <c r="BU24" s="210" t="s">
        <v>418</v>
      </c>
      <c r="BV24" s="210" t="s">
        <v>323</v>
      </c>
      <c r="BW24" s="210" t="s">
        <v>474</v>
      </c>
      <c r="BX24" s="210" t="s">
        <v>465</v>
      </c>
      <c r="BY24" s="211">
        <v>235000000</v>
      </c>
      <c r="BZ24" s="211">
        <v>0</v>
      </c>
      <c r="CA24" s="211">
        <v>0</v>
      </c>
      <c r="CB24" s="211">
        <f t="shared" si="24"/>
        <v>244870</v>
      </c>
      <c r="CC24" s="211">
        <f t="shared" si="25"/>
        <v>0</v>
      </c>
      <c r="CD24" s="211">
        <f t="shared" si="26"/>
        <v>0</v>
      </c>
      <c r="CM24" s="210" t="s">
        <v>418</v>
      </c>
      <c r="CN24" s="210" t="s">
        <v>323</v>
      </c>
      <c r="CO24" s="210" t="s">
        <v>474</v>
      </c>
      <c r="CP24" s="210" t="s">
        <v>465</v>
      </c>
      <c r="CQ24" s="211">
        <v>235000000</v>
      </c>
      <c r="CR24" s="211">
        <v>0</v>
      </c>
      <c r="CS24" s="211">
        <v>0</v>
      </c>
      <c r="CT24" s="211">
        <f t="shared" si="28"/>
        <v>244870</v>
      </c>
      <c r="CU24" s="211">
        <f t="shared" si="29"/>
        <v>0</v>
      </c>
      <c r="CV24" s="211">
        <f t="shared" si="30"/>
        <v>0</v>
      </c>
      <c r="DE24" s="210" t="s">
        <v>418</v>
      </c>
      <c r="DF24" s="212" t="s">
        <v>323</v>
      </c>
      <c r="DG24" s="210" t="s">
        <v>474</v>
      </c>
      <c r="DH24" s="212" t="s">
        <v>465</v>
      </c>
      <c r="DI24" s="211">
        <v>235000000</v>
      </c>
      <c r="DJ24" s="211">
        <v>0</v>
      </c>
      <c r="DK24" s="211">
        <v>0</v>
      </c>
      <c r="DL24" s="269">
        <f t="shared" si="32"/>
        <v>244870</v>
      </c>
      <c r="DM24" s="269">
        <f t="shared" si="33"/>
        <v>0</v>
      </c>
      <c r="DN24" s="269">
        <f t="shared" si="34"/>
        <v>0</v>
      </c>
      <c r="DW24" s="210" t="s">
        <v>418</v>
      </c>
      <c r="DX24" s="212" t="s">
        <v>323</v>
      </c>
      <c r="DY24" s="210" t="s">
        <v>474</v>
      </c>
      <c r="DZ24" s="212" t="s">
        <v>465</v>
      </c>
      <c r="EA24" s="211">
        <v>235000000</v>
      </c>
      <c r="EB24" s="211">
        <v>0</v>
      </c>
      <c r="EC24" s="211">
        <v>0</v>
      </c>
      <c r="ED24" s="211">
        <f t="shared" si="36"/>
        <v>244870</v>
      </c>
      <c r="EE24" s="211">
        <f t="shared" si="37"/>
        <v>0</v>
      </c>
      <c r="EF24" s="211">
        <f t="shared" si="38"/>
        <v>0</v>
      </c>
      <c r="EP24" s="210" t="s">
        <v>418</v>
      </c>
      <c r="EQ24" s="212" t="s">
        <v>323</v>
      </c>
      <c r="ER24" s="210" t="s">
        <v>439</v>
      </c>
      <c r="ES24" s="210" t="s">
        <v>590</v>
      </c>
      <c r="ET24" s="211">
        <v>269500000</v>
      </c>
      <c r="EU24" s="211">
        <v>0</v>
      </c>
      <c r="EV24" s="211">
        <v>0</v>
      </c>
      <c r="EW24" s="274">
        <f t="shared" si="40"/>
        <v>269500</v>
      </c>
      <c r="EX24" s="274">
        <f t="shared" si="41"/>
        <v>0</v>
      </c>
      <c r="EY24" s="274">
        <f t="shared" si="42"/>
        <v>0</v>
      </c>
      <c r="FJ24" s="221" t="s">
        <v>418</v>
      </c>
      <c r="FK24" s="221" t="s">
        <v>323</v>
      </c>
      <c r="FL24" s="221" t="s">
        <v>439</v>
      </c>
      <c r="FM24" s="221" t="s">
        <v>590</v>
      </c>
      <c r="FN24" s="270">
        <v>269500000</v>
      </c>
      <c r="FO24" s="270">
        <v>0</v>
      </c>
      <c r="FP24" s="270">
        <v>0</v>
      </c>
      <c r="FQ24" s="270">
        <f t="shared" si="43"/>
        <v>269500</v>
      </c>
      <c r="FR24" s="270">
        <f t="shared" si="52"/>
        <v>0</v>
      </c>
      <c r="FS24" s="270">
        <f t="shared" si="53"/>
        <v>0</v>
      </c>
      <c r="GB24" s="199" t="s">
        <v>418</v>
      </c>
      <c r="GC24" s="199" t="s">
        <v>323</v>
      </c>
      <c r="GD24" s="199" t="s">
        <v>464</v>
      </c>
      <c r="GE24" s="199" t="s">
        <v>588</v>
      </c>
      <c r="GF24" s="270">
        <v>805120243</v>
      </c>
      <c r="GG24" s="270">
        <v>0</v>
      </c>
      <c r="GH24" s="270">
        <v>0</v>
      </c>
      <c r="GI24" s="270">
        <f t="shared" si="45"/>
        <v>805120.24300000002</v>
      </c>
      <c r="GJ24" s="270">
        <f t="shared" si="46"/>
        <v>0</v>
      </c>
      <c r="GK24" s="270">
        <f t="shared" si="47"/>
        <v>0</v>
      </c>
      <c r="GT24" s="199" t="s">
        <v>418</v>
      </c>
      <c r="GU24" s="199" t="s">
        <v>323</v>
      </c>
      <c r="GV24" s="199" t="s">
        <v>464</v>
      </c>
      <c r="GW24" s="199" t="s">
        <v>588</v>
      </c>
      <c r="GX24" s="351">
        <v>794217140</v>
      </c>
      <c r="GY24" s="351">
        <v>0</v>
      </c>
      <c r="GZ24" s="351">
        <v>0</v>
      </c>
      <c r="HA24" s="225">
        <f t="shared" si="49"/>
        <v>794217.14</v>
      </c>
      <c r="HB24" s="225">
        <f t="shared" si="50"/>
        <v>0</v>
      </c>
      <c r="HC24" s="225">
        <f t="shared" si="51"/>
        <v>0</v>
      </c>
    </row>
    <row r="25" spans="1:211" ht="15" customHeight="1" x14ac:dyDescent="0.2">
      <c r="A25" s="210" t="s">
        <v>418</v>
      </c>
      <c r="B25" s="210" t="s">
        <v>323</v>
      </c>
      <c r="C25" s="210" t="s">
        <v>419</v>
      </c>
      <c r="D25" s="210" t="s">
        <v>467</v>
      </c>
      <c r="E25" s="211">
        <v>160000000</v>
      </c>
      <c r="F25" s="211">
        <v>0</v>
      </c>
      <c r="G25" s="211">
        <v>0</v>
      </c>
      <c r="H25" s="269">
        <f t="shared" si="8"/>
        <v>166720</v>
      </c>
      <c r="I25" s="269">
        <f t="shared" si="9"/>
        <v>0</v>
      </c>
      <c r="J25" s="269">
        <f t="shared" si="10"/>
        <v>0</v>
      </c>
      <c r="S25" s="210" t="s">
        <v>418</v>
      </c>
      <c r="T25" s="212" t="s">
        <v>323</v>
      </c>
      <c r="U25" s="210" t="s">
        <v>586</v>
      </c>
      <c r="V25" s="212" t="s">
        <v>587</v>
      </c>
      <c r="W25" s="211">
        <v>205000000</v>
      </c>
      <c r="X25" s="211">
        <v>0</v>
      </c>
      <c r="Y25" s="211">
        <v>0</v>
      </c>
      <c r="Z25" s="259">
        <f t="shared" si="12"/>
        <v>213610</v>
      </c>
      <c r="AA25" s="259">
        <f t="shared" si="13"/>
        <v>0</v>
      </c>
      <c r="AB25" s="259">
        <f t="shared" si="14"/>
        <v>0</v>
      </c>
      <c r="AK25" s="210" t="s">
        <v>418</v>
      </c>
      <c r="AL25" s="210" t="s">
        <v>323</v>
      </c>
      <c r="AM25" s="210" t="s">
        <v>586</v>
      </c>
      <c r="AN25" s="210" t="s">
        <v>587</v>
      </c>
      <c r="AO25" s="211">
        <v>205000000</v>
      </c>
      <c r="AP25" s="211">
        <v>0</v>
      </c>
      <c r="AQ25" s="211">
        <v>0</v>
      </c>
      <c r="AR25" s="211">
        <f t="shared" si="16"/>
        <v>213610</v>
      </c>
      <c r="AS25" s="211">
        <f t="shared" si="17"/>
        <v>0</v>
      </c>
      <c r="AT25" s="211">
        <f t="shared" si="18"/>
        <v>0</v>
      </c>
      <c r="BC25" s="210" t="s">
        <v>418</v>
      </c>
      <c r="BD25" s="210" t="s">
        <v>323</v>
      </c>
      <c r="BE25" s="210" t="s">
        <v>586</v>
      </c>
      <c r="BF25" s="210" t="s">
        <v>587</v>
      </c>
      <c r="BG25" s="211">
        <v>205000000</v>
      </c>
      <c r="BH25" s="211">
        <v>0</v>
      </c>
      <c r="BI25" s="211">
        <v>0</v>
      </c>
      <c r="BJ25" s="270">
        <f t="shared" si="20"/>
        <v>213610</v>
      </c>
      <c r="BK25" s="270">
        <f t="shared" si="21"/>
        <v>0</v>
      </c>
      <c r="BL25" s="270">
        <f t="shared" si="22"/>
        <v>0</v>
      </c>
      <c r="BU25" s="210" t="s">
        <v>418</v>
      </c>
      <c r="BV25" s="210" t="s">
        <v>323</v>
      </c>
      <c r="BW25" s="210" t="s">
        <v>586</v>
      </c>
      <c r="BX25" s="210" t="s">
        <v>587</v>
      </c>
      <c r="BY25" s="211">
        <v>205000000</v>
      </c>
      <c r="BZ25" s="211">
        <v>0</v>
      </c>
      <c r="CA25" s="211">
        <v>0</v>
      </c>
      <c r="CB25" s="211">
        <f t="shared" si="24"/>
        <v>213610</v>
      </c>
      <c r="CC25" s="211">
        <f t="shared" si="25"/>
        <v>0</v>
      </c>
      <c r="CD25" s="211">
        <f t="shared" si="26"/>
        <v>0</v>
      </c>
      <c r="CM25" s="210" t="s">
        <v>418</v>
      </c>
      <c r="CN25" s="210" t="s">
        <v>323</v>
      </c>
      <c r="CO25" s="210" t="s">
        <v>586</v>
      </c>
      <c r="CP25" s="210" t="s">
        <v>587</v>
      </c>
      <c r="CQ25" s="211">
        <v>205000000</v>
      </c>
      <c r="CR25" s="211">
        <v>0</v>
      </c>
      <c r="CS25" s="211">
        <v>0</v>
      </c>
      <c r="CT25" s="211">
        <f t="shared" si="28"/>
        <v>213610</v>
      </c>
      <c r="CU25" s="211">
        <f t="shared" si="29"/>
        <v>0</v>
      </c>
      <c r="CV25" s="211">
        <f t="shared" si="30"/>
        <v>0</v>
      </c>
      <c r="DE25" s="210" t="s">
        <v>418</v>
      </c>
      <c r="DF25" s="212" t="s">
        <v>323</v>
      </c>
      <c r="DG25" s="210" t="s">
        <v>586</v>
      </c>
      <c r="DH25" s="212" t="s">
        <v>587</v>
      </c>
      <c r="DI25" s="211">
        <v>205000000</v>
      </c>
      <c r="DJ25" s="211">
        <v>0</v>
      </c>
      <c r="DK25" s="211">
        <v>0</v>
      </c>
      <c r="DL25" s="269">
        <f t="shared" si="32"/>
        <v>213610</v>
      </c>
      <c r="DM25" s="269">
        <f t="shared" si="33"/>
        <v>0</v>
      </c>
      <c r="DN25" s="269">
        <f t="shared" si="34"/>
        <v>0</v>
      </c>
      <c r="DW25" s="210" t="s">
        <v>418</v>
      </c>
      <c r="DX25" s="212" t="s">
        <v>323</v>
      </c>
      <c r="DY25" s="210" t="s">
        <v>586</v>
      </c>
      <c r="DZ25" s="212" t="s">
        <v>587</v>
      </c>
      <c r="EA25" s="211">
        <v>205000000</v>
      </c>
      <c r="EB25" s="211">
        <v>0</v>
      </c>
      <c r="EC25" s="211">
        <v>0</v>
      </c>
      <c r="ED25" s="211">
        <f t="shared" si="36"/>
        <v>213610</v>
      </c>
      <c r="EE25" s="211">
        <f t="shared" si="37"/>
        <v>0</v>
      </c>
      <c r="EF25" s="211">
        <f t="shared" si="38"/>
        <v>0</v>
      </c>
      <c r="EP25" s="210" t="s">
        <v>418</v>
      </c>
      <c r="EQ25" s="212" t="s">
        <v>323</v>
      </c>
      <c r="ER25" s="210" t="s">
        <v>419</v>
      </c>
      <c r="ES25" s="210" t="s">
        <v>467</v>
      </c>
      <c r="ET25" s="211">
        <v>159963700</v>
      </c>
      <c r="EU25" s="211">
        <v>0</v>
      </c>
      <c r="EV25" s="211">
        <v>0</v>
      </c>
      <c r="EW25" s="274">
        <f t="shared" si="40"/>
        <v>159963.70000000001</v>
      </c>
      <c r="EX25" s="274">
        <f t="shared" si="41"/>
        <v>0</v>
      </c>
      <c r="EY25" s="274">
        <f t="shared" si="42"/>
        <v>0</v>
      </c>
      <c r="FJ25" s="221" t="s">
        <v>418</v>
      </c>
      <c r="FK25" s="221" t="s">
        <v>323</v>
      </c>
      <c r="FL25" s="221" t="s">
        <v>419</v>
      </c>
      <c r="FM25" s="221" t="s">
        <v>467</v>
      </c>
      <c r="FN25" s="270">
        <v>159963700</v>
      </c>
      <c r="FO25" s="270">
        <v>0</v>
      </c>
      <c r="FP25" s="270">
        <v>0</v>
      </c>
      <c r="FQ25" s="270">
        <f t="shared" si="43"/>
        <v>159963.70000000001</v>
      </c>
      <c r="FR25" s="270">
        <f t="shared" si="52"/>
        <v>0</v>
      </c>
      <c r="FS25" s="270">
        <f t="shared" si="53"/>
        <v>0</v>
      </c>
      <c r="GB25" s="199" t="s">
        <v>418</v>
      </c>
      <c r="GC25" s="199" t="s">
        <v>323</v>
      </c>
      <c r="GD25" s="199" t="s">
        <v>473</v>
      </c>
      <c r="GE25" s="199" t="s">
        <v>589</v>
      </c>
      <c r="GF25" s="270">
        <v>357123057</v>
      </c>
      <c r="GG25" s="270">
        <v>0</v>
      </c>
      <c r="GH25" s="270">
        <v>0</v>
      </c>
      <c r="GI25" s="270">
        <f t="shared" si="45"/>
        <v>357123.05699999997</v>
      </c>
      <c r="GJ25" s="270">
        <f t="shared" si="46"/>
        <v>0</v>
      </c>
      <c r="GK25" s="270">
        <f t="shared" si="47"/>
        <v>0</v>
      </c>
      <c r="GT25" s="199" t="s">
        <v>418</v>
      </c>
      <c r="GU25" s="199" t="s">
        <v>323</v>
      </c>
      <c r="GV25" s="199" t="s">
        <v>473</v>
      </c>
      <c r="GW25" s="199" t="s">
        <v>589</v>
      </c>
      <c r="GX25" s="351">
        <v>398037160</v>
      </c>
      <c r="GY25" s="351">
        <v>0</v>
      </c>
      <c r="GZ25" s="351">
        <v>0</v>
      </c>
      <c r="HA25" s="225">
        <f t="shared" si="49"/>
        <v>398037.16</v>
      </c>
      <c r="HB25" s="225">
        <f t="shared" si="50"/>
        <v>0</v>
      </c>
      <c r="HC25" s="225">
        <f t="shared" si="51"/>
        <v>0</v>
      </c>
    </row>
    <row r="26" spans="1:211" ht="15" customHeight="1" x14ac:dyDescent="0.2">
      <c r="A26" s="210" t="s">
        <v>418</v>
      </c>
      <c r="B26" s="210" t="s">
        <v>323</v>
      </c>
      <c r="C26" s="210" t="s">
        <v>586</v>
      </c>
      <c r="D26" s="210" t="s">
        <v>587</v>
      </c>
      <c r="E26" s="211">
        <v>0</v>
      </c>
      <c r="F26" s="211">
        <v>3120000</v>
      </c>
      <c r="G26" s="211">
        <v>0</v>
      </c>
      <c r="H26" s="269">
        <f t="shared" si="8"/>
        <v>0</v>
      </c>
      <c r="I26" s="269">
        <f t="shared" si="9"/>
        <v>3251.04</v>
      </c>
      <c r="J26" s="269">
        <f t="shared" si="10"/>
        <v>0</v>
      </c>
      <c r="S26" s="210" t="s">
        <v>418</v>
      </c>
      <c r="T26" s="212" t="s">
        <v>323</v>
      </c>
      <c r="U26" s="210" t="s">
        <v>419</v>
      </c>
      <c r="V26" s="212" t="s">
        <v>467</v>
      </c>
      <c r="W26" s="211">
        <v>160000000</v>
      </c>
      <c r="X26" s="211">
        <v>0</v>
      </c>
      <c r="Y26" s="211">
        <v>0</v>
      </c>
      <c r="Z26" s="259">
        <f t="shared" si="12"/>
        <v>166720</v>
      </c>
      <c r="AA26" s="259">
        <f t="shared" si="13"/>
        <v>0</v>
      </c>
      <c r="AB26" s="259">
        <f t="shared" si="14"/>
        <v>0</v>
      </c>
      <c r="AK26" s="210" t="s">
        <v>418</v>
      </c>
      <c r="AL26" s="210" t="s">
        <v>323</v>
      </c>
      <c r="AM26" s="210" t="s">
        <v>419</v>
      </c>
      <c r="AN26" s="210" t="s">
        <v>467</v>
      </c>
      <c r="AO26" s="211">
        <v>160000000</v>
      </c>
      <c r="AP26" s="211">
        <v>0</v>
      </c>
      <c r="AQ26" s="211">
        <v>0</v>
      </c>
      <c r="AR26" s="211">
        <f t="shared" si="16"/>
        <v>166720</v>
      </c>
      <c r="AS26" s="211">
        <f t="shared" si="17"/>
        <v>0</v>
      </c>
      <c r="AT26" s="211">
        <f t="shared" si="18"/>
        <v>0</v>
      </c>
      <c r="BC26" s="210" t="s">
        <v>418</v>
      </c>
      <c r="BD26" s="210" t="s">
        <v>323</v>
      </c>
      <c r="BE26" s="210" t="s">
        <v>419</v>
      </c>
      <c r="BF26" s="210" t="s">
        <v>467</v>
      </c>
      <c r="BG26" s="211">
        <v>160000000</v>
      </c>
      <c r="BH26" s="211">
        <v>0</v>
      </c>
      <c r="BI26" s="211">
        <v>0</v>
      </c>
      <c r="BJ26" s="270">
        <f t="shared" si="20"/>
        <v>166720</v>
      </c>
      <c r="BK26" s="270">
        <f t="shared" si="21"/>
        <v>0</v>
      </c>
      <c r="BL26" s="270">
        <f t="shared" si="22"/>
        <v>0</v>
      </c>
      <c r="BU26" s="210" t="s">
        <v>418</v>
      </c>
      <c r="BV26" s="210" t="s">
        <v>323</v>
      </c>
      <c r="BW26" s="210" t="s">
        <v>419</v>
      </c>
      <c r="BX26" s="210" t="s">
        <v>467</v>
      </c>
      <c r="BY26" s="211">
        <v>160000000</v>
      </c>
      <c r="BZ26" s="211">
        <v>0</v>
      </c>
      <c r="CA26" s="211">
        <v>0</v>
      </c>
      <c r="CB26" s="211">
        <f t="shared" si="24"/>
        <v>166720</v>
      </c>
      <c r="CC26" s="211">
        <f t="shared" si="25"/>
        <v>0</v>
      </c>
      <c r="CD26" s="211">
        <f t="shared" si="26"/>
        <v>0</v>
      </c>
      <c r="CM26" s="210" t="s">
        <v>418</v>
      </c>
      <c r="CN26" s="210" t="s">
        <v>323</v>
      </c>
      <c r="CO26" s="210" t="s">
        <v>419</v>
      </c>
      <c r="CP26" s="210" t="s">
        <v>467</v>
      </c>
      <c r="CQ26" s="211">
        <v>160000000</v>
      </c>
      <c r="CR26" s="211">
        <v>0</v>
      </c>
      <c r="CS26" s="211">
        <v>0</v>
      </c>
      <c r="CT26" s="211">
        <f t="shared" si="28"/>
        <v>166720</v>
      </c>
      <c r="CU26" s="211">
        <f t="shared" si="29"/>
        <v>0</v>
      </c>
      <c r="CV26" s="211">
        <f t="shared" si="30"/>
        <v>0</v>
      </c>
      <c r="DE26" s="210" t="s">
        <v>418</v>
      </c>
      <c r="DF26" s="212" t="s">
        <v>323</v>
      </c>
      <c r="DG26" s="210" t="s">
        <v>419</v>
      </c>
      <c r="DH26" s="212" t="s">
        <v>467</v>
      </c>
      <c r="DI26" s="211">
        <v>160000000</v>
      </c>
      <c r="DJ26" s="211">
        <v>0</v>
      </c>
      <c r="DK26" s="211">
        <v>0</v>
      </c>
      <c r="DL26" s="269">
        <f t="shared" si="32"/>
        <v>166720</v>
      </c>
      <c r="DM26" s="269">
        <f t="shared" si="33"/>
        <v>0</v>
      </c>
      <c r="DN26" s="269">
        <f t="shared" si="34"/>
        <v>0</v>
      </c>
      <c r="DW26" s="210" t="s">
        <v>418</v>
      </c>
      <c r="DX26" s="212" t="s">
        <v>323</v>
      </c>
      <c r="DY26" s="210" t="s">
        <v>473</v>
      </c>
      <c r="DZ26" s="212" t="s">
        <v>589</v>
      </c>
      <c r="EA26" s="211">
        <v>175206757</v>
      </c>
      <c r="EB26" s="211">
        <v>0</v>
      </c>
      <c r="EC26" s="211">
        <v>0</v>
      </c>
      <c r="ED26" s="211">
        <f t="shared" si="36"/>
        <v>182565.44079400002</v>
      </c>
      <c r="EE26" s="211">
        <f t="shared" si="37"/>
        <v>0</v>
      </c>
      <c r="EF26" s="211">
        <f t="shared" si="38"/>
        <v>0</v>
      </c>
      <c r="EP26" s="210" t="s">
        <v>418</v>
      </c>
      <c r="EQ26" s="212" t="s">
        <v>323</v>
      </c>
      <c r="ER26" s="210" t="s">
        <v>474</v>
      </c>
      <c r="ES26" s="210" t="s">
        <v>465</v>
      </c>
      <c r="ET26" s="211">
        <v>30000000</v>
      </c>
      <c r="EU26" s="211">
        <v>0</v>
      </c>
      <c r="EV26" s="211">
        <v>0</v>
      </c>
      <c r="EW26" s="274">
        <f t="shared" si="40"/>
        <v>30000</v>
      </c>
      <c r="EX26" s="274">
        <f t="shared" si="41"/>
        <v>0</v>
      </c>
      <c r="EY26" s="274">
        <f t="shared" si="42"/>
        <v>0</v>
      </c>
      <c r="FJ26" s="221" t="s">
        <v>418</v>
      </c>
      <c r="FK26" s="221" t="s">
        <v>323</v>
      </c>
      <c r="FL26" s="221" t="s">
        <v>474</v>
      </c>
      <c r="FM26" s="221" t="s">
        <v>465</v>
      </c>
      <c r="FN26" s="270">
        <v>30000000</v>
      </c>
      <c r="FO26" s="270">
        <v>0</v>
      </c>
      <c r="FP26" s="270">
        <v>0</v>
      </c>
      <c r="FQ26" s="270">
        <f t="shared" si="43"/>
        <v>30000</v>
      </c>
      <c r="FR26" s="270">
        <f t="shared" si="52"/>
        <v>0</v>
      </c>
      <c r="FS26" s="270">
        <f t="shared" si="53"/>
        <v>0</v>
      </c>
      <c r="GB26" s="199" t="s">
        <v>418</v>
      </c>
      <c r="GC26" s="199" t="s">
        <v>323</v>
      </c>
      <c r="GD26" s="199" t="s">
        <v>439</v>
      </c>
      <c r="GE26" s="199" t="s">
        <v>590</v>
      </c>
      <c r="GF26" s="270">
        <v>269500000</v>
      </c>
      <c r="GG26" s="270">
        <v>0</v>
      </c>
      <c r="GH26" s="270">
        <v>0</v>
      </c>
      <c r="GI26" s="270">
        <f t="shared" si="45"/>
        <v>269500</v>
      </c>
      <c r="GJ26" s="270">
        <f t="shared" si="46"/>
        <v>0</v>
      </c>
      <c r="GK26" s="270">
        <f t="shared" si="47"/>
        <v>0</v>
      </c>
      <c r="GT26" s="199" t="s">
        <v>418</v>
      </c>
      <c r="GU26" s="199" t="s">
        <v>323</v>
      </c>
      <c r="GV26" s="199" t="s">
        <v>439</v>
      </c>
      <c r="GW26" s="199" t="s">
        <v>590</v>
      </c>
      <c r="GX26" s="351">
        <v>269500000</v>
      </c>
      <c r="GY26" s="351">
        <v>0</v>
      </c>
      <c r="GZ26" s="351">
        <v>0</v>
      </c>
      <c r="HA26" s="225">
        <f t="shared" si="49"/>
        <v>269500</v>
      </c>
      <c r="HB26" s="225">
        <f t="shared" si="50"/>
        <v>0</v>
      </c>
      <c r="HC26" s="225">
        <f t="shared" si="51"/>
        <v>0</v>
      </c>
    </row>
    <row r="27" spans="1:211" ht="15" customHeight="1" x14ac:dyDescent="0.2">
      <c r="A27" s="210" t="s">
        <v>884</v>
      </c>
      <c r="B27" s="210" t="s">
        <v>885</v>
      </c>
      <c r="C27" s="210" t="s">
        <v>426</v>
      </c>
      <c r="D27" s="210" t="s">
        <v>426</v>
      </c>
      <c r="E27" s="211">
        <v>1000</v>
      </c>
      <c r="F27" s="211">
        <v>0</v>
      </c>
      <c r="G27" s="211">
        <v>0</v>
      </c>
      <c r="H27" s="269">
        <f t="shared" si="8"/>
        <v>1.042</v>
      </c>
      <c r="I27" s="269">
        <f t="shared" si="9"/>
        <v>0</v>
      </c>
      <c r="J27" s="269">
        <f t="shared" si="10"/>
        <v>0</v>
      </c>
      <c r="S27" s="210" t="s">
        <v>418</v>
      </c>
      <c r="T27" s="212" t="s">
        <v>323</v>
      </c>
      <c r="U27" s="210" t="s">
        <v>586</v>
      </c>
      <c r="V27" s="212" t="s">
        <v>587</v>
      </c>
      <c r="W27" s="211">
        <v>0</v>
      </c>
      <c r="X27" s="211">
        <v>3120000</v>
      </c>
      <c r="Y27" s="211">
        <v>780000</v>
      </c>
      <c r="Z27" s="259">
        <f t="shared" si="12"/>
        <v>0</v>
      </c>
      <c r="AA27" s="259">
        <f t="shared" si="13"/>
        <v>3251.04</v>
      </c>
      <c r="AB27" s="259">
        <f t="shared" si="14"/>
        <v>812.76</v>
      </c>
      <c r="AK27" s="210" t="s">
        <v>418</v>
      </c>
      <c r="AL27" s="210" t="s">
        <v>323</v>
      </c>
      <c r="AM27" s="210" t="s">
        <v>586</v>
      </c>
      <c r="AN27" s="210" t="s">
        <v>587</v>
      </c>
      <c r="AO27" s="211">
        <v>0</v>
      </c>
      <c r="AP27" s="211">
        <v>28109000</v>
      </c>
      <c r="AQ27" s="211">
        <v>780000</v>
      </c>
      <c r="AR27" s="211">
        <f t="shared" si="16"/>
        <v>0</v>
      </c>
      <c r="AS27" s="211">
        <f t="shared" si="17"/>
        <v>29289.578000000001</v>
      </c>
      <c r="AT27" s="211">
        <f t="shared" si="18"/>
        <v>812.76</v>
      </c>
      <c r="BC27" s="210" t="s">
        <v>418</v>
      </c>
      <c r="BD27" s="210" t="s">
        <v>323</v>
      </c>
      <c r="BE27" s="210" t="s">
        <v>426</v>
      </c>
      <c r="BF27" s="210" t="s">
        <v>426</v>
      </c>
      <c r="BG27" s="211">
        <v>0</v>
      </c>
      <c r="BH27" s="211">
        <v>0</v>
      </c>
      <c r="BI27" s="211">
        <v>0</v>
      </c>
      <c r="BJ27" s="270">
        <f t="shared" si="20"/>
        <v>0</v>
      </c>
      <c r="BK27" s="270">
        <f t="shared" si="21"/>
        <v>0</v>
      </c>
      <c r="BL27" s="270">
        <f t="shared" si="22"/>
        <v>0</v>
      </c>
      <c r="BU27" s="210" t="s">
        <v>418</v>
      </c>
      <c r="BV27" s="210" t="s">
        <v>323</v>
      </c>
      <c r="BW27" s="210" t="s">
        <v>439</v>
      </c>
      <c r="BX27" s="210" t="s">
        <v>590</v>
      </c>
      <c r="BY27" s="211">
        <v>0</v>
      </c>
      <c r="BZ27" s="211">
        <v>85000000</v>
      </c>
      <c r="CA27" s="211">
        <v>80000000</v>
      </c>
      <c r="CB27" s="211">
        <f t="shared" si="24"/>
        <v>0</v>
      </c>
      <c r="CC27" s="211">
        <f t="shared" si="25"/>
        <v>88570</v>
      </c>
      <c r="CD27" s="211">
        <f t="shared" si="26"/>
        <v>83360</v>
      </c>
      <c r="CM27" s="210" t="s">
        <v>418</v>
      </c>
      <c r="CN27" s="210" t="s">
        <v>323</v>
      </c>
      <c r="CO27" s="210" t="s">
        <v>586</v>
      </c>
      <c r="CP27" s="210" t="s">
        <v>587</v>
      </c>
      <c r="CQ27" s="211">
        <v>0</v>
      </c>
      <c r="CR27" s="211">
        <v>28109000</v>
      </c>
      <c r="CS27" s="211">
        <v>1560000</v>
      </c>
      <c r="CT27" s="211">
        <f t="shared" si="28"/>
        <v>0</v>
      </c>
      <c r="CU27" s="211">
        <f t="shared" si="29"/>
        <v>29289.578000000001</v>
      </c>
      <c r="CV27" s="211">
        <f t="shared" si="30"/>
        <v>1625.52</v>
      </c>
      <c r="DE27" s="210" t="s">
        <v>418</v>
      </c>
      <c r="DF27" s="212" t="s">
        <v>323</v>
      </c>
      <c r="DG27" s="210" t="s">
        <v>464</v>
      </c>
      <c r="DH27" s="212" t="s">
        <v>588</v>
      </c>
      <c r="DI27" s="211">
        <v>0</v>
      </c>
      <c r="DJ27" s="211">
        <v>340000000</v>
      </c>
      <c r="DK27" s="211">
        <v>340000000</v>
      </c>
      <c r="DL27" s="269">
        <f t="shared" si="32"/>
        <v>0</v>
      </c>
      <c r="DM27" s="269">
        <f t="shared" si="33"/>
        <v>354280</v>
      </c>
      <c r="DN27" s="269">
        <f t="shared" si="34"/>
        <v>354280</v>
      </c>
      <c r="DW27" s="210" t="s">
        <v>418</v>
      </c>
      <c r="DX27" s="212" t="s">
        <v>323</v>
      </c>
      <c r="DY27" s="210" t="s">
        <v>419</v>
      </c>
      <c r="DZ27" s="212" t="s">
        <v>467</v>
      </c>
      <c r="EA27" s="211">
        <v>160000000</v>
      </c>
      <c r="EB27" s="211">
        <v>0</v>
      </c>
      <c r="EC27" s="211">
        <v>0</v>
      </c>
      <c r="ED27" s="211">
        <f t="shared" si="36"/>
        <v>166720</v>
      </c>
      <c r="EE27" s="211">
        <f t="shared" si="37"/>
        <v>0</v>
      </c>
      <c r="EF27" s="211">
        <f t="shared" si="38"/>
        <v>0</v>
      </c>
      <c r="EP27" s="210" t="s">
        <v>418</v>
      </c>
      <c r="EQ27" s="212" t="s">
        <v>323</v>
      </c>
      <c r="ER27" s="210" t="s">
        <v>586</v>
      </c>
      <c r="ES27" s="210" t="s">
        <v>587</v>
      </c>
      <c r="ET27" s="211">
        <v>28120000</v>
      </c>
      <c r="EU27" s="211">
        <v>0</v>
      </c>
      <c r="EV27" s="211">
        <v>0</v>
      </c>
      <c r="EW27" s="274">
        <f t="shared" si="40"/>
        <v>28120</v>
      </c>
      <c r="EX27" s="274">
        <f t="shared" si="41"/>
        <v>0</v>
      </c>
      <c r="EY27" s="274">
        <f t="shared" si="42"/>
        <v>0</v>
      </c>
      <c r="FJ27" s="221" t="s">
        <v>418</v>
      </c>
      <c r="FK27" s="221" t="s">
        <v>323</v>
      </c>
      <c r="FL27" s="221" t="s">
        <v>586</v>
      </c>
      <c r="FM27" s="221" t="s">
        <v>587</v>
      </c>
      <c r="FN27" s="270">
        <v>28120000</v>
      </c>
      <c r="FO27" s="270">
        <v>0</v>
      </c>
      <c r="FP27" s="270">
        <v>0</v>
      </c>
      <c r="FQ27" s="270">
        <f t="shared" si="43"/>
        <v>28120</v>
      </c>
      <c r="FR27" s="270">
        <f t="shared" si="52"/>
        <v>0</v>
      </c>
      <c r="FS27" s="270">
        <f t="shared" si="53"/>
        <v>0</v>
      </c>
      <c r="GB27" s="199" t="s">
        <v>418</v>
      </c>
      <c r="GC27" s="199" t="s">
        <v>323</v>
      </c>
      <c r="GD27" s="199" t="s">
        <v>419</v>
      </c>
      <c r="GE27" s="199" t="s">
        <v>467</v>
      </c>
      <c r="GF27" s="270">
        <v>159963700</v>
      </c>
      <c r="GG27" s="270">
        <v>0</v>
      </c>
      <c r="GH27" s="270">
        <v>0</v>
      </c>
      <c r="GI27" s="270">
        <f t="shared" si="45"/>
        <v>159963.70000000001</v>
      </c>
      <c r="GJ27" s="270">
        <f t="shared" si="46"/>
        <v>0</v>
      </c>
      <c r="GK27" s="270">
        <f t="shared" si="47"/>
        <v>0</v>
      </c>
      <c r="GT27" s="199" t="s">
        <v>418</v>
      </c>
      <c r="GU27" s="199" t="s">
        <v>323</v>
      </c>
      <c r="GV27" s="199" t="s">
        <v>419</v>
      </c>
      <c r="GW27" s="199" t="s">
        <v>467</v>
      </c>
      <c r="GX27" s="351">
        <v>159963700</v>
      </c>
      <c r="GY27" s="351">
        <v>0</v>
      </c>
      <c r="GZ27" s="351">
        <v>0</v>
      </c>
      <c r="HA27" s="225">
        <f t="shared" si="49"/>
        <v>159963.70000000001</v>
      </c>
      <c r="HB27" s="225">
        <f t="shared" si="50"/>
        <v>0</v>
      </c>
      <c r="HC27" s="225">
        <f t="shared" si="51"/>
        <v>0</v>
      </c>
    </row>
    <row r="28" spans="1:211" ht="15" customHeight="1" x14ac:dyDescent="0.2">
      <c r="A28" s="210" t="s">
        <v>884</v>
      </c>
      <c r="B28" s="210" t="s">
        <v>885</v>
      </c>
      <c r="C28" s="210" t="s">
        <v>426</v>
      </c>
      <c r="D28" s="210" t="s">
        <v>426</v>
      </c>
      <c r="E28" s="211">
        <v>0</v>
      </c>
      <c r="F28" s="211">
        <v>366427393</v>
      </c>
      <c r="G28" s="211">
        <v>366427393</v>
      </c>
      <c r="H28" s="269">
        <f t="shared" si="8"/>
        <v>0</v>
      </c>
      <c r="I28" s="269">
        <f t="shared" si="9"/>
        <v>381817.343506</v>
      </c>
      <c r="J28" s="269">
        <f t="shared" si="10"/>
        <v>381817.343506</v>
      </c>
      <c r="S28" s="210" t="s">
        <v>418</v>
      </c>
      <c r="T28" s="212" t="s">
        <v>323</v>
      </c>
      <c r="U28" s="210" t="s">
        <v>426</v>
      </c>
      <c r="V28" s="212" t="s">
        <v>426</v>
      </c>
      <c r="W28" s="211">
        <v>0</v>
      </c>
      <c r="X28" s="211">
        <v>0</v>
      </c>
      <c r="Y28" s="211">
        <v>0</v>
      </c>
      <c r="Z28" s="259">
        <f t="shared" si="12"/>
        <v>0</v>
      </c>
      <c r="AA28" s="259">
        <f t="shared" si="13"/>
        <v>0</v>
      </c>
      <c r="AB28" s="259">
        <f t="shared" si="14"/>
        <v>0</v>
      </c>
      <c r="AK28" s="210" t="s">
        <v>418</v>
      </c>
      <c r="AL28" s="210" t="s">
        <v>323</v>
      </c>
      <c r="AM28" s="210" t="s">
        <v>439</v>
      </c>
      <c r="AN28" s="210" t="s">
        <v>590</v>
      </c>
      <c r="AO28" s="211">
        <v>0</v>
      </c>
      <c r="AP28" s="211">
        <v>85000000</v>
      </c>
      <c r="AQ28" s="211">
        <v>75000000</v>
      </c>
      <c r="AR28" s="211">
        <f t="shared" si="16"/>
        <v>0</v>
      </c>
      <c r="AS28" s="211">
        <f t="shared" si="17"/>
        <v>88570</v>
      </c>
      <c r="AT28" s="211">
        <f t="shared" si="18"/>
        <v>78150</v>
      </c>
      <c r="BC28" s="210" t="s">
        <v>418</v>
      </c>
      <c r="BD28" s="210" t="s">
        <v>323</v>
      </c>
      <c r="BE28" s="210" t="s">
        <v>426</v>
      </c>
      <c r="BF28" s="210" t="s">
        <v>426</v>
      </c>
      <c r="BG28" s="211">
        <v>0</v>
      </c>
      <c r="BH28" s="211">
        <v>0</v>
      </c>
      <c r="BI28" s="211">
        <v>0</v>
      </c>
      <c r="BJ28" s="270">
        <f t="shared" si="20"/>
        <v>0</v>
      </c>
      <c r="BK28" s="270">
        <f t="shared" si="21"/>
        <v>0</v>
      </c>
      <c r="BL28" s="270">
        <f t="shared" si="22"/>
        <v>0</v>
      </c>
      <c r="BU28" s="210" t="s">
        <v>418</v>
      </c>
      <c r="BV28" s="210" t="s">
        <v>323</v>
      </c>
      <c r="BW28" s="210" t="s">
        <v>426</v>
      </c>
      <c r="BX28" s="210" t="s">
        <v>426</v>
      </c>
      <c r="BY28" s="211">
        <v>0</v>
      </c>
      <c r="BZ28" s="211">
        <v>0</v>
      </c>
      <c r="CA28" s="211">
        <v>0</v>
      </c>
      <c r="CB28" s="211">
        <f t="shared" si="24"/>
        <v>0</v>
      </c>
      <c r="CC28" s="211">
        <f t="shared" si="25"/>
        <v>0</v>
      </c>
      <c r="CD28" s="211">
        <f t="shared" si="26"/>
        <v>0</v>
      </c>
      <c r="CM28" s="210" t="s">
        <v>418</v>
      </c>
      <c r="CN28" s="210" t="s">
        <v>323</v>
      </c>
      <c r="CO28" s="210" t="s">
        <v>439</v>
      </c>
      <c r="CP28" s="210" t="s">
        <v>590</v>
      </c>
      <c r="CQ28" s="211">
        <v>0</v>
      </c>
      <c r="CR28" s="211">
        <v>85000000</v>
      </c>
      <c r="CS28" s="211">
        <v>80000000</v>
      </c>
      <c r="CT28" s="211">
        <f t="shared" si="28"/>
        <v>0</v>
      </c>
      <c r="CU28" s="211">
        <f t="shared" si="29"/>
        <v>88570</v>
      </c>
      <c r="CV28" s="211">
        <f t="shared" si="30"/>
        <v>83360</v>
      </c>
      <c r="DE28" s="210" t="s">
        <v>418</v>
      </c>
      <c r="DF28" s="212" t="s">
        <v>323</v>
      </c>
      <c r="DG28" s="210" t="s">
        <v>426</v>
      </c>
      <c r="DH28" s="212" t="s">
        <v>426</v>
      </c>
      <c r="DI28" s="211">
        <v>0</v>
      </c>
      <c r="DJ28" s="211">
        <v>0</v>
      </c>
      <c r="DK28" s="211">
        <v>0</v>
      </c>
      <c r="DL28" s="269">
        <f t="shared" si="32"/>
        <v>0</v>
      </c>
      <c r="DM28" s="269">
        <f t="shared" si="33"/>
        <v>0</v>
      </c>
      <c r="DN28" s="269">
        <f t="shared" si="34"/>
        <v>0</v>
      </c>
      <c r="DW28" s="210" t="s">
        <v>418</v>
      </c>
      <c r="DX28" s="212" t="s">
        <v>323</v>
      </c>
      <c r="DY28" s="210" t="s">
        <v>419</v>
      </c>
      <c r="DZ28" s="212" t="s">
        <v>467</v>
      </c>
      <c r="EA28" s="211">
        <v>0</v>
      </c>
      <c r="EB28" s="211">
        <v>159963700</v>
      </c>
      <c r="EC28" s="211">
        <v>159963700</v>
      </c>
      <c r="ED28" s="211">
        <f t="shared" si="36"/>
        <v>0</v>
      </c>
      <c r="EE28" s="211">
        <f t="shared" si="37"/>
        <v>166682.17540000001</v>
      </c>
      <c r="EF28" s="211">
        <f t="shared" si="38"/>
        <v>166682.17540000001</v>
      </c>
      <c r="EP28" s="210" t="s">
        <v>418</v>
      </c>
      <c r="EQ28" s="212" t="s">
        <v>323</v>
      </c>
      <c r="ER28" s="210" t="s">
        <v>426</v>
      </c>
      <c r="ES28" s="210" t="s">
        <v>426</v>
      </c>
      <c r="ET28" s="211">
        <v>0</v>
      </c>
      <c r="EU28" s="211">
        <v>0</v>
      </c>
      <c r="EV28" s="211">
        <v>0</v>
      </c>
      <c r="EW28" s="274">
        <f t="shared" si="40"/>
        <v>0</v>
      </c>
      <c r="EX28" s="274">
        <f t="shared" si="41"/>
        <v>0</v>
      </c>
      <c r="EY28" s="274">
        <f t="shared" si="42"/>
        <v>0</v>
      </c>
      <c r="FJ28" s="221" t="s">
        <v>418</v>
      </c>
      <c r="FK28" s="221" t="s">
        <v>323</v>
      </c>
      <c r="FL28" s="221" t="s">
        <v>439</v>
      </c>
      <c r="FM28" s="221" t="s">
        <v>590</v>
      </c>
      <c r="FN28" s="270">
        <v>0</v>
      </c>
      <c r="FO28" s="270">
        <v>240580000</v>
      </c>
      <c r="FP28" s="270">
        <v>136544000</v>
      </c>
      <c r="FQ28" s="270">
        <f t="shared" si="43"/>
        <v>0</v>
      </c>
      <c r="FR28" s="270">
        <f t="shared" si="52"/>
        <v>240580</v>
      </c>
      <c r="FS28" s="270">
        <f t="shared" si="53"/>
        <v>136544</v>
      </c>
      <c r="GB28" s="199" t="s">
        <v>418</v>
      </c>
      <c r="GC28" s="199" t="s">
        <v>323</v>
      </c>
      <c r="GD28" s="199" t="s">
        <v>474</v>
      </c>
      <c r="GE28" s="199" t="s">
        <v>465</v>
      </c>
      <c r="GF28" s="270">
        <v>30000000</v>
      </c>
      <c r="GG28" s="270">
        <v>0</v>
      </c>
      <c r="GH28" s="270">
        <v>0</v>
      </c>
      <c r="GI28" s="270">
        <f t="shared" si="45"/>
        <v>30000</v>
      </c>
      <c r="GJ28" s="270">
        <f t="shared" si="46"/>
        <v>0</v>
      </c>
      <c r="GK28" s="270">
        <f t="shared" si="47"/>
        <v>0</v>
      </c>
      <c r="GT28" s="199" t="s">
        <v>418</v>
      </c>
      <c r="GU28" s="199" t="s">
        <v>323</v>
      </c>
      <c r="GV28" s="199" t="s">
        <v>586</v>
      </c>
      <c r="GW28" s="199" t="s">
        <v>587</v>
      </c>
      <c r="GX28" s="351">
        <v>28109000</v>
      </c>
      <c r="GY28" s="351">
        <v>0</v>
      </c>
      <c r="GZ28" s="351">
        <v>0</v>
      </c>
      <c r="HA28" s="225">
        <f t="shared" si="49"/>
        <v>28109</v>
      </c>
      <c r="HB28" s="225">
        <f t="shared" si="50"/>
        <v>0</v>
      </c>
      <c r="HC28" s="225">
        <f t="shared" si="51"/>
        <v>0</v>
      </c>
    </row>
    <row r="29" spans="1:211" ht="15" customHeight="1" x14ac:dyDescent="0.2">
      <c r="A29" s="210" t="s">
        <v>852</v>
      </c>
      <c r="B29" s="210" t="s">
        <v>51</v>
      </c>
      <c r="C29" s="210" t="s">
        <v>426</v>
      </c>
      <c r="D29" s="210" t="s">
        <v>426</v>
      </c>
      <c r="E29" s="211">
        <v>9000</v>
      </c>
      <c r="F29" s="211">
        <v>0</v>
      </c>
      <c r="G29" s="211">
        <v>0</v>
      </c>
      <c r="H29" s="269">
        <f t="shared" si="8"/>
        <v>9.3780000000000001</v>
      </c>
      <c r="I29" s="269">
        <f t="shared" si="9"/>
        <v>0</v>
      </c>
      <c r="J29" s="269">
        <f t="shared" si="10"/>
        <v>0</v>
      </c>
      <c r="S29" s="210" t="s">
        <v>418</v>
      </c>
      <c r="T29" s="212" t="s">
        <v>323</v>
      </c>
      <c r="U29" s="210" t="s">
        <v>426</v>
      </c>
      <c r="V29" s="212" t="s">
        <v>426</v>
      </c>
      <c r="W29" s="211">
        <v>0</v>
      </c>
      <c r="X29" s="211">
        <v>0</v>
      </c>
      <c r="Y29" s="211">
        <v>0</v>
      </c>
      <c r="Z29" s="259">
        <f t="shared" si="12"/>
        <v>0</v>
      </c>
      <c r="AA29" s="259">
        <f t="shared" si="13"/>
        <v>0</v>
      </c>
      <c r="AB29" s="259">
        <f t="shared" si="14"/>
        <v>0</v>
      </c>
      <c r="AK29" s="210" t="s">
        <v>418</v>
      </c>
      <c r="AL29" s="210" t="s">
        <v>323</v>
      </c>
      <c r="AM29" s="210" t="s">
        <v>426</v>
      </c>
      <c r="AN29" s="210" t="s">
        <v>426</v>
      </c>
      <c r="AO29" s="211">
        <v>0</v>
      </c>
      <c r="AP29" s="211">
        <v>0</v>
      </c>
      <c r="AQ29" s="211">
        <v>0</v>
      </c>
      <c r="AR29" s="211">
        <f t="shared" si="16"/>
        <v>0</v>
      </c>
      <c r="AS29" s="211">
        <f t="shared" si="17"/>
        <v>0</v>
      </c>
      <c r="AT29" s="211">
        <f t="shared" si="18"/>
        <v>0</v>
      </c>
      <c r="BC29" s="210" t="s">
        <v>418</v>
      </c>
      <c r="BD29" s="210" t="s">
        <v>323</v>
      </c>
      <c r="BE29" s="210" t="s">
        <v>439</v>
      </c>
      <c r="BF29" s="210" t="s">
        <v>590</v>
      </c>
      <c r="BG29" s="211">
        <v>0</v>
      </c>
      <c r="BH29" s="211">
        <v>85000000</v>
      </c>
      <c r="BI29" s="211">
        <v>75000000</v>
      </c>
      <c r="BJ29" s="270">
        <f t="shared" si="20"/>
        <v>0</v>
      </c>
      <c r="BK29" s="270">
        <f t="shared" si="21"/>
        <v>88570</v>
      </c>
      <c r="BL29" s="270">
        <f t="shared" si="22"/>
        <v>78150</v>
      </c>
      <c r="BU29" s="210" t="s">
        <v>418</v>
      </c>
      <c r="BV29" s="210" t="s">
        <v>323</v>
      </c>
      <c r="BW29" s="210" t="s">
        <v>473</v>
      </c>
      <c r="BX29" s="210" t="s">
        <v>589</v>
      </c>
      <c r="BY29" s="211">
        <v>0</v>
      </c>
      <c r="BZ29" s="211">
        <v>28980487</v>
      </c>
      <c r="CA29" s="211">
        <v>0</v>
      </c>
      <c r="CB29" s="211">
        <f t="shared" si="24"/>
        <v>0</v>
      </c>
      <c r="CC29" s="211">
        <f t="shared" si="25"/>
        <v>30197.667454000002</v>
      </c>
      <c r="CD29" s="211">
        <f t="shared" si="26"/>
        <v>0</v>
      </c>
      <c r="CM29" s="210" t="s">
        <v>418</v>
      </c>
      <c r="CN29" s="210" t="s">
        <v>323</v>
      </c>
      <c r="CO29" s="210" t="s">
        <v>473</v>
      </c>
      <c r="CP29" s="210" t="s">
        <v>589</v>
      </c>
      <c r="CQ29" s="211">
        <v>0</v>
      </c>
      <c r="CR29" s="211">
        <v>81379757</v>
      </c>
      <c r="CS29" s="211">
        <v>28980487</v>
      </c>
      <c r="CT29" s="211">
        <f t="shared" si="28"/>
        <v>0</v>
      </c>
      <c r="CU29" s="211">
        <f t="shared" si="29"/>
        <v>84797.706793999998</v>
      </c>
      <c r="CV29" s="211">
        <f t="shared" si="30"/>
        <v>30197.667454000002</v>
      </c>
      <c r="DE29" s="210" t="s">
        <v>418</v>
      </c>
      <c r="DF29" s="212" t="s">
        <v>323</v>
      </c>
      <c r="DG29" s="210" t="s">
        <v>426</v>
      </c>
      <c r="DH29" s="212" t="s">
        <v>426</v>
      </c>
      <c r="DI29" s="211">
        <v>0</v>
      </c>
      <c r="DJ29" s="211">
        <v>0</v>
      </c>
      <c r="DK29" s="211">
        <v>0</v>
      </c>
      <c r="DL29" s="269">
        <f t="shared" si="32"/>
        <v>0</v>
      </c>
      <c r="DM29" s="269">
        <f t="shared" si="33"/>
        <v>0</v>
      </c>
      <c r="DN29" s="269">
        <f t="shared" si="34"/>
        <v>0</v>
      </c>
      <c r="DW29" s="210" t="s">
        <v>418</v>
      </c>
      <c r="DX29" s="212" t="s">
        <v>323</v>
      </c>
      <c r="DY29" s="210" t="s">
        <v>426</v>
      </c>
      <c r="DZ29" s="212" t="s">
        <v>426</v>
      </c>
      <c r="EA29" s="211">
        <v>0</v>
      </c>
      <c r="EB29" s="211">
        <v>0</v>
      </c>
      <c r="EC29" s="211">
        <v>0</v>
      </c>
      <c r="ED29" s="211">
        <f t="shared" si="36"/>
        <v>0</v>
      </c>
      <c r="EE29" s="211">
        <f t="shared" si="37"/>
        <v>0</v>
      </c>
      <c r="EF29" s="211">
        <f t="shared" si="38"/>
        <v>0</v>
      </c>
      <c r="EP29" s="210" t="s">
        <v>418</v>
      </c>
      <c r="EQ29" s="212" t="s">
        <v>323</v>
      </c>
      <c r="ER29" s="210" t="s">
        <v>586</v>
      </c>
      <c r="ES29" s="210" t="s">
        <v>587</v>
      </c>
      <c r="ET29" s="211">
        <v>0</v>
      </c>
      <c r="EU29" s="211">
        <v>27329000</v>
      </c>
      <c r="EV29" s="211">
        <v>28109000</v>
      </c>
      <c r="EW29" s="274">
        <f t="shared" si="40"/>
        <v>0</v>
      </c>
      <c r="EX29" s="199"/>
      <c r="FJ29" s="221" t="s">
        <v>418</v>
      </c>
      <c r="FK29" s="221" t="s">
        <v>323</v>
      </c>
      <c r="FL29" s="221" t="s">
        <v>473</v>
      </c>
      <c r="FM29" s="221" t="s">
        <v>589</v>
      </c>
      <c r="FN29" s="270">
        <v>0</v>
      </c>
      <c r="FO29" s="270">
        <v>101379757</v>
      </c>
      <c r="FP29" s="270">
        <v>81379757</v>
      </c>
      <c r="FQ29" s="270">
        <f t="shared" si="43"/>
        <v>0</v>
      </c>
      <c r="FR29" s="270">
        <f t="shared" si="52"/>
        <v>101379.757</v>
      </c>
      <c r="FS29" s="270">
        <f t="shared" si="53"/>
        <v>81379.756999999998</v>
      </c>
      <c r="GB29" s="199" t="s">
        <v>418</v>
      </c>
      <c r="GC29" s="199" t="s">
        <v>323</v>
      </c>
      <c r="GD29" s="199" t="s">
        <v>586</v>
      </c>
      <c r="GE29" s="199" t="s">
        <v>587</v>
      </c>
      <c r="GF29" s="270">
        <v>28120000</v>
      </c>
      <c r="GG29" s="270">
        <v>0</v>
      </c>
      <c r="GH29" s="270">
        <v>0</v>
      </c>
      <c r="GI29" s="270">
        <f t="shared" si="45"/>
        <v>28120</v>
      </c>
      <c r="GJ29" s="270">
        <f t="shared" si="46"/>
        <v>0</v>
      </c>
      <c r="GK29" s="270">
        <f t="shared" si="47"/>
        <v>0</v>
      </c>
      <c r="GT29" s="199" t="s">
        <v>418</v>
      </c>
      <c r="GU29" s="199" t="s">
        <v>323</v>
      </c>
      <c r="GV29" s="199" t="s">
        <v>473</v>
      </c>
      <c r="GW29" s="199" t="s">
        <v>589</v>
      </c>
      <c r="GX29" s="351">
        <v>0</v>
      </c>
      <c r="GY29" s="351">
        <v>395899757</v>
      </c>
      <c r="GZ29" s="351">
        <v>395899757</v>
      </c>
      <c r="HA29" s="225">
        <f t="shared" si="49"/>
        <v>0</v>
      </c>
      <c r="HB29" s="225">
        <f t="shared" si="50"/>
        <v>395899.75699999998</v>
      </c>
      <c r="HC29" s="225">
        <f t="shared" si="51"/>
        <v>395899.75699999998</v>
      </c>
    </row>
    <row r="30" spans="1:211" ht="15" customHeight="1" x14ac:dyDescent="0.2">
      <c r="A30" s="210" t="s">
        <v>440</v>
      </c>
      <c r="B30" s="210" t="s">
        <v>441</v>
      </c>
      <c r="C30" s="210" t="s">
        <v>426</v>
      </c>
      <c r="D30" s="210" t="s">
        <v>426</v>
      </c>
      <c r="E30" s="211">
        <v>613392000</v>
      </c>
      <c r="F30" s="211">
        <v>0</v>
      </c>
      <c r="G30" s="211">
        <v>0</v>
      </c>
      <c r="H30" s="269">
        <f t="shared" si="8"/>
        <v>639154.46400000004</v>
      </c>
      <c r="I30" s="269">
        <f t="shared" si="9"/>
        <v>0</v>
      </c>
      <c r="J30" s="269">
        <f t="shared" si="10"/>
        <v>0</v>
      </c>
      <c r="S30" s="210" t="s">
        <v>418</v>
      </c>
      <c r="T30" s="212" t="s">
        <v>323</v>
      </c>
      <c r="U30" s="210" t="s">
        <v>439</v>
      </c>
      <c r="V30" s="212" t="s">
        <v>590</v>
      </c>
      <c r="W30" s="211">
        <v>0</v>
      </c>
      <c r="X30" s="211">
        <v>85000000</v>
      </c>
      <c r="Y30" s="211">
        <v>65000000</v>
      </c>
      <c r="Z30" s="259">
        <f t="shared" si="12"/>
        <v>0</v>
      </c>
      <c r="AA30" s="259">
        <f t="shared" si="13"/>
        <v>88570</v>
      </c>
      <c r="AB30" s="259">
        <f t="shared" si="14"/>
        <v>67730</v>
      </c>
      <c r="AK30" s="210" t="s">
        <v>418</v>
      </c>
      <c r="AL30" s="210" t="s">
        <v>323</v>
      </c>
      <c r="AM30" s="210" t="s">
        <v>426</v>
      </c>
      <c r="AN30" s="210" t="s">
        <v>426</v>
      </c>
      <c r="AO30" s="211">
        <v>0</v>
      </c>
      <c r="AP30" s="211">
        <v>0</v>
      </c>
      <c r="AQ30" s="211">
        <v>0</v>
      </c>
      <c r="AR30" s="211">
        <f t="shared" si="16"/>
        <v>0</v>
      </c>
      <c r="AS30" s="211">
        <f t="shared" si="17"/>
        <v>0</v>
      </c>
      <c r="AT30" s="211">
        <f t="shared" si="18"/>
        <v>0</v>
      </c>
      <c r="BC30" s="210" t="s">
        <v>418</v>
      </c>
      <c r="BD30" s="210" t="s">
        <v>323</v>
      </c>
      <c r="BE30" s="210" t="s">
        <v>464</v>
      </c>
      <c r="BF30" s="210" t="s">
        <v>588</v>
      </c>
      <c r="BG30" s="211">
        <v>0</v>
      </c>
      <c r="BH30" s="211">
        <v>340000000</v>
      </c>
      <c r="BI30" s="211">
        <v>340000000</v>
      </c>
      <c r="BJ30" s="270">
        <f t="shared" si="20"/>
        <v>0</v>
      </c>
      <c r="BK30" s="270">
        <f t="shared" si="21"/>
        <v>354280</v>
      </c>
      <c r="BL30" s="270">
        <f t="shared" si="22"/>
        <v>354280</v>
      </c>
      <c r="BU30" s="210" t="s">
        <v>418</v>
      </c>
      <c r="BV30" s="210" t="s">
        <v>323</v>
      </c>
      <c r="BW30" s="210" t="s">
        <v>586</v>
      </c>
      <c r="BX30" s="210" t="s">
        <v>587</v>
      </c>
      <c r="BY30" s="211">
        <v>0</v>
      </c>
      <c r="BZ30" s="211">
        <v>28109000</v>
      </c>
      <c r="CA30" s="211">
        <v>780000</v>
      </c>
      <c r="CB30" s="211">
        <f t="shared" si="24"/>
        <v>0</v>
      </c>
      <c r="CC30" s="211">
        <f t="shared" si="25"/>
        <v>29289.578000000001</v>
      </c>
      <c r="CD30" s="211">
        <f t="shared" si="26"/>
        <v>812.76</v>
      </c>
      <c r="CM30" s="210" t="s">
        <v>418</v>
      </c>
      <c r="CN30" s="210" t="s">
        <v>323</v>
      </c>
      <c r="CO30" s="210" t="s">
        <v>426</v>
      </c>
      <c r="CP30" s="210" t="s">
        <v>426</v>
      </c>
      <c r="CQ30" s="211">
        <v>0</v>
      </c>
      <c r="CR30" s="211">
        <v>0</v>
      </c>
      <c r="CS30" s="211">
        <v>0</v>
      </c>
      <c r="CT30" s="211">
        <f t="shared" si="28"/>
        <v>0</v>
      </c>
      <c r="CU30" s="211">
        <f t="shared" si="29"/>
        <v>0</v>
      </c>
      <c r="CV30" s="211">
        <f t="shared" si="30"/>
        <v>0</v>
      </c>
      <c r="DE30" s="210" t="s">
        <v>418</v>
      </c>
      <c r="DF30" s="212" t="s">
        <v>323</v>
      </c>
      <c r="DG30" s="210" t="s">
        <v>439</v>
      </c>
      <c r="DH30" s="212" t="s">
        <v>590</v>
      </c>
      <c r="DI30" s="211">
        <v>0</v>
      </c>
      <c r="DJ30" s="211">
        <v>117380000</v>
      </c>
      <c r="DK30" s="211">
        <v>80000000</v>
      </c>
      <c r="DL30" s="269">
        <f t="shared" si="32"/>
        <v>0</v>
      </c>
      <c r="DM30" s="269">
        <f t="shared" si="33"/>
        <v>122309.96</v>
      </c>
      <c r="DN30" s="269">
        <f t="shared" si="34"/>
        <v>83360</v>
      </c>
      <c r="DW30" s="210" t="s">
        <v>418</v>
      </c>
      <c r="DX30" s="212" t="s">
        <v>323</v>
      </c>
      <c r="DY30" s="210" t="s">
        <v>473</v>
      </c>
      <c r="DZ30" s="212" t="s">
        <v>589</v>
      </c>
      <c r="EA30" s="211">
        <v>0</v>
      </c>
      <c r="EB30" s="211">
        <v>101379757</v>
      </c>
      <c r="EC30" s="211">
        <v>81379757</v>
      </c>
      <c r="ED30" s="211">
        <f t="shared" si="36"/>
        <v>0</v>
      </c>
      <c r="EE30" s="211">
        <f t="shared" si="37"/>
        <v>105637.706794</v>
      </c>
      <c r="EF30" s="211">
        <f t="shared" si="38"/>
        <v>84797.706793999998</v>
      </c>
      <c r="EP30" s="210" t="s">
        <v>418</v>
      </c>
      <c r="EQ30" s="212" t="s">
        <v>323</v>
      </c>
      <c r="ER30" s="210" t="s">
        <v>426</v>
      </c>
      <c r="ES30" s="210" t="s">
        <v>426</v>
      </c>
      <c r="ET30" s="211">
        <v>0</v>
      </c>
      <c r="EU30" s="211">
        <v>0</v>
      </c>
      <c r="EV30" s="211">
        <v>0</v>
      </c>
      <c r="EW30" s="274">
        <f t="shared" si="40"/>
        <v>0</v>
      </c>
      <c r="EX30" s="274">
        <f t="shared" si="41"/>
        <v>0</v>
      </c>
      <c r="EY30" s="274">
        <f t="shared" si="42"/>
        <v>0</v>
      </c>
      <c r="FJ30" s="221" t="s">
        <v>418</v>
      </c>
      <c r="FK30" s="221" t="s">
        <v>323</v>
      </c>
      <c r="FL30" s="221" t="s">
        <v>426</v>
      </c>
      <c r="FM30" s="221" t="s">
        <v>426</v>
      </c>
      <c r="FN30" s="270">
        <v>0</v>
      </c>
      <c r="FO30" s="270">
        <v>0</v>
      </c>
      <c r="FP30" s="270">
        <v>0</v>
      </c>
      <c r="FQ30" s="270">
        <f t="shared" si="43"/>
        <v>0</v>
      </c>
      <c r="FR30" s="270">
        <f t="shared" si="52"/>
        <v>0</v>
      </c>
      <c r="FS30" s="270">
        <f t="shared" si="53"/>
        <v>0</v>
      </c>
      <c r="GB30" s="199" t="s">
        <v>418</v>
      </c>
      <c r="GC30" s="199" t="s">
        <v>323</v>
      </c>
      <c r="GD30" s="199" t="s">
        <v>586</v>
      </c>
      <c r="GE30" s="199" t="s">
        <v>587</v>
      </c>
      <c r="GF30" s="270">
        <v>0</v>
      </c>
      <c r="GG30" s="270">
        <v>28109000</v>
      </c>
      <c r="GH30" s="270">
        <v>27329000</v>
      </c>
      <c r="GI30" s="270">
        <f t="shared" si="45"/>
        <v>0</v>
      </c>
      <c r="GJ30" s="270">
        <f t="shared" si="46"/>
        <v>28109</v>
      </c>
      <c r="GK30" s="270">
        <f t="shared" si="47"/>
        <v>27329</v>
      </c>
      <c r="GT30" s="199" t="s">
        <v>418</v>
      </c>
      <c r="GU30" s="199" t="s">
        <v>323</v>
      </c>
      <c r="GV30" s="199" t="s">
        <v>426</v>
      </c>
      <c r="GW30" s="199" t="s">
        <v>426</v>
      </c>
      <c r="GX30" s="351">
        <v>0</v>
      </c>
      <c r="GY30" s="351">
        <v>0</v>
      </c>
      <c r="GZ30" s="351">
        <v>0</v>
      </c>
      <c r="HA30" s="225">
        <f t="shared" si="49"/>
        <v>0</v>
      </c>
      <c r="HB30" s="225">
        <f t="shared" si="50"/>
        <v>0</v>
      </c>
      <c r="HC30" s="225">
        <f t="shared" si="51"/>
        <v>0</v>
      </c>
    </row>
    <row r="31" spans="1:211" ht="15" customHeight="1" x14ac:dyDescent="0.2">
      <c r="A31" s="210" t="s">
        <v>440</v>
      </c>
      <c r="B31" s="210" t="s">
        <v>441</v>
      </c>
      <c r="C31" s="210" t="s">
        <v>426</v>
      </c>
      <c r="D31" s="210" t="s">
        <v>426</v>
      </c>
      <c r="E31" s="211">
        <v>0</v>
      </c>
      <c r="F31" s="211">
        <v>134929304</v>
      </c>
      <c r="G31" s="211">
        <v>0</v>
      </c>
      <c r="H31" s="269">
        <f t="shared" si="8"/>
        <v>0</v>
      </c>
      <c r="I31" s="269">
        <f t="shared" si="9"/>
        <v>140596.334768</v>
      </c>
      <c r="J31" s="269">
        <f t="shared" si="10"/>
        <v>0</v>
      </c>
      <c r="S31" s="210" t="s">
        <v>884</v>
      </c>
      <c r="T31" s="212" t="s">
        <v>885</v>
      </c>
      <c r="U31" s="210" t="s">
        <v>426</v>
      </c>
      <c r="V31" s="212" t="s">
        <v>426</v>
      </c>
      <c r="W31" s="211">
        <v>1000</v>
      </c>
      <c r="X31" s="211">
        <v>0</v>
      </c>
      <c r="Y31" s="211">
        <v>0</v>
      </c>
      <c r="Z31" s="259">
        <f t="shared" si="12"/>
        <v>1.042</v>
      </c>
      <c r="AA31" s="259">
        <f t="shared" si="13"/>
        <v>0</v>
      </c>
      <c r="AB31" s="259">
        <f t="shared" si="14"/>
        <v>0</v>
      </c>
      <c r="AK31" s="210" t="s">
        <v>884</v>
      </c>
      <c r="AL31" s="210" t="s">
        <v>885</v>
      </c>
      <c r="AM31" s="210" t="s">
        <v>426</v>
      </c>
      <c r="AN31" s="210" t="s">
        <v>426</v>
      </c>
      <c r="AO31" s="211">
        <v>1000</v>
      </c>
      <c r="AP31" s="211">
        <v>0</v>
      </c>
      <c r="AQ31" s="211">
        <v>0</v>
      </c>
      <c r="AR31" s="211">
        <f t="shared" si="16"/>
        <v>1.042</v>
      </c>
      <c r="AS31" s="211">
        <f t="shared" si="17"/>
        <v>0</v>
      </c>
      <c r="AT31" s="211">
        <f t="shared" si="18"/>
        <v>0</v>
      </c>
      <c r="BC31" s="210" t="s">
        <v>418</v>
      </c>
      <c r="BD31" s="210" t="s">
        <v>323</v>
      </c>
      <c r="BE31" s="210" t="s">
        <v>586</v>
      </c>
      <c r="BF31" s="210" t="s">
        <v>587</v>
      </c>
      <c r="BG31" s="211">
        <v>0</v>
      </c>
      <c r="BH31" s="211">
        <v>28109000</v>
      </c>
      <c r="BI31" s="211">
        <v>780000</v>
      </c>
      <c r="BJ31" s="270">
        <f t="shared" si="20"/>
        <v>0</v>
      </c>
      <c r="BK31" s="270">
        <f t="shared" si="21"/>
        <v>29289.578000000001</v>
      </c>
      <c r="BL31" s="270">
        <f t="shared" si="22"/>
        <v>812.76</v>
      </c>
      <c r="BU31" s="210" t="s">
        <v>418</v>
      </c>
      <c r="BV31" s="210" t="s">
        <v>323</v>
      </c>
      <c r="BW31" s="210" t="s">
        <v>426</v>
      </c>
      <c r="BX31" s="210" t="s">
        <v>426</v>
      </c>
      <c r="BY31" s="211">
        <v>0</v>
      </c>
      <c r="BZ31" s="211">
        <v>0</v>
      </c>
      <c r="CA31" s="211">
        <v>0</v>
      </c>
      <c r="CB31" s="211">
        <f t="shared" si="24"/>
        <v>0</v>
      </c>
      <c r="CC31" s="211">
        <f t="shared" si="25"/>
        <v>0</v>
      </c>
      <c r="CD31" s="211">
        <f t="shared" si="26"/>
        <v>0</v>
      </c>
      <c r="CM31" s="210" t="s">
        <v>418</v>
      </c>
      <c r="CN31" s="210" t="s">
        <v>323</v>
      </c>
      <c r="CO31" s="210" t="s">
        <v>426</v>
      </c>
      <c r="CP31" s="210" t="s">
        <v>426</v>
      </c>
      <c r="CQ31" s="211">
        <v>0</v>
      </c>
      <c r="CR31" s="211">
        <v>0</v>
      </c>
      <c r="CS31" s="211">
        <v>0</v>
      </c>
      <c r="CT31" s="211">
        <f t="shared" si="28"/>
        <v>0</v>
      </c>
      <c r="CU31" s="211">
        <f t="shared" si="29"/>
        <v>0</v>
      </c>
      <c r="CV31" s="211">
        <f t="shared" si="30"/>
        <v>0</v>
      </c>
      <c r="DE31" s="210" t="s">
        <v>418</v>
      </c>
      <c r="DF31" s="212" t="s">
        <v>323</v>
      </c>
      <c r="DG31" s="210" t="s">
        <v>473</v>
      </c>
      <c r="DH31" s="212" t="s">
        <v>589</v>
      </c>
      <c r="DI31" s="211">
        <v>0</v>
      </c>
      <c r="DJ31" s="211">
        <v>81379757</v>
      </c>
      <c r="DK31" s="211">
        <v>55851163</v>
      </c>
      <c r="DL31" s="269">
        <f t="shared" si="32"/>
        <v>0</v>
      </c>
      <c r="DM31" s="269">
        <f t="shared" si="33"/>
        <v>84797.706793999998</v>
      </c>
      <c r="DN31" s="269">
        <f t="shared" si="34"/>
        <v>58196.911846000003</v>
      </c>
      <c r="DW31" s="210" t="s">
        <v>418</v>
      </c>
      <c r="DX31" s="212" t="s">
        <v>323</v>
      </c>
      <c r="DY31" s="210" t="s">
        <v>439</v>
      </c>
      <c r="DZ31" s="212" t="s">
        <v>590</v>
      </c>
      <c r="EA31" s="211">
        <v>0</v>
      </c>
      <c r="EB31" s="211">
        <v>240580000</v>
      </c>
      <c r="EC31" s="211">
        <v>80000000</v>
      </c>
      <c r="ED31" s="211">
        <f t="shared" si="36"/>
        <v>0</v>
      </c>
      <c r="EE31" s="211">
        <f t="shared" si="37"/>
        <v>250684.36000000002</v>
      </c>
      <c r="EF31" s="211">
        <f t="shared" si="38"/>
        <v>83360</v>
      </c>
      <c r="EP31" s="210" t="s">
        <v>418</v>
      </c>
      <c r="EQ31" s="212" t="s">
        <v>323</v>
      </c>
      <c r="ER31" s="210" t="s">
        <v>473</v>
      </c>
      <c r="ES31" s="210" t="s">
        <v>589</v>
      </c>
      <c r="ET31" s="211">
        <v>0</v>
      </c>
      <c r="EU31" s="211">
        <v>81379757</v>
      </c>
      <c r="EV31" s="211">
        <v>101379757</v>
      </c>
      <c r="EW31" s="274">
        <f t="shared" si="40"/>
        <v>0</v>
      </c>
      <c r="EX31" s="274">
        <f t="shared" si="41"/>
        <v>81379.756999999998</v>
      </c>
      <c r="EY31" s="274">
        <f t="shared" si="42"/>
        <v>101379.757</v>
      </c>
      <c r="FJ31" s="221" t="s">
        <v>418</v>
      </c>
      <c r="FK31" s="221" t="s">
        <v>323</v>
      </c>
      <c r="FL31" s="221" t="s">
        <v>426</v>
      </c>
      <c r="FM31" s="221" t="s">
        <v>426</v>
      </c>
      <c r="FN31" s="270">
        <v>0</v>
      </c>
      <c r="FO31" s="270">
        <v>0</v>
      </c>
      <c r="FP31" s="270">
        <v>0</v>
      </c>
      <c r="FQ31" s="270">
        <f t="shared" si="43"/>
        <v>0</v>
      </c>
      <c r="FR31" s="270">
        <f t="shared" si="52"/>
        <v>0</v>
      </c>
      <c r="FS31" s="270">
        <f t="shared" si="53"/>
        <v>0</v>
      </c>
      <c r="GB31" s="199" t="s">
        <v>418</v>
      </c>
      <c r="GC31" s="199" t="s">
        <v>323</v>
      </c>
      <c r="GD31" s="199" t="s">
        <v>473</v>
      </c>
      <c r="GE31" s="199" t="s">
        <v>589</v>
      </c>
      <c r="GF31" s="270">
        <v>0</v>
      </c>
      <c r="GG31" s="270">
        <v>101379757</v>
      </c>
      <c r="GH31" s="270">
        <v>81379757</v>
      </c>
      <c r="GI31" s="270">
        <f t="shared" si="45"/>
        <v>0</v>
      </c>
      <c r="GJ31" s="270">
        <f t="shared" si="46"/>
        <v>101379.757</v>
      </c>
      <c r="GK31" s="270">
        <f t="shared" si="47"/>
        <v>81379.756999999998</v>
      </c>
      <c r="GT31" s="199" t="s">
        <v>418</v>
      </c>
      <c r="GU31" s="199" t="s">
        <v>323</v>
      </c>
      <c r="GV31" s="199" t="s">
        <v>426</v>
      </c>
      <c r="GW31" s="199" t="s">
        <v>426</v>
      </c>
      <c r="GX31" s="351">
        <v>0</v>
      </c>
      <c r="GY31" s="351">
        <v>0</v>
      </c>
      <c r="GZ31" s="351">
        <v>0</v>
      </c>
      <c r="HA31" s="225">
        <f t="shared" si="49"/>
        <v>0</v>
      </c>
      <c r="HB31" s="225">
        <f t="shared" si="50"/>
        <v>0</v>
      </c>
      <c r="HC31" s="225">
        <f t="shared" si="51"/>
        <v>0</v>
      </c>
    </row>
    <row r="32" spans="1:211" ht="15" customHeight="1" x14ac:dyDescent="0.2">
      <c r="A32" s="210" t="s">
        <v>442</v>
      </c>
      <c r="B32" s="210" t="s">
        <v>443</v>
      </c>
      <c r="C32" s="210" t="s">
        <v>426</v>
      </c>
      <c r="D32" s="210" t="s">
        <v>426</v>
      </c>
      <c r="E32" s="211">
        <v>354224000</v>
      </c>
      <c r="F32" s="211">
        <v>0</v>
      </c>
      <c r="G32" s="211">
        <v>0</v>
      </c>
      <c r="H32" s="269">
        <f t="shared" si="8"/>
        <v>369101.408</v>
      </c>
      <c r="I32" s="269">
        <f t="shared" si="9"/>
        <v>0</v>
      </c>
      <c r="J32" s="269">
        <f t="shared" si="10"/>
        <v>0</v>
      </c>
      <c r="S32" s="210" t="s">
        <v>884</v>
      </c>
      <c r="T32" s="212" t="s">
        <v>885</v>
      </c>
      <c r="U32" s="210" t="s">
        <v>426</v>
      </c>
      <c r="V32" s="212" t="s">
        <v>426</v>
      </c>
      <c r="W32" s="211">
        <v>0</v>
      </c>
      <c r="X32" s="211">
        <v>366427393</v>
      </c>
      <c r="Y32" s="211">
        <v>366427393</v>
      </c>
      <c r="Z32" s="259">
        <f t="shared" si="12"/>
        <v>0</v>
      </c>
      <c r="AA32" s="259">
        <f t="shared" si="13"/>
        <v>381817.343506</v>
      </c>
      <c r="AB32" s="259">
        <f t="shared" si="14"/>
        <v>381817.343506</v>
      </c>
      <c r="AK32" s="210" t="s">
        <v>884</v>
      </c>
      <c r="AL32" s="210" t="s">
        <v>885</v>
      </c>
      <c r="AM32" s="210" t="s">
        <v>426</v>
      </c>
      <c r="AN32" s="210" t="s">
        <v>426</v>
      </c>
      <c r="AO32" s="211">
        <v>0</v>
      </c>
      <c r="AP32" s="211">
        <v>366427393</v>
      </c>
      <c r="AQ32" s="211">
        <v>366427393</v>
      </c>
      <c r="AR32" s="211">
        <f t="shared" si="16"/>
        <v>0</v>
      </c>
      <c r="AS32" s="211">
        <f t="shared" si="17"/>
        <v>381817.343506</v>
      </c>
      <c r="AT32" s="211">
        <f t="shared" si="18"/>
        <v>381817.343506</v>
      </c>
      <c r="BC32" s="631" t="s">
        <v>884</v>
      </c>
      <c r="BD32" s="631" t="s">
        <v>885</v>
      </c>
      <c r="BE32" s="631" t="s">
        <v>426</v>
      </c>
      <c r="BF32" s="631" t="s">
        <v>426</v>
      </c>
      <c r="BG32" s="632">
        <f>1000</f>
        <v>1000</v>
      </c>
      <c r="BH32" s="632">
        <v>366426</v>
      </c>
      <c r="BI32" s="632">
        <v>0</v>
      </c>
      <c r="BJ32" s="633">
        <f>+BG32/$BJ$1*$BK$1+BH32</f>
        <v>366427.04200000002</v>
      </c>
      <c r="BK32" s="630">
        <f t="shared" si="21"/>
        <v>381.81589200000002</v>
      </c>
      <c r="BL32" s="630">
        <f t="shared" si="22"/>
        <v>0</v>
      </c>
      <c r="BU32" s="210" t="s">
        <v>418</v>
      </c>
      <c r="BV32" s="210" t="s">
        <v>323</v>
      </c>
      <c r="BW32" s="210" t="s">
        <v>419</v>
      </c>
      <c r="BX32" s="210" t="s">
        <v>467</v>
      </c>
      <c r="BY32" s="211">
        <v>0</v>
      </c>
      <c r="BZ32" s="211">
        <v>160000000</v>
      </c>
      <c r="CA32" s="211">
        <v>111963700</v>
      </c>
      <c r="CB32" s="211">
        <f t="shared" si="24"/>
        <v>0</v>
      </c>
      <c r="CC32" s="211">
        <f t="shared" si="25"/>
        <v>166720</v>
      </c>
      <c r="CD32" s="211">
        <f t="shared" si="26"/>
        <v>116666.17540000001</v>
      </c>
      <c r="CM32" s="210" t="s">
        <v>418</v>
      </c>
      <c r="CN32" s="210" t="s">
        <v>323</v>
      </c>
      <c r="CO32" s="210" t="s">
        <v>419</v>
      </c>
      <c r="CP32" s="210" t="s">
        <v>467</v>
      </c>
      <c r="CQ32" s="211">
        <v>0</v>
      </c>
      <c r="CR32" s="211">
        <v>160000000</v>
      </c>
      <c r="CS32" s="211">
        <v>159963700</v>
      </c>
      <c r="CT32" s="211">
        <f t="shared" si="28"/>
        <v>0</v>
      </c>
      <c r="CU32" s="211">
        <f t="shared" si="29"/>
        <v>166720</v>
      </c>
      <c r="CV32" s="211">
        <f t="shared" si="30"/>
        <v>166682.17540000001</v>
      </c>
      <c r="DE32" s="210" t="s">
        <v>418</v>
      </c>
      <c r="DF32" s="212" t="s">
        <v>323</v>
      </c>
      <c r="DG32" s="210" t="s">
        <v>426</v>
      </c>
      <c r="DH32" s="212" t="s">
        <v>426</v>
      </c>
      <c r="DI32" s="211">
        <v>0</v>
      </c>
      <c r="DJ32" s="211">
        <v>0</v>
      </c>
      <c r="DK32" s="211">
        <v>0</v>
      </c>
      <c r="DL32" s="269">
        <f t="shared" si="32"/>
        <v>0</v>
      </c>
      <c r="DM32" s="269">
        <f t="shared" si="33"/>
        <v>0</v>
      </c>
      <c r="DN32" s="269">
        <f t="shared" si="34"/>
        <v>0</v>
      </c>
      <c r="DW32" s="210" t="s">
        <v>418</v>
      </c>
      <c r="DX32" s="212" t="s">
        <v>323</v>
      </c>
      <c r="DY32" s="210" t="s">
        <v>464</v>
      </c>
      <c r="DZ32" s="212" t="s">
        <v>588</v>
      </c>
      <c r="EA32" s="211">
        <v>0</v>
      </c>
      <c r="EB32" s="211">
        <v>340000000</v>
      </c>
      <c r="EC32" s="211">
        <v>340000000</v>
      </c>
      <c r="ED32" s="211">
        <f t="shared" si="36"/>
        <v>0</v>
      </c>
      <c r="EE32" s="211">
        <f t="shared" si="37"/>
        <v>354280</v>
      </c>
      <c r="EF32" s="211">
        <f t="shared" si="38"/>
        <v>354280</v>
      </c>
      <c r="EP32" s="210" t="s">
        <v>418</v>
      </c>
      <c r="EQ32" s="212" t="s">
        <v>323</v>
      </c>
      <c r="ER32" s="210" t="s">
        <v>439</v>
      </c>
      <c r="ES32" s="210" t="s">
        <v>590</v>
      </c>
      <c r="ET32" s="211">
        <v>0</v>
      </c>
      <c r="EU32" s="211">
        <v>91214000</v>
      </c>
      <c r="EV32" s="211">
        <v>240580000</v>
      </c>
      <c r="EW32" s="274">
        <f t="shared" si="40"/>
        <v>0</v>
      </c>
      <c r="EX32" s="274">
        <f t="shared" si="41"/>
        <v>91214</v>
      </c>
      <c r="EY32" s="274">
        <f t="shared" si="42"/>
        <v>240580</v>
      </c>
      <c r="FI32" s="345"/>
      <c r="FJ32" s="350" t="s">
        <v>418</v>
      </c>
      <c r="FK32" s="350" t="s">
        <v>323</v>
      </c>
      <c r="FL32" s="350" t="s">
        <v>426</v>
      </c>
      <c r="FM32" s="350" t="s">
        <v>426</v>
      </c>
      <c r="FN32" s="269">
        <v>0</v>
      </c>
      <c r="FO32" s="269">
        <v>0</v>
      </c>
      <c r="FP32" s="269">
        <v>0</v>
      </c>
      <c r="FQ32" s="269">
        <f t="shared" si="43"/>
        <v>0</v>
      </c>
      <c r="FR32" s="269">
        <f t="shared" si="52"/>
        <v>0</v>
      </c>
      <c r="FS32" s="269">
        <f t="shared" si="53"/>
        <v>0</v>
      </c>
      <c r="FT32" s="345"/>
      <c r="FU32" s="345"/>
      <c r="FV32" s="345"/>
      <c r="GB32" s="199" t="s">
        <v>418</v>
      </c>
      <c r="GC32" s="199" t="s">
        <v>323</v>
      </c>
      <c r="GD32" s="199" t="s">
        <v>426</v>
      </c>
      <c r="GE32" s="199" t="s">
        <v>426</v>
      </c>
      <c r="GF32" s="270">
        <v>0</v>
      </c>
      <c r="GG32" s="270">
        <v>0</v>
      </c>
      <c r="GH32" s="270">
        <v>0</v>
      </c>
      <c r="GI32" s="270">
        <f t="shared" si="45"/>
        <v>0</v>
      </c>
      <c r="GJ32" s="270">
        <f t="shared" si="46"/>
        <v>0</v>
      </c>
      <c r="GK32" s="270">
        <f t="shared" si="47"/>
        <v>0</v>
      </c>
      <c r="GT32" s="199" t="s">
        <v>418</v>
      </c>
      <c r="GU32" s="199" t="s">
        <v>323</v>
      </c>
      <c r="GV32" s="199" t="s">
        <v>474</v>
      </c>
      <c r="GW32" s="199" t="s">
        <v>465</v>
      </c>
      <c r="GX32" s="351">
        <v>0</v>
      </c>
      <c r="GY32" s="351">
        <v>0</v>
      </c>
      <c r="GZ32" s="351">
        <v>0</v>
      </c>
      <c r="HA32" s="225">
        <f t="shared" si="49"/>
        <v>0</v>
      </c>
      <c r="HB32" s="225">
        <f t="shared" si="50"/>
        <v>0</v>
      </c>
      <c r="HC32" s="225">
        <f t="shared" si="51"/>
        <v>0</v>
      </c>
    </row>
    <row r="33" spans="1:211" ht="15" customHeight="1" x14ac:dyDescent="0.2">
      <c r="A33" s="210" t="s">
        <v>442</v>
      </c>
      <c r="B33" s="210" t="s">
        <v>443</v>
      </c>
      <c r="C33" s="210" t="s">
        <v>426</v>
      </c>
      <c r="D33" s="210" t="s">
        <v>426</v>
      </c>
      <c r="E33" s="211">
        <v>0</v>
      </c>
      <c r="F33" s="211">
        <v>66088160</v>
      </c>
      <c r="G33" s="211">
        <v>0</v>
      </c>
      <c r="H33" s="269">
        <f t="shared" si="8"/>
        <v>0</v>
      </c>
      <c r="I33" s="269">
        <f t="shared" si="9"/>
        <v>68863.862720000005</v>
      </c>
      <c r="J33" s="269">
        <f t="shared" si="10"/>
        <v>0</v>
      </c>
      <c r="S33" s="210" t="s">
        <v>852</v>
      </c>
      <c r="T33" s="212" t="s">
        <v>51</v>
      </c>
      <c r="U33" s="210" t="s">
        <v>426</v>
      </c>
      <c r="V33" s="212" t="s">
        <v>426</v>
      </c>
      <c r="W33" s="211">
        <v>9000</v>
      </c>
      <c r="X33" s="211">
        <v>0</v>
      </c>
      <c r="Y33" s="211">
        <v>0</v>
      </c>
      <c r="Z33" s="259">
        <f t="shared" si="12"/>
        <v>9.3780000000000001</v>
      </c>
      <c r="AA33" s="259">
        <f t="shared" si="13"/>
        <v>0</v>
      </c>
      <c r="AB33" s="259">
        <f t="shared" si="14"/>
        <v>0</v>
      </c>
      <c r="AK33" s="210" t="s">
        <v>852</v>
      </c>
      <c r="AL33" s="210" t="s">
        <v>51</v>
      </c>
      <c r="AM33" s="210" t="s">
        <v>426</v>
      </c>
      <c r="AN33" s="210" t="s">
        <v>426</v>
      </c>
      <c r="AO33" s="211">
        <v>9000</v>
      </c>
      <c r="AP33" s="211">
        <v>0</v>
      </c>
      <c r="AQ33" s="211">
        <v>0</v>
      </c>
      <c r="AR33" s="211">
        <f t="shared" si="16"/>
        <v>9.3780000000000001</v>
      </c>
      <c r="AS33" s="211">
        <f t="shared" si="17"/>
        <v>0</v>
      </c>
      <c r="AT33" s="211">
        <f t="shared" si="18"/>
        <v>0</v>
      </c>
      <c r="BC33" s="631" t="s">
        <v>884</v>
      </c>
      <c r="BD33" s="631" t="s">
        <v>885</v>
      </c>
      <c r="BE33" s="631" t="s">
        <v>426</v>
      </c>
      <c r="BF33" s="631" t="s">
        <v>426</v>
      </c>
      <c r="BG33" s="632">
        <v>366427000</v>
      </c>
      <c r="BH33" s="632">
        <v>366427393</v>
      </c>
      <c r="BI33" s="632">
        <v>366427393</v>
      </c>
      <c r="BJ33" s="630">
        <f>+BG33/$BJ$1*$BK$1+1</f>
        <v>381817.93400000001</v>
      </c>
      <c r="BK33" s="630">
        <f t="shared" si="21"/>
        <v>381817.343506</v>
      </c>
      <c r="BL33" s="630">
        <f t="shared" si="22"/>
        <v>381817.343506</v>
      </c>
      <c r="BU33" s="210" t="s">
        <v>418</v>
      </c>
      <c r="BV33" s="210" t="s">
        <v>323</v>
      </c>
      <c r="BW33" s="210" t="s">
        <v>464</v>
      </c>
      <c r="BX33" s="210" t="s">
        <v>588</v>
      </c>
      <c r="BY33" s="211">
        <v>0</v>
      </c>
      <c r="BZ33" s="211">
        <v>340000000</v>
      </c>
      <c r="CA33" s="211">
        <v>340000000</v>
      </c>
      <c r="CB33" s="211">
        <f t="shared" si="24"/>
        <v>0</v>
      </c>
      <c r="CC33" s="211">
        <f t="shared" si="25"/>
        <v>354280</v>
      </c>
      <c r="CD33" s="211">
        <f t="shared" si="26"/>
        <v>354280</v>
      </c>
      <c r="CM33" s="210" t="s">
        <v>418</v>
      </c>
      <c r="CN33" s="210" t="s">
        <v>323</v>
      </c>
      <c r="CO33" s="210" t="s">
        <v>426</v>
      </c>
      <c r="CP33" s="210" t="s">
        <v>426</v>
      </c>
      <c r="CQ33" s="211">
        <v>0</v>
      </c>
      <c r="CR33" s="211">
        <v>0</v>
      </c>
      <c r="CS33" s="211">
        <v>0</v>
      </c>
      <c r="CT33" s="211">
        <f t="shared" si="28"/>
        <v>0</v>
      </c>
      <c r="CU33" s="211">
        <f t="shared" si="29"/>
        <v>0</v>
      </c>
      <c r="CV33" s="211">
        <f t="shared" si="30"/>
        <v>0</v>
      </c>
      <c r="DE33" s="210" t="s">
        <v>418</v>
      </c>
      <c r="DF33" s="212" t="s">
        <v>323</v>
      </c>
      <c r="DG33" s="210" t="s">
        <v>419</v>
      </c>
      <c r="DH33" s="212" t="s">
        <v>467</v>
      </c>
      <c r="DI33" s="211">
        <v>0</v>
      </c>
      <c r="DJ33" s="211">
        <v>159963700</v>
      </c>
      <c r="DK33" s="211">
        <v>159963700</v>
      </c>
      <c r="DL33" s="269">
        <f t="shared" si="32"/>
        <v>0</v>
      </c>
      <c r="DM33" s="269">
        <f t="shared" si="33"/>
        <v>166682.17540000001</v>
      </c>
      <c r="DN33" s="269">
        <f t="shared" si="34"/>
        <v>166682.17540000001</v>
      </c>
      <c r="DW33" s="210" t="s">
        <v>418</v>
      </c>
      <c r="DX33" s="212" t="s">
        <v>323</v>
      </c>
      <c r="DY33" s="210" t="s">
        <v>426</v>
      </c>
      <c r="DZ33" s="212" t="s">
        <v>426</v>
      </c>
      <c r="EA33" s="211">
        <v>0</v>
      </c>
      <c r="EB33" s="211">
        <v>0</v>
      </c>
      <c r="EC33" s="211">
        <v>0</v>
      </c>
      <c r="ED33" s="211">
        <f t="shared" si="36"/>
        <v>0</v>
      </c>
      <c r="EE33" s="211">
        <f t="shared" si="37"/>
        <v>0</v>
      </c>
      <c r="EF33" s="211">
        <f t="shared" si="38"/>
        <v>0</v>
      </c>
      <c r="EP33" s="210" t="s">
        <v>418</v>
      </c>
      <c r="EQ33" s="212" t="s">
        <v>323</v>
      </c>
      <c r="ER33" s="210" t="s">
        <v>464</v>
      </c>
      <c r="ES33" s="210" t="s">
        <v>588</v>
      </c>
      <c r="ET33" s="211">
        <v>0</v>
      </c>
      <c r="EU33" s="211">
        <v>390000000</v>
      </c>
      <c r="EV33" s="211">
        <v>390000000</v>
      </c>
      <c r="EW33" s="274">
        <f t="shared" si="40"/>
        <v>0</v>
      </c>
      <c r="EX33" s="274">
        <f t="shared" si="41"/>
        <v>390000</v>
      </c>
      <c r="EY33" s="274">
        <f t="shared" si="42"/>
        <v>390000</v>
      </c>
      <c r="FI33" s="345"/>
      <c r="FJ33" s="350" t="s">
        <v>418</v>
      </c>
      <c r="FK33" s="350" t="s">
        <v>323</v>
      </c>
      <c r="FL33" s="350" t="s">
        <v>419</v>
      </c>
      <c r="FM33" s="350" t="s">
        <v>467</v>
      </c>
      <c r="FN33" s="269">
        <v>0</v>
      </c>
      <c r="FO33" s="269">
        <v>159963700</v>
      </c>
      <c r="FP33" s="269">
        <v>159963700</v>
      </c>
      <c r="FQ33" s="269">
        <f t="shared" si="43"/>
        <v>0</v>
      </c>
      <c r="FR33" s="269">
        <f t="shared" si="52"/>
        <v>159963.70000000001</v>
      </c>
      <c r="FS33" s="269">
        <f t="shared" si="53"/>
        <v>159963.70000000001</v>
      </c>
      <c r="FT33" s="345"/>
      <c r="FU33" s="345"/>
      <c r="FV33" s="345"/>
      <c r="GB33" s="199" t="s">
        <v>418</v>
      </c>
      <c r="GC33" s="199" t="s">
        <v>323</v>
      </c>
      <c r="GD33" s="199" t="s">
        <v>464</v>
      </c>
      <c r="GE33" s="199" t="s">
        <v>588</v>
      </c>
      <c r="GF33" s="270">
        <v>0</v>
      </c>
      <c r="GG33" s="270">
        <v>794217140</v>
      </c>
      <c r="GH33" s="270">
        <v>530000000</v>
      </c>
      <c r="GI33" s="270">
        <f t="shared" si="45"/>
        <v>0</v>
      </c>
      <c r="GJ33" s="270">
        <f t="shared" si="46"/>
        <v>794217.14</v>
      </c>
      <c r="GK33" s="270">
        <f t="shared" si="47"/>
        <v>530000</v>
      </c>
      <c r="GT33" s="199" t="s">
        <v>418</v>
      </c>
      <c r="GU33" s="199" t="s">
        <v>323</v>
      </c>
      <c r="GV33" s="199" t="s">
        <v>464</v>
      </c>
      <c r="GW33" s="199" t="s">
        <v>588</v>
      </c>
      <c r="GX33" s="351">
        <v>0</v>
      </c>
      <c r="GY33" s="351">
        <v>794217140</v>
      </c>
      <c r="GZ33" s="351">
        <v>794217140</v>
      </c>
      <c r="HA33" s="225">
        <f t="shared" si="49"/>
        <v>0</v>
      </c>
      <c r="HB33" s="225">
        <f t="shared" si="50"/>
        <v>794217.14</v>
      </c>
      <c r="HC33" s="225">
        <f t="shared" si="51"/>
        <v>794217.14</v>
      </c>
    </row>
    <row r="34" spans="1:211" ht="15" customHeight="1" x14ac:dyDescent="0.2">
      <c r="A34" s="210" t="s">
        <v>501</v>
      </c>
      <c r="B34" s="210" t="s">
        <v>504</v>
      </c>
      <c r="C34" s="210" t="s">
        <v>426</v>
      </c>
      <c r="D34" s="210" t="s">
        <v>426</v>
      </c>
      <c r="E34" s="211">
        <v>329029000</v>
      </c>
      <c r="F34" s="211">
        <v>0</v>
      </c>
      <c r="G34" s="211">
        <v>0</v>
      </c>
      <c r="H34" s="269">
        <f t="shared" si="8"/>
        <v>342848.21799999999</v>
      </c>
      <c r="I34" s="269">
        <f t="shared" si="9"/>
        <v>0</v>
      </c>
      <c r="J34" s="269">
        <f t="shared" si="10"/>
        <v>0</v>
      </c>
      <c r="S34" s="210" t="s">
        <v>440</v>
      </c>
      <c r="T34" s="212" t="s">
        <v>441</v>
      </c>
      <c r="U34" s="210" t="s">
        <v>426</v>
      </c>
      <c r="V34" s="212" t="s">
        <v>426</v>
      </c>
      <c r="W34" s="211">
        <v>482392000</v>
      </c>
      <c r="X34" s="211">
        <v>0</v>
      </c>
      <c r="Y34" s="211">
        <v>0</v>
      </c>
      <c r="Z34" s="259">
        <f t="shared" si="12"/>
        <v>502652.46400000004</v>
      </c>
      <c r="AA34" s="259">
        <f t="shared" si="13"/>
        <v>0</v>
      </c>
      <c r="AB34" s="259">
        <f t="shared" si="14"/>
        <v>0</v>
      </c>
      <c r="AK34" s="210" t="s">
        <v>440</v>
      </c>
      <c r="AL34" s="210" t="s">
        <v>441</v>
      </c>
      <c r="AM34" s="210" t="s">
        <v>426</v>
      </c>
      <c r="AN34" s="210" t="s">
        <v>426</v>
      </c>
      <c r="AO34" s="211">
        <v>512392000</v>
      </c>
      <c r="AP34" s="211">
        <v>0</v>
      </c>
      <c r="AQ34" s="211">
        <v>0</v>
      </c>
      <c r="AR34" s="211">
        <f t="shared" si="16"/>
        <v>533912.46400000004</v>
      </c>
      <c r="AS34" s="211">
        <f t="shared" si="17"/>
        <v>0</v>
      </c>
      <c r="AT34" s="211">
        <f t="shared" si="18"/>
        <v>0</v>
      </c>
      <c r="BC34" s="210" t="s">
        <v>852</v>
      </c>
      <c r="BD34" s="210" t="s">
        <v>51</v>
      </c>
      <c r="BE34" s="210" t="s">
        <v>426</v>
      </c>
      <c r="BF34" s="210" t="s">
        <v>426</v>
      </c>
      <c r="BG34" s="211">
        <v>9000</v>
      </c>
      <c r="BH34" s="211">
        <v>0</v>
      </c>
      <c r="BI34" s="211">
        <v>0</v>
      </c>
      <c r="BJ34" s="270">
        <f t="shared" si="20"/>
        <v>9.3780000000000001</v>
      </c>
      <c r="BK34" s="270">
        <f t="shared" si="21"/>
        <v>0</v>
      </c>
      <c r="BL34" s="270">
        <f t="shared" si="22"/>
        <v>0</v>
      </c>
      <c r="BU34" s="210" t="s">
        <v>884</v>
      </c>
      <c r="BV34" s="210" t="s">
        <v>885</v>
      </c>
      <c r="BW34" s="210" t="s">
        <v>426</v>
      </c>
      <c r="BX34" s="210" t="s">
        <v>426</v>
      </c>
      <c r="BY34" s="211">
        <v>1000</v>
      </c>
      <c r="BZ34" s="211">
        <v>0</v>
      </c>
      <c r="CA34" s="211">
        <v>0</v>
      </c>
      <c r="CB34" s="211">
        <f t="shared" si="24"/>
        <v>1.042</v>
      </c>
      <c r="CC34" s="211">
        <f t="shared" si="25"/>
        <v>0</v>
      </c>
      <c r="CD34" s="211">
        <f t="shared" si="26"/>
        <v>0</v>
      </c>
      <c r="CM34" s="210" t="s">
        <v>418</v>
      </c>
      <c r="CN34" s="210" t="s">
        <v>323</v>
      </c>
      <c r="CO34" s="210" t="s">
        <v>464</v>
      </c>
      <c r="CP34" s="210" t="s">
        <v>588</v>
      </c>
      <c r="CQ34" s="211">
        <v>0</v>
      </c>
      <c r="CR34" s="211">
        <v>340000000</v>
      </c>
      <c r="CS34" s="211">
        <v>340000000</v>
      </c>
      <c r="CT34" s="211">
        <f t="shared" si="28"/>
        <v>0</v>
      </c>
      <c r="CU34" s="211">
        <f t="shared" si="29"/>
        <v>354280</v>
      </c>
      <c r="CV34" s="211">
        <f t="shared" si="30"/>
        <v>354280</v>
      </c>
      <c r="DE34" s="210" t="s">
        <v>418</v>
      </c>
      <c r="DF34" s="212" t="s">
        <v>323</v>
      </c>
      <c r="DG34" s="210" t="s">
        <v>586</v>
      </c>
      <c r="DH34" s="212" t="s">
        <v>587</v>
      </c>
      <c r="DI34" s="211">
        <v>0</v>
      </c>
      <c r="DJ34" s="211">
        <v>28109000</v>
      </c>
      <c r="DK34" s="211">
        <v>26549000</v>
      </c>
      <c r="DL34" s="269">
        <f t="shared" si="32"/>
        <v>0</v>
      </c>
      <c r="DM34" s="269">
        <f t="shared" si="33"/>
        <v>29289.578000000001</v>
      </c>
      <c r="DN34" s="269">
        <f t="shared" si="34"/>
        <v>27664.058000000001</v>
      </c>
      <c r="DW34" s="210" t="s">
        <v>418</v>
      </c>
      <c r="DX34" s="212" t="s">
        <v>323</v>
      </c>
      <c r="DY34" s="210" t="s">
        <v>426</v>
      </c>
      <c r="DZ34" s="212" t="s">
        <v>426</v>
      </c>
      <c r="EA34" s="211">
        <v>0</v>
      </c>
      <c r="EB34" s="211">
        <v>0</v>
      </c>
      <c r="EC34" s="211">
        <v>0</v>
      </c>
      <c r="ED34" s="211">
        <f t="shared" si="36"/>
        <v>0</v>
      </c>
      <c r="EE34" s="211">
        <f t="shared" si="37"/>
        <v>0</v>
      </c>
      <c r="EF34" s="211">
        <f t="shared" si="38"/>
        <v>0</v>
      </c>
      <c r="EP34" s="210" t="s">
        <v>418</v>
      </c>
      <c r="EQ34" s="212" t="s">
        <v>323</v>
      </c>
      <c r="ER34" s="210" t="s">
        <v>419</v>
      </c>
      <c r="ES34" s="210" t="s">
        <v>467</v>
      </c>
      <c r="ET34" s="211">
        <v>0</v>
      </c>
      <c r="EU34" s="211">
        <v>159963700</v>
      </c>
      <c r="EV34" s="211">
        <v>159963700</v>
      </c>
      <c r="EW34" s="274">
        <f t="shared" si="40"/>
        <v>0</v>
      </c>
      <c r="EX34" s="274">
        <f t="shared" si="41"/>
        <v>159963.70000000001</v>
      </c>
      <c r="EY34" s="274">
        <f t="shared" si="42"/>
        <v>159963.70000000001</v>
      </c>
      <c r="FI34" s="345"/>
      <c r="FJ34" s="350" t="s">
        <v>418</v>
      </c>
      <c r="FK34" s="350" t="s">
        <v>323</v>
      </c>
      <c r="FL34" s="350" t="s">
        <v>464</v>
      </c>
      <c r="FM34" s="350" t="s">
        <v>588</v>
      </c>
      <c r="FN34" s="269">
        <v>0</v>
      </c>
      <c r="FO34" s="269">
        <v>470000000</v>
      </c>
      <c r="FP34" s="269">
        <v>390000000</v>
      </c>
      <c r="FQ34" s="269">
        <f t="shared" si="43"/>
        <v>0</v>
      </c>
      <c r="FR34" s="269">
        <f t="shared" si="52"/>
        <v>470000</v>
      </c>
      <c r="FS34" s="269">
        <f t="shared" si="53"/>
        <v>390000</v>
      </c>
      <c r="FT34" s="345"/>
      <c r="FU34" s="345"/>
      <c r="FV34" s="345"/>
      <c r="GB34" s="199" t="s">
        <v>418</v>
      </c>
      <c r="GC34" s="199" t="s">
        <v>323</v>
      </c>
      <c r="GD34" s="199" t="s">
        <v>419</v>
      </c>
      <c r="GE34" s="199" t="s">
        <v>467</v>
      </c>
      <c r="GF34" s="270">
        <v>0</v>
      </c>
      <c r="GG34" s="270">
        <v>159963700</v>
      </c>
      <c r="GH34" s="270">
        <v>159963700</v>
      </c>
      <c r="GI34" s="270">
        <f t="shared" si="45"/>
        <v>0</v>
      </c>
      <c r="GJ34" s="270">
        <f t="shared" si="46"/>
        <v>159963.70000000001</v>
      </c>
      <c r="GK34" s="270">
        <f t="shared" si="47"/>
        <v>159963.70000000001</v>
      </c>
      <c r="GT34" s="199" t="s">
        <v>418</v>
      </c>
      <c r="GU34" s="199" t="s">
        <v>323</v>
      </c>
      <c r="GV34" s="199" t="s">
        <v>439</v>
      </c>
      <c r="GW34" s="199" t="s">
        <v>590</v>
      </c>
      <c r="GX34" s="351">
        <v>0</v>
      </c>
      <c r="GY34" s="351">
        <v>269500000</v>
      </c>
      <c r="GZ34" s="351">
        <v>269500000</v>
      </c>
      <c r="HA34" s="225">
        <f t="shared" si="49"/>
        <v>0</v>
      </c>
      <c r="HB34" s="225">
        <f t="shared" si="50"/>
        <v>269500</v>
      </c>
      <c r="HC34" s="225">
        <f t="shared" si="51"/>
        <v>269500</v>
      </c>
    </row>
    <row r="35" spans="1:211" ht="15" customHeight="1" x14ac:dyDescent="0.2">
      <c r="A35" s="210" t="s">
        <v>611</v>
      </c>
      <c r="B35" s="210" t="s">
        <v>612</v>
      </c>
      <c r="C35" s="210" t="s">
        <v>426</v>
      </c>
      <c r="D35" s="210" t="s">
        <v>426</v>
      </c>
      <c r="E35" s="211">
        <v>41286000</v>
      </c>
      <c r="F35" s="211">
        <v>0</v>
      </c>
      <c r="G35" s="211">
        <v>0</v>
      </c>
      <c r="H35" s="269">
        <f t="shared" si="8"/>
        <v>43020.012000000002</v>
      </c>
      <c r="I35" s="269">
        <f t="shared" si="9"/>
        <v>0</v>
      </c>
      <c r="J35" s="269">
        <f t="shared" si="10"/>
        <v>0</v>
      </c>
      <c r="S35" s="210" t="s">
        <v>440</v>
      </c>
      <c r="T35" s="212" t="s">
        <v>441</v>
      </c>
      <c r="U35" s="210" t="s">
        <v>426</v>
      </c>
      <c r="V35" s="212" t="s">
        <v>426</v>
      </c>
      <c r="W35" s="211">
        <v>0</v>
      </c>
      <c r="X35" s="211">
        <v>163400130</v>
      </c>
      <c r="Y35" s="211">
        <v>134929304</v>
      </c>
      <c r="Z35" s="259">
        <f t="shared" si="12"/>
        <v>0</v>
      </c>
      <c r="AA35" s="259">
        <f t="shared" si="13"/>
        <v>170262.93546000001</v>
      </c>
      <c r="AB35" s="259">
        <f t="shared" si="14"/>
        <v>140596.334768</v>
      </c>
      <c r="AK35" s="210" t="s">
        <v>440</v>
      </c>
      <c r="AL35" s="210" t="s">
        <v>441</v>
      </c>
      <c r="AM35" s="210" t="s">
        <v>426</v>
      </c>
      <c r="AN35" s="210" t="s">
        <v>426</v>
      </c>
      <c r="AO35" s="211">
        <v>0</v>
      </c>
      <c r="AP35" s="211">
        <v>328877100</v>
      </c>
      <c r="AQ35" s="211">
        <v>134929304</v>
      </c>
      <c r="AR35" s="211">
        <f t="shared" si="16"/>
        <v>0</v>
      </c>
      <c r="AS35" s="211">
        <f t="shared" si="17"/>
        <v>342689.93819999998</v>
      </c>
      <c r="AT35" s="211">
        <f t="shared" si="18"/>
        <v>140596.334768</v>
      </c>
      <c r="BC35" s="210" t="s">
        <v>440</v>
      </c>
      <c r="BD35" s="210" t="s">
        <v>441</v>
      </c>
      <c r="BE35" s="210" t="s">
        <v>426</v>
      </c>
      <c r="BF35" s="210" t="s">
        <v>426</v>
      </c>
      <c r="BG35" s="211">
        <v>512392000</v>
      </c>
      <c r="BH35" s="211">
        <v>0</v>
      </c>
      <c r="BI35" s="211">
        <v>0</v>
      </c>
      <c r="BJ35" s="270">
        <f t="shared" si="20"/>
        <v>533912.46400000004</v>
      </c>
      <c r="BK35" s="270">
        <f t="shared" si="21"/>
        <v>0</v>
      </c>
      <c r="BL35" s="270">
        <f t="shared" si="22"/>
        <v>0</v>
      </c>
      <c r="BU35" s="210" t="s">
        <v>884</v>
      </c>
      <c r="BV35" s="210" t="s">
        <v>885</v>
      </c>
      <c r="BW35" s="210" t="s">
        <v>426</v>
      </c>
      <c r="BX35" s="210" t="s">
        <v>426</v>
      </c>
      <c r="BY35" s="211">
        <v>0</v>
      </c>
      <c r="BZ35" s="211">
        <v>366427393</v>
      </c>
      <c r="CA35" s="211">
        <v>366427393</v>
      </c>
      <c r="CB35" s="211">
        <f t="shared" si="24"/>
        <v>0</v>
      </c>
      <c r="CC35" s="211">
        <f t="shared" si="25"/>
        <v>381817.343506</v>
      </c>
      <c r="CD35" s="211">
        <f t="shared" si="26"/>
        <v>381817.343506</v>
      </c>
      <c r="CM35" s="210" t="s">
        <v>884</v>
      </c>
      <c r="CN35" s="210" t="s">
        <v>885</v>
      </c>
      <c r="CO35" s="210" t="s">
        <v>426</v>
      </c>
      <c r="CP35" s="210" t="s">
        <v>426</v>
      </c>
      <c r="CQ35" s="211">
        <v>1000</v>
      </c>
      <c r="CR35" s="211">
        <v>0</v>
      </c>
      <c r="CS35" s="211">
        <v>0</v>
      </c>
      <c r="CT35" s="211">
        <f t="shared" si="28"/>
        <v>1.042</v>
      </c>
      <c r="CU35" s="211">
        <f t="shared" si="29"/>
        <v>0</v>
      </c>
      <c r="CV35" s="211">
        <f t="shared" si="30"/>
        <v>0</v>
      </c>
      <c r="DE35" s="210" t="s">
        <v>884</v>
      </c>
      <c r="DF35" s="212" t="s">
        <v>885</v>
      </c>
      <c r="DG35" s="210" t="s">
        <v>426</v>
      </c>
      <c r="DH35" s="212" t="s">
        <v>426</v>
      </c>
      <c r="DI35" s="211">
        <v>1000</v>
      </c>
      <c r="DJ35" s="211">
        <v>0</v>
      </c>
      <c r="DK35" s="211">
        <v>0</v>
      </c>
      <c r="DL35" s="269">
        <f t="shared" si="32"/>
        <v>1.042</v>
      </c>
      <c r="DM35" s="269">
        <f t="shared" si="33"/>
        <v>0</v>
      </c>
      <c r="DN35" s="269">
        <f t="shared" si="34"/>
        <v>0</v>
      </c>
      <c r="DW35" s="210" t="s">
        <v>418</v>
      </c>
      <c r="DX35" s="212" t="s">
        <v>323</v>
      </c>
      <c r="DY35" s="210" t="s">
        <v>586</v>
      </c>
      <c r="DZ35" s="212" t="s">
        <v>587</v>
      </c>
      <c r="EA35" s="211">
        <v>0</v>
      </c>
      <c r="EB35" s="211">
        <v>28109000</v>
      </c>
      <c r="EC35" s="211">
        <v>27329000</v>
      </c>
      <c r="ED35" s="211">
        <f t="shared" si="36"/>
        <v>0</v>
      </c>
      <c r="EE35" s="211">
        <f t="shared" si="37"/>
        <v>29289.578000000001</v>
      </c>
      <c r="EF35" s="211">
        <f t="shared" si="38"/>
        <v>28476.817999999999</v>
      </c>
      <c r="EP35" s="210" t="s">
        <v>418</v>
      </c>
      <c r="EQ35" s="212" t="s">
        <v>323</v>
      </c>
      <c r="ER35" s="210" t="s">
        <v>426</v>
      </c>
      <c r="ES35" s="210" t="s">
        <v>426</v>
      </c>
      <c r="ET35" s="211">
        <v>0</v>
      </c>
      <c r="EU35" s="211">
        <v>0</v>
      </c>
      <c r="EV35" s="211">
        <v>0</v>
      </c>
      <c r="EW35" s="274">
        <f t="shared" si="40"/>
        <v>0</v>
      </c>
      <c r="EX35" s="274">
        <f t="shared" si="41"/>
        <v>0</v>
      </c>
      <c r="EY35" s="274">
        <f t="shared" si="42"/>
        <v>0</v>
      </c>
      <c r="FI35" s="345"/>
      <c r="FJ35" s="350" t="s">
        <v>418</v>
      </c>
      <c r="FK35" s="350" t="s">
        <v>323</v>
      </c>
      <c r="FL35" s="350" t="s">
        <v>586</v>
      </c>
      <c r="FM35" s="350" t="s">
        <v>587</v>
      </c>
      <c r="FN35" s="269">
        <v>0</v>
      </c>
      <c r="FO35" s="269">
        <v>28109000</v>
      </c>
      <c r="FP35" s="269">
        <v>27329000</v>
      </c>
      <c r="FQ35" s="269">
        <f t="shared" si="43"/>
        <v>0</v>
      </c>
      <c r="FR35" s="269">
        <f t="shared" si="52"/>
        <v>28109</v>
      </c>
      <c r="FS35" s="269">
        <f t="shared" si="53"/>
        <v>27329</v>
      </c>
      <c r="FT35" s="345"/>
      <c r="FU35" s="345"/>
      <c r="FV35" s="345"/>
      <c r="GB35" s="199" t="s">
        <v>418</v>
      </c>
      <c r="GC35" s="199" t="s">
        <v>323</v>
      </c>
      <c r="GD35" s="199" t="s">
        <v>426</v>
      </c>
      <c r="GE35" s="199" t="s">
        <v>426</v>
      </c>
      <c r="GF35" s="270">
        <v>0</v>
      </c>
      <c r="GG35" s="270">
        <v>0</v>
      </c>
      <c r="GH35" s="270">
        <v>0</v>
      </c>
      <c r="GI35" s="270">
        <f t="shared" si="45"/>
        <v>0</v>
      </c>
      <c r="GJ35" s="270">
        <f t="shared" si="46"/>
        <v>0</v>
      </c>
      <c r="GK35" s="270">
        <f t="shared" si="47"/>
        <v>0</v>
      </c>
      <c r="GT35" s="199" t="s">
        <v>418</v>
      </c>
      <c r="GU35" s="199" t="s">
        <v>323</v>
      </c>
      <c r="GV35" s="199" t="s">
        <v>586</v>
      </c>
      <c r="GW35" s="199" t="s">
        <v>587</v>
      </c>
      <c r="GX35" s="351">
        <v>0</v>
      </c>
      <c r="GY35" s="351">
        <v>28109000</v>
      </c>
      <c r="GZ35" s="351">
        <v>28109000</v>
      </c>
      <c r="HA35" s="225">
        <f t="shared" si="49"/>
        <v>0</v>
      </c>
      <c r="HB35" s="225">
        <f t="shared" si="50"/>
        <v>28109</v>
      </c>
      <c r="HC35" s="225">
        <f t="shared" si="51"/>
        <v>28109</v>
      </c>
    </row>
    <row r="36" spans="1:211" ht="15" customHeight="1" x14ac:dyDescent="0.2">
      <c r="A36" s="210" t="s">
        <v>611</v>
      </c>
      <c r="B36" s="210" t="s">
        <v>612</v>
      </c>
      <c r="C36" s="210" t="s">
        <v>426</v>
      </c>
      <c r="D36" s="210" t="s">
        <v>426</v>
      </c>
      <c r="E36" s="211">
        <v>0</v>
      </c>
      <c r="F36" s="211">
        <v>31185000</v>
      </c>
      <c r="G36" s="211">
        <v>0</v>
      </c>
      <c r="H36" s="269">
        <f t="shared" si="8"/>
        <v>0</v>
      </c>
      <c r="I36" s="269">
        <f t="shared" si="9"/>
        <v>32494.77</v>
      </c>
      <c r="J36" s="269">
        <f t="shared" si="10"/>
        <v>0</v>
      </c>
      <c r="S36" s="210" t="s">
        <v>442</v>
      </c>
      <c r="T36" s="212" t="s">
        <v>443</v>
      </c>
      <c r="U36" s="210" t="s">
        <v>426</v>
      </c>
      <c r="V36" s="212" t="s">
        <v>426</v>
      </c>
      <c r="W36" s="211">
        <v>354224000</v>
      </c>
      <c r="X36" s="211">
        <v>0</v>
      </c>
      <c r="Y36" s="211">
        <v>0</v>
      </c>
      <c r="Z36" s="259">
        <f t="shared" si="12"/>
        <v>369101.408</v>
      </c>
      <c r="AA36" s="259">
        <f t="shared" si="13"/>
        <v>0</v>
      </c>
      <c r="AB36" s="259">
        <f t="shared" si="14"/>
        <v>0</v>
      </c>
      <c r="AK36" s="210" t="s">
        <v>442</v>
      </c>
      <c r="AL36" s="210" t="s">
        <v>443</v>
      </c>
      <c r="AM36" s="210" t="s">
        <v>426</v>
      </c>
      <c r="AN36" s="210" t="s">
        <v>426</v>
      </c>
      <c r="AO36" s="211">
        <v>324224000</v>
      </c>
      <c r="AP36" s="211">
        <v>0</v>
      </c>
      <c r="AQ36" s="211">
        <v>0</v>
      </c>
      <c r="AR36" s="211">
        <f t="shared" si="16"/>
        <v>337841.408</v>
      </c>
      <c r="AS36" s="211">
        <f t="shared" si="17"/>
        <v>0</v>
      </c>
      <c r="AT36" s="211">
        <f t="shared" si="18"/>
        <v>0</v>
      </c>
      <c r="BC36" s="210" t="s">
        <v>440</v>
      </c>
      <c r="BD36" s="210" t="s">
        <v>441</v>
      </c>
      <c r="BE36" s="210" t="s">
        <v>426</v>
      </c>
      <c r="BF36" s="210" t="s">
        <v>426</v>
      </c>
      <c r="BG36" s="211">
        <v>0</v>
      </c>
      <c r="BH36" s="211">
        <v>328877100</v>
      </c>
      <c r="BI36" s="211">
        <v>193113641</v>
      </c>
      <c r="BJ36" s="270">
        <f t="shared" si="20"/>
        <v>0</v>
      </c>
      <c r="BK36" s="270">
        <f t="shared" si="21"/>
        <v>342689.93819999998</v>
      </c>
      <c r="BL36" s="270">
        <f t="shared" si="22"/>
        <v>201224.41392200001</v>
      </c>
      <c r="BU36" s="210" t="s">
        <v>852</v>
      </c>
      <c r="BV36" s="210" t="s">
        <v>51</v>
      </c>
      <c r="BW36" s="210" t="s">
        <v>426</v>
      </c>
      <c r="BX36" s="210" t="s">
        <v>426</v>
      </c>
      <c r="BY36" s="211">
        <v>366436000</v>
      </c>
      <c r="BZ36" s="211">
        <v>0</v>
      </c>
      <c r="CA36" s="211">
        <v>0</v>
      </c>
      <c r="CB36" s="211">
        <f t="shared" si="24"/>
        <v>381826.31200000003</v>
      </c>
      <c r="CC36" s="211">
        <f t="shared" si="25"/>
        <v>0</v>
      </c>
      <c r="CD36" s="211">
        <f t="shared" si="26"/>
        <v>0</v>
      </c>
      <c r="CM36" s="210" t="s">
        <v>884</v>
      </c>
      <c r="CN36" s="210" t="s">
        <v>885</v>
      </c>
      <c r="CO36" s="210" t="s">
        <v>426</v>
      </c>
      <c r="CP36" s="210" t="s">
        <v>426</v>
      </c>
      <c r="CQ36" s="211">
        <v>0</v>
      </c>
      <c r="CR36" s="211">
        <v>366427393</v>
      </c>
      <c r="CS36" s="211">
        <v>366427393</v>
      </c>
      <c r="CT36" s="211">
        <f t="shared" si="28"/>
        <v>0</v>
      </c>
      <c r="CU36" s="211">
        <f t="shared" si="29"/>
        <v>381817.343506</v>
      </c>
      <c r="CV36" s="211">
        <f t="shared" si="30"/>
        <v>381817.343506</v>
      </c>
      <c r="DE36" s="210" t="s">
        <v>884</v>
      </c>
      <c r="DF36" s="212" t="s">
        <v>885</v>
      </c>
      <c r="DG36" s="210" t="s">
        <v>426</v>
      </c>
      <c r="DH36" s="212" t="s">
        <v>426</v>
      </c>
      <c r="DI36" s="211">
        <v>0</v>
      </c>
      <c r="DJ36" s="211">
        <v>366427393</v>
      </c>
      <c r="DK36" s="211">
        <v>366427393</v>
      </c>
      <c r="DL36" s="269">
        <f t="shared" si="32"/>
        <v>0</v>
      </c>
      <c r="DM36" s="269">
        <f t="shared" si="33"/>
        <v>381817.343506</v>
      </c>
      <c r="DN36" s="269">
        <f t="shared" si="34"/>
        <v>381817.343506</v>
      </c>
      <c r="DW36" s="210" t="s">
        <v>884</v>
      </c>
      <c r="DX36" s="212" t="s">
        <v>885</v>
      </c>
      <c r="DY36" s="210" t="s">
        <v>426</v>
      </c>
      <c r="DZ36" s="212" t="s">
        <v>426</v>
      </c>
      <c r="EA36" s="211">
        <v>1000</v>
      </c>
      <c r="EB36" s="211">
        <v>0</v>
      </c>
      <c r="EC36" s="211">
        <v>0</v>
      </c>
      <c r="ED36" s="211">
        <f t="shared" si="36"/>
        <v>1.042</v>
      </c>
      <c r="EE36" s="211">
        <f t="shared" si="37"/>
        <v>0</v>
      </c>
      <c r="EF36" s="211">
        <f t="shared" si="38"/>
        <v>0</v>
      </c>
      <c r="EP36" s="210" t="s">
        <v>884</v>
      </c>
      <c r="EQ36" s="212" t="s">
        <v>885</v>
      </c>
      <c r="ER36" s="210" t="s">
        <v>426</v>
      </c>
      <c r="ES36" s="210" t="s">
        <v>426</v>
      </c>
      <c r="ET36" s="211">
        <v>1000</v>
      </c>
      <c r="EU36" s="211">
        <v>0</v>
      </c>
      <c r="EV36" s="211">
        <v>0</v>
      </c>
      <c r="EW36" s="274">
        <f t="shared" si="40"/>
        <v>1</v>
      </c>
      <c r="EX36" s="274">
        <f t="shared" si="41"/>
        <v>0</v>
      </c>
      <c r="EY36" s="274">
        <f t="shared" si="42"/>
        <v>0</v>
      </c>
      <c r="FI36" s="345"/>
      <c r="FJ36" s="350" t="s">
        <v>884</v>
      </c>
      <c r="FK36" s="350" t="s">
        <v>885</v>
      </c>
      <c r="FL36" s="350" t="s">
        <v>426</v>
      </c>
      <c r="FM36" s="350" t="s">
        <v>426</v>
      </c>
      <c r="FN36" s="269">
        <v>1000</v>
      </c>
      <c r="FO36" s="269">
        <v>0</v>
      </c>
      <c r="FP36" s="269">
        <v>0</v>
      </c>
      <c r="FQ36" s="269">
        <f t="shared" si="43"/>
        <v>1</v>
      </c>
      <c r="FR36" s="269">
        <f t="shared" si="52"/>
        <v>0</v>
      </c>
      <c r="FS36" s="269">
        <f t="shared" si="53"/>
        <v>0</v>
      </c>
      <c r="FT36" s="345"/>
      <c r="FU36" s="345"/>
      <c r="FV36" s="345"/>
      <c r="GB36" s="199" t="s">
        <v>418</v>
      </c>
      <c r="GC36" s="199" t="s">
        <v>323</v>
      </c>
      <c r="GD36" s="199" t="s">
        <v>439</v>
      </c>
      <c r="GE36" s="199" t="s">
        <v>590</v>
      </c>
      <c r="GF36" s="270">
        <v>0</v>
      </c>
      <c r="GG36" s="270">
        <v>240580000</v>
      </c>
      <c r="GH36" s="270">
        <v>161654000</v>
      </c>
      <c r="GI36" s="270">
        <f t="shared" si="45"/>
        <v>0</v>
      </c>
      <c r="GJ36" s="270">
        <f t="shared" si="46"/>
        <v>240580</v>
      </c>
      <c r="GK36" s="270">
        <f t="shared" si="47"/>
        <v>161654</v>
      </c>
      <c r="GT36" s="199" t="s">
        <v>418</v>
      </c>
      <c r="GU36" s="199" t="s">
        <v>323</v>
      </c>
      <c r="GV36" s="199" t="s">
        <v>419</v>
      </c>
      <c r="GW36" s="199" t="s">
        <v>467</v>
      </c>
      <c r="GX36" s="351">
        <v>0</v>
      </c>
      <c r="GY36" s="351">
        <v>159963700</v>
      </c>
      <c r="GZ36" s="351">
        <v>159963700</v>
      </c>
      <c r="HA36" s="225">
        <f t="shared" si="49"/>
        <v>0</v>
      </c>
      <c r="HB36" s="225">
        <f t="shared" si="50"/>
        <v>159963.70000000001</v>
      </c>
      <c r="HC36" s="225">
        <f t="shared" si="51"/>
        <v>159963.70000000001</v>
      </c>
    </row>
    <row r="37" spans="1:211" ht="15" customHeight="1" x14ac:dyDescent="0.2">
      <c r="A37" s="210" t="s">
        <v>613</v>
      </c>
      <c r="B37" s="210" t="s">
        <v>614</v>
      </c>
      <c r="C37" s="210" t="s">
        <v>426</v>
      </c>
      <c r="D37" s="210" t="s">
        <v>426</v>
      </c>
      <c r="E37" s="211">
        <v>58980000</v>
      </c>
      <c r="F37" s="211">
        <v>0</v>
      </c>
      <c r="G37" s="211">
        <v>0</v>
      </c>
      <c r="H37" s="269">
        <f t="shared" si="8"/>
        <v>61457.16</v>
      </c>
      <c r="I37" s="269">
        <f t="shared" si="9"/>
        <v>0</v>
      </c>
      <c r="J37" s="269">
        <f t="shared" si="10"/>
        <v>0</v>
      </c>
      <c r="S37" s="210" t="s">
        <v>442</v>
      </c>
      <c r="T37" s="212" t="s">
        <v>443</v>
      </c>
      <c r="U37" s="210" t="s">
        <v>426</v>
      </c>
      <c r="V37" s="212" t="s">
        <v>426</v>
      </c>
      <c r="W37" s="211">
        <v>0</v>
      </c>
      <c r="X37" s="211">
        <v>66088160</v>
      </c>
      <c r="Y37" s="211">
        <v>5550000</v>
      </c>
      <c r="Z37" s="259">
        <f t="shared" si="12"/>
        <v>0</v>
      </c>
      <c r="AA37" s="259">
        <f t="shared" si="13"/>
        <v>68863.862720000005</v>
      </c>
      <c r="AB37" s="259">
        <f t="shared" si="14"/>
        <v>5783.1</v>
      </c>
      <c r="AK37" s="210" t="s">
        <v>442</v>
      </c>
      <c r="AL37" s="210" t="s">
        <v>443</v>
      </c>
      <c r="AM37" s="210" t="s">
        <v>426</v>
      </c>
      <c r="AN37" s="210" t="s">
        <v>426</v>
      </c>
      <c r="AO37" s="211">
        <v>0</v>
      </c>
      <c r="AP37" s="211">
        <v>69426092</v>
      </c>
      <c r="AQ37" s="211">
        <v>21493098</v>
      </c>
      <c r="AR37" s="211">
        <f t="shared" si="16"/>
        <v>0</v>
      </c>
      <c r="AS37" s="211">
        <f t="shared" si="17"/>
        <v>72341.98786400001</v>
      </c>
      <c r="AT37" s="211">
        <f t="shared" si="18"/>
        <v>22395.808116000004</v>
      </c>
      <c r="BC37" s="210" t="s">
        <v>442</v>
      </c>
      <c r="BD37" s="210" t="s">
        <v>443</v>
      </c>
      <c r="BE37" s="210" t="s">
        <v>426</v>
      </c>
      <c r="BF37" s="210" t="s">
        <v>426</v>
      </c>
      <c r="BG37" s="211">
        <v>324224000</v>
      </c>
      <c r="BH37" s="211">
        <v>0</v>
      </c>
      <c r="BI37" s="211">
        <v>0</v>
      </c>
      <c r="BJ37" s="270">
        <f t="shared" si="20"/>
        <v>337841.408</v>
      </c>
      <c r="BK37" s="270">
        <f t="shared" si="21"/>
        <v>0</v>
      </c>
      <c r="BL37" s="270">
        <f t="shared" si="22"/>
        <v>0</v>
      </c>
      <c r="BU37" s="210" t="s">
        <v>440</v>
      </c>
      <c r="BV37" s="210" t="s">
        <v>441</v>
      </c>
      <c r="BW37" s="210" t="s">
        <v>426</v>
      </c>
      <c r="BX37" s="210" t="s">
        <v>426</v>
      </c>
      <c r="BY37" s="211">
        <v>512392000</v>
      </c>
      <c r="BZ37" s="211">
        <v>0</v>
      </c>
      <c r="CA37" s="211">
        <v>0</v>
      </c>
      <c r="CB37" s="211">
        <f t="shared" si="24"/>
        <v>533912.46400000004</v>
      </c>
      <c r="CC37" s="211">
        <f t="shared" si="25"/>
        <v>0</v>
      </c>
      <c r="CD37" s="211">
        <f t="shared" si="26"/>
        <v>0</v>
      </c>
      <c r="CM37" s="210" t="s">
        <v>852</v>
      </c>
      <c r="CN37" s="210" t="s">
        <v>51</v>
      </c>
      <c r="CO37" s="210" t="s">
        <v>426</v>
      </c>
      <c r="CP37" s="210" t="s">
        <v>426</v>
      </c>
      <c r="CQ37" s="211">
        <v>366436000</v>
      </c>
      <c r="CR37" s="211">
        <v>0</v>
      </c>
      <c r="CS37" s="211">
        <v>0</v>
      </c>
      <c r="CT37" s="211">
        <f t="shared" si="28"/>
        <v>381826.31200000003</v>
      </c>
      <c r="CU37" s="211">
        <f t="shared" si="29"/>
        <v>0</v>
      </c>
      <c r="CV37" s="211">
        <f t="shared" si="30"/>
        <v>0</v>
      </c>
      <c r="DE37" s="210" t="s">
        <v>852</v>
      </c>
      <c r="DF37" s="212" t="s">
        <v>51</v>
      </c>
      <c r="DG37" s="210" t="s">
        <v>426</v>
      </c>
      <c r="DH37" s="212" t="s">
        <v>426</v>
      </c>
      <c r="DI37" s="211">
        <v>366436000</v>
      </c>
      <c r="DJ37" s="211">
        <v>0</v>
      </c>
      <c r="DK37" s="211">
        <v>0</v>
      </c>
      <c r="DL37" s="269">
        <f t="shared" si="32"/>
        <v>381826.31200000003</v>
      </c>
      <c r="DM37" s="269">
        <f t="shared" si="33"/>
        <v>0</v>
      </c>
      <c r="DN37" s="269">
        <f t="shared" si="34"/>
        <v>0</v>
      </c>
      <c r="DW37" s="210" t="s">
        <v>884</v>
      </c>
      <c r="DX37" s="212" t="s">
        <v>885</v>
      </c>
      <c r="DY37" s="210" t="s">
        <v>426</v>
      </c>
      <c r="DZ37" s="212" t="s">
        <v>426</v>
      </c>
      <c r="EA37" s="211">
        <v>0</v>
      </c>
      <c r="EB37" s="211">
        <v>366427393</v>
      </c>
      <c r="EC37" s="211">
        <v>366427393</v>
      </c>
      <c r="ED37" s="211">
        <f t="shared" si="36"/>
        <v>0</v>
      </c>
      <c r="EE37" s="211">
        <f t="shared" si="37"/>
        <v>381817.343506</v>
      </c>
      <c r="EF37" s="211">
        <f t="shared" si="38"/>
        <v>381817.343506</v>
      </c>
      <c r="EP37" s="210" t="s">
        <v>884</v>
      </c>
      <c r="EQ37" s="212" t="s">
        <v>885</v>
      </c>
      <c r="ER37" s="210" t="s">
        <v>426</v>
      </c>
      <c r="ES37" s="210" t="s">
        <v>426</v>
      </c>
      <c r="ET37" s="211">
        <v>0</v>
      </c>
      <c r="EU37" s="211">
        <v>366427393</v>
      </c>
      <c r="EV37" s="211">
        <v>366427393</v>
      </c>
      <c r="EW37" s="274">
        <f t="shared" si="40"/>
        <v>0</v>
      </c>
      <c r="EX37" s="274">
        <f t="shared" si="41"/>
        <v>366427.39299999998</v>
      </c>
      <c r="EY37" s="274">
        <f t="shared" si="42"/>
        <v>366427.39299999998</v>
      </c>
      <c r="FI37" s="345"/>
      <c r="FJ37" s="350" t="s">
        <v>884</v>
      </c>
      <c r="FK37" s="350" t="s">
        <v>885</v>
      </c>
      <c r="FL37" s="350" t="s">
        <v>426</v>
      </c>
      <c r="FM37" s="350" t="s">
        <v>426</v>
      </c>
      <c r="FN37" s="269">
        <v>0</v>
      </c>
      <c r="FO37" s="269">
        <v>366427393</v>
      </c>
      <c r="FP37" s="269">
        <v>366427393</v>
      </c>
      <c r="FQ37" s="269">
        <f t="shared" si="43"/>
        <v>0</v>
      </c>
      <c r="FR37" s="269">
        <f t="shared" si="52"/>
        <v>366427.39299999998</v>
      </c>
      <c r="FS37" s="269">
        <f t="shared" si="53"/>
        <v>366427.39299999998</v>
      </c>
      <c r="FT37" s="345"/>
      <c r="FU37" s="345"/>
      <c r="FV37" s="345"/>
      <c r="GB37" s="199" t="s">
        <v>418</v>
      </c>
      <c r="GC37" s="199" t="s">
        <v>323</v>
      </c>
      <c r="GD37" s="199" t="s">
        <v>426</v>
      </c>
      <c r="GE37" s="199" t="s">
        <v>426</v>
      </c>
      <c r="GF37" s="270">
        <v>0</v>
      </c>
      <c r="GG37" s="270">
        <v>0</v>
      </c>
      <c r="GH37" s="270">
        <v>0</v>
      </c>
      <c r="GI37" s="270">
        <f t="shared" si="45"/>
        <v>0</v>
      </c>
      <c r="GJ37" s="270">
        <f t="shared" si="46"/>
        <v>0</v>
      </c>
      <c r="GK37" s="270">
        <f t="shared" si="47"/>
        <v>0</v>
      </c>
      <c r="GT37" s="199" t="s">
        <v>418</v>
      </c>
      <c r="GU37" s="199" t="s">
        <v>323</v>
      </c>
      <c r="GV37" s="199" t="s">
        <v>426</v>
      </c>
      <c r="GW37" s="199" t="s">
        <v>426</v>
      </c>
      <c r="GX37" s="351">
        <v>0</v>
      </c>
      <c r="GY37" s="351">
        <v>0</v>
      </c>
      <c r="GZ37" s="351">
        <v>0</v>
      </c>
      <c r="HA37" s="225">
        <f t="shared" si="49"/>
        <v>0</v>
      </c>
      <c r="HB37" s="225">
        <f t="shared" si="50"/>
        <v>0</v>
      </c>
      <c r="HC37" s="225">
        <f t="shared" si="51"/>
        <v>0</v>
      </c>
    </row>
    <row r="38" spans="1:211" ht="15" customHeight="1" x14ac:dyDescent="0.2">
      <c r="A38" s="210" t="s">
        <v>431</v>
      </c>
      <c r="B38" s="210" t="s">
        <v>127</v>
      </c>
      <c r="C38" s="210" t="s">
        <v>426</v>
      </c>
      <c r="D38" s="210" t="s">
        <v>426</v>
      </c>
      <c r="E38" s="211">
        <v>10100</v>
      </c>
      <c r="F38" s="211">
        <v>0</v>
      </c>
      <c r="G38" s="211">
        <v>0</v>
      </c>
      <c r="H38" s="269">
        <f t="shared" si="8"/>
        <v>10.5242</v>
      </c>
      <c r="I38" s="269">
        <f t="shared" si="9"/>
        <v>0</v>
      </c>
      <c r="J38" s="269">
        <f t="shared" si="10"/>
        <v>0</v>
      </c>
      <c r="S38" s="210" t="s">
        <v>501</v>
      </c>
      <c r="T38" s="212" t="s">
        <v>504</v>
      </c>
      <c r="U38" s="210" t="s">
        <v>426</v>
      </c>
      <c r="V38" s="212" t="s">
        <v>426</v>
      </c>
      <c r="W38" s="211">
        <v>329029000</v>
      </c>
      <c r="X38" s="211">
        <v>0</v>
      </c>
      <c r="Y38" s="211">
        <v>0</v>
      </c>
      <c r="Z38" s="259">
        <f t="shared" si="12"/>
        <v>342848.21799999999</v>
      </c>
      <c r="AA38" s="259">
        <f t="shared" si="13"/>
        <v>0</v>
      </c>
      <c r="AB38" s="259">
        <f t="shared" si="14"/>
        <v>0</v>
      </c>
      <c r="AK38" s="210" t="s">
        <v>501</v>
      </c>
      <c r="AL38" s="210" t="s">
        <v>504</v>
      </c>
      <c r="AM38" s="210" t="s">
        <v>426</v>
      </c>
      <c r="AN38" s="210" t="s">
        <v>426</v>
      </c>
      <c r="AO38" s="211">
        <v>329029000</v>
      </c>
      <c r="AP38" s="211">
        <v>0</v>
      </c>
      <c r="AQ38" s="211">
        <v>0</v>
      </c>
      <c r="AR38" s="211">
        <f t="shared" si="16"/>
        <v>342848.21799999999</v>
      </c>
      <c r="AS38" s="211">
        <f t="shared" si="17"/>
        <v>0</v>
      </c>
      <c r="AT38" s="211">
        <f t="shared" si="18"/>
        <v>0</v>
      </c>
      <c r="BC38" s="210" t="s">
        <v>442</v>
      </c>
      <c r="BD38" s="210" t="s">
        <v>443</v>
      </c>
      <c r="BE38" s="210" t="s">
        <v>426</v>
      </c>
      <c r="BF38" s="210" t="s">
        <v>426</v>
      </c>
      <c r="BG38" s="211">
        <v>0</v>
      </c>
      <c r="BH38" s="211">
        <v>155926092</v>
      </c>
      <c r="BI38" s="211">
        <v>41791541</v>
      </c>
      <c r="BJ38" s="270">
        <f t="shared" si="20"/>
        <v>0</v>
      </c>
      <c r="BK38" s="270">
        <f t="shared" si="21"/>
        <v>162474.98786400002</v>
      </c>
      <c r="BL38" s="270">
        <f t="shared" si="22"/>
        <v>43546.785722000001</v>
      </c>
      <c r="BU38" s="210" t="s">
        <v>440</v>
      </c>
      <c r="BV38" s="210" t="s">
        <v>441</v>
      </c>
      <c r="BW38" s="210" t="s">
        <v>426</v>
      </c>
      <c r="BX38" s="210" t="s">
        <v>426</v>
      </c>
      <c r="BY38" s="211">
        <v>0</v>
      </c>
      <c r="BZ38" s="211">
        <v>357347926</v>
      </c>
      <c r="CA38" s="211">
        <v>240089144</v>
      </c>
      <c r="CB38" s="211">
        <f t="shared" si="24"/>
        <v>0</v>
      </c>
      <c r="CC38" s="211">
        <f t="shared" si="25"/>
        <v>372356.53889199998</v>
      </c>
      <c r="CD38" s="211">
        <f t="shared" si="26"/>
        <v>250172.88804800002</v>
      </c>
      <c r="CM38" s="210" t="s">
        <v>440</v>
      </c>
      <c r="CN38" s="210" t="s">
        <v>441</v>
      </c>
      <c r="CO38" s="210" t="s">
        <v>426</v>
      </c>
      <c r="CP38" s="210" t="s">
        <v>426</v>
      </c>
      <c r="CQ38" s="211">
        <v>512392000</v>
      </c>
      <c r="CR38" s="211">
        <v>0</v>
      </c>
      <c r="CS38" s="211">
        <v>0</v>
      </c>
      <c r="CT38" s="211">
        <f t="shared" si="28"/>
        <v>533912.46400000004</v>
      </c>
      <c r="CU38" s="211">
        <f t="shared" si="29"/>
        <v>0</v>
      </c>
      <c r="CV38" s="211">
        <f t="shared" si="30"/>
        <v>0</v>
      </c>
      <c r="DE38" s="210" t="s">
        <v>440</v>
      </c>
      <c r="DF38" s="212" t="s">
        <v>441</v>
      </c>
      <c r="DG38" s="210" t="s">
        <v>426</v>
      </c>
      <c r="DH38" s="212" t="s">
        <v>426</v>
      </c>
      <c r="DI38" s="211">
        <v>512392000</v>
      </c>
      <c r="DJ38" s="211">
        <v>0</v>
      </c>
      <c r="DK38" s="211">
        <v>0</v>
      </c>
      <c r="DL38" s="269">
        <f t="shared" si="32"/>
        <v>533912.46400000004</v>
      </c>
      <c r="DM38" s="269">
        <f t="shared" si="33"/>
        <v>0</v>
      </c>
      <c r="DN38" s="269">
        <f t="shared" si="34"/>
        <v>0</v>
      </c>
      <c r="DW38" s="210" t="s">
        <v>852</v>
      </c>
      <c r="DX38" s="212" t="s">
        <v>51</v>
      </c>
      <c r="DY38" s="210" t="s">
        <v>426</v>
      </c>
      <c r="DZ38" s="212" t="s">
        <v>426</v>
      </c>
      <c r="EA38" s="211">
        <v>366436000</v>
      </c>
      <c r="EB38" s="211">
        <v>0</v>
      </c>
      <c r="EC38" s="211">
        <v>0</v>
      </c>
      <c r="ED38" s="211">
        <f t="shared" si="36"/>
        <v>381826.31200000003</v>
      </c>
      <c r="EE38" s="211">
        <f t="shared" si="37"/>
        <v>0</v>
      </c>
      <c r="EF38" s="211">
        <f t="shared" si="38"/>
        <v>0</v>
      </c>
      <c r="EP38" s="210" t="s">
        <v>852</v>
      </c>
      <c r="EQ38" s="212" t="s">
        <v>51</v>
      </c>
      <c r="ER38" s="210" t="s">
        <v>426</v>
      </c>
      <c r="ES38" s="210" t="s">
        <v>426</v>
      </c>
      <c r="ET38" s="211">
        <v>366436000</v>
      </c>
      <c r="EU38" s="211">
        <v>0</v>
      </c>
      <c r="EV38" s="211">
        <v>0</v>
      </c>
      <c r="EW38" s="274">
        <f t="shared" si="40"/>
        <v>366436</v>
      </c>
      <c r="EX38" s="274">
        <f t="shared" si="41"/>
        <v>0</v>
      </c>
      <c r="EY38" s="274">
        <f t="shared" si="42"/>
        <v>0</v>
      </c>
      <c r="FI38" s="345"/>
      <c r="FJ38" s="350" t="s">
        <v>852</v>
      </c>
      <c r="FK38" s="350" t="s">
        <v>51</v>
      </c>
      <c r="FL38" s="350" t="s">
        <v>426</v>
      </c>
      <c r="FM38" s="350" t="s">
        <v>426</v>
      </c>
      <c r="FN38" s="269">
        <v>366436000</v>
      </c>
      <c r="FO38" s="269">
        <v>0</v>
      </c>
      <c r="FP38" s="269">
        <v>0</v>
      </c>
      <c r="FQ38" s="269">
        <f t="shared" si="43"/>
        <v>366436</v>
      </c>
      <c r="FR38" s="269">
        <f t="shared" si="52"/>
        <v>0</v>
      </c>
      <c r="FS38" s="269">
        <f t="shared" si="53"/>
        <v>0</v>
      </c>
      <c r="FT38" s="345"/>
      <c r="FU38" s="345"/>
      <c r="FV38" s="345"/>
      <c r="GB38" s="199" t="s">
        <v>884</v>
      </c>
      <c r="GC38" s="199" t="s">
        <v>885</v>
      </c>
      <c r="GD38" s="199" t="s">
        <v>426</v>
      </c>
      <c r="GE38" s="199" t="s">
        <v>426</v>
      </c>
      <c r="GF38" s="270">
        <v>366437000</v>
      </c>
      <c r="GG38" s="270">
        <v>0</v>
      </c>
      <c r="GH38" s="270">
        <v>0</v>
      </c>
      <c r="GI38" s="270">
        <f t="shared" si="45"/>
        <v>366437</v>
      </c>
      <c r="GJ38" s="270">
        <f t="shared" si="46"/>
        <v>0</v>
      </c>
      <c r="GK38" s="270">
        <f t="shared" si="47"/>
        <v>0</v>
      </c>
      <c r="GT38" s="199" t="s">
        <v>884</v>
      </c>
      <c r="GU38" s="199" t="s">
        <v>885</v>
      </c>
      <c r="GV38" s="199" t="s">
        <v>426</v>
      </c>
      <c r="GW38" s="199" t="s">
        <v>426</v>
      </c>
      <c r="GX38" s="351">
        <v>363838250</v>
      </c>
      <c r="GY38" s="351">
        <v>0</v>
      </c>
      <c r="GZ38" s="351">
        <v>0</v>
      </c>
      <c r="HA38" s="225">
        <f t="shared" si="49"/>
        <v>363838.25</v>
      </c>
      <c r="HB38" s="225">
        <f t="shared" si="50"/>
        <v>0</v>
      </c>
      <c r="HC38" s="225">
        <f t="shared" si="51"/>
        <v>0</v>
      </c>
    </row>
    <row r="39" spans="1:211" ht="15" customHeight="1" x14ac:dyDescent="0.2">
      <c r="A39" s="210" t="s">
        <v>431</v>
      </c>
      <c r="B39" s="210" t="s">
        <v>127</v>
      </c>
      <c r="C39" s="210" t="s">
        <v>426</v>
      </c>
      <c r="D39" s="210" t="s">
        <v>426</v>
      </c>
      <c r="E39" s="211">
        <v>0</v>
      </c>
      <c r="F39" s="211">
        <v>107104433</v>
      </c>
      <c r="G39" s="211">
        <v>107104433</v>
      </c>
      <c r="H39" s="269">
        <f t="shared" si="8"/>
        <v>0</v>
      </c>
      <c r="I39" s="269">
        <f t="shared" si="9"/>
        <v>111602.81918600001</v>
      </c>
      <c r="J39" s="269">
        <f t="shared" si="10"/>
        <v>111602.81918600001</v>
      </c>
      <c r="S39" s="210" t="s">
        <v>611</v>
      </c>
      <c r="T39" s="212" t="s">
        <v>612</v>
      </c>
      <c r="U39" s="210" t="s">
        <v>426</v>
      </c>
      <c r="V39" s="212" t="s">
        <v>426</v>
      </c>
      <c r="W39" s="211">
        <v>41286000</v>
      </c>
      <c r="X39" s="211">
        <v>0</v>
      </c>
      <c r="Y39" s="211">
        <v>0</v>
      </c>
      <c r="Z39" s="259">
        <f t="shared" si="12"/>
        <v>43020.012000000002</v>
      </c>
      <c r="AA39" s="259">
        <f t="shared" si="13"/>
        <v>0</v>
      </c>
      <c r="AB39" s="259">
        <f t="shared" si="14"/>
        <v>0</v>
      </c>
      <c r="AK39" s="210" t="s">
        <v>611</v>
      </c>
      <c r="AL39" s="210" t="s">
        <v>612</v>
      </c>
      <c r="AM39" s="210" t="s">
        <v>426</v>
      </c>
      <c r="AN39" s="210" t="s">
        <v>426</v>
      </c>
      <c r="AO39" s="211">
        <v>41286000</v>
      </c>
      <c r="AP39" s="211">
        <v>0</v>
      </c>
      <c r="AQ39" s="211">
        <v>0</v>
      </c>
      <c r="AR39" s="211">
        <f t="shared" si="16"/>
        <v>43020.012000000002</v>
      </c>
      <c r="AS39" s="211">
        <f t="shared" si="17"/>
        <v>0</v>
      </c>
      <c r="AT39" s="211">
        <f t="shared" si="18"/>
        <v>0</v>
      </c>
      <c r="BC39" s="210" t="s">
        <v>501</v>
      </c>
      <c r="BD39" s="210" t="s">
        <v>504</v>
      </c>
      <c r="BE39" s="210" t="s">
        <v>426</v>
      </c>
      <c r="BF39" s="210" t="s">
        <v>426</v>
      </c>
      <c r="BG39" s="211">
        <v>268009000</v>
      </c>
      <c r="BH39" s="211">
        <v>0</v>
      </c>
      <c r="BI39" s="211">
        <v>0</v>
      </c>
      <c r="BJ39" s="270">
        <f t="shared" si="20"/>
        <v>279265.37800000003</v>
      </c>
      <c r="BK39" s="270">
        <f t="shared" si="21"/>
        <v>0</v>
      </c>
      <c r="BL39" s="270">
        <f t="shared" si="22"/>
        <v>0</v>
      </c>
      <c r="BU39" s="210" t="s">
        <v>442</v>
      </c>
      <c r="BV39" s="210" t="s">
        <v>443</v>
      </c>
      <c r="BW39" s="210" t="s">
        <v>426</v>
      </c>
      <c r="BX39" s="210" t="s">
        <v>426</v>
      </c>
      <c r="BY39" s="211">
        <v>324224000</v>
      </c>
      <c r="BZ39" s="211">
        <v>0</v>
      </c>
      <c r="CA39" s="211">
        <v>0</v>
      </c>
      <c r="CB39" s="211">
        <f t="shared" si="24"/>
        <v>337841.408</v>
      </c>
      <c r="CC39" s="211">
        <f t="shared" si="25"/>
        <v>0</v>
      </c>
      <c r="CD39" s="211">
        <f t="shared" si="26"/>
        <v>0</v>
      </c>
      <c r="CM39" s="210" t="s">
        <v>440</v>
      </c>
      <c r="CN39" s="210" t="s">
        <v>441</v>
      </c>
      <c r="CO39" s="210" t="s">
        <v>426</v>
      </c>
      <c r="CP39" s="210" t="s">
        <v>426</v>
      </c>
      <c r="CQ39" s="211">
        <v>0</v>
      </c>
      <c r="CR39" s="211">
        <v>357347926</v>
      </c>
      <c r="CS39" s="211">
        <v>240089144</v>
      </c>
      <c r="CT39" s="211">
        <f t="shared" si="28"/>
        <v>0</v>
      </c>
      <c r="CU39" s="211">
        <f t="shared" si="29"/>
        <v>372356.53889199998</v>
      </c>
      <c r="CV39" s="211">
        <f t="shared" si="30"/>
        <v>250172.88804800002</v>
      </c>
      <c r="DE39" s="210" t="s">
        <v>440</v>
      </c>
      <c r="DF39" s="212" t="s">
        <v>441</v>
      </c>
      <c r="DG39" s="210" t="s">
        <v>426</v>
      </c>
      <c r="DH39" s="212" t="s">
        <v>426</v>
      </c>
      <c r="DI39" s="211">
        <v>0</v>
      </c>
      <c r="DJ39" s="211">
        <v>357347926</v>
      </c>
      <c r="DK39" s="211">
        <v>278878702</v>
      </c>
      <c r="DL39" s="269">
        <f t="shared" si="32"/>
        <v>0</v>
      </c>
      <c r="DM39" s="269">
        <f t="shared" si="33"/>
        <v>372356.53889199998</v>
      </c>
      <c r="DN39" s="269">
        <f t="shared" si="34"/>
        <v>290591.60748399998</v>
      </c>
      <c r="DW39" s="210" t="s">
        <v>440</v>
      </c>
      <c r="DX39" s="212" t="s">
        <v>441</v>
      </c>
      <c r="DY39" s="210" t="s">
        <v>426</v>
      </c>
      <c r="DZ39" s="212" t="s">
        <v>426</v>
      </c>
      <c r="EA39" s="211">
        <v>512392000</v>
      </c>
      <c r="EB39" s="211">
        <v>0</v>
      </c>
      <c r="EC39" s="211">
        <v>0</v>
      </c>
      <c r="ED39" s="211">
        <f t="shared" si="36"/>
        <v>533912.46400000004</v>
      </c>
      <c r="EE39" s="211">
        <f t="shared" si="37"/>
        <v>0</v>
      </c>
      <c r="EF39" s="211">
        <f t="shared" si="38"/>
        <v>0</v>
      </c>
      <c r="EP39" s="210" t="s">
        <v>440</v>
      </c>
      <c r="EQ39" s="212" t="s">
        <v>441</v>
      </c>
      <c r="ER39" s="210" t="s">
        <v>426</v>
      </c>
      <c r="ES39" s="210" t="s">
        <v>426</v>
      </c>
      <c r="ET39" s="211">
        <v>512392000</v>
      </c>
      <c r="EU39" s="211">
        <v>0</v>
      </c>
      <c r="EV39" s="211">
        <v>0</v>
      </c>
      <c r="EW39" s="274">
        <f t="shared" si="40"/>
        <v>512392</v>
      </c>
      <c r="EX39" s="274">
        <f t="shared" si="41"/>
        <v>0</v>
      </c>
      <c r="EY39" s="274">
        <f t="shared" si="42"/>
        <v>0</v>
      </c>
      <c r="FI39" s="345"/>
      <c r="FJ39" s="350" t="s">
        <v>440</v>
      </c>
      <c r="FK39" s="350" t="s">
        <v>441</v>
      </c>
      <c r="FL39" s="350" t="s">
        <v>426</v>
      </c>
      <c r="FM39" s="350" t="s">
        <v>426</v>
      </c>
      <c r="FN39" s="269">
        <v>512392000</v>
      </c>
      <c r="FO39" s="269">
        <v>0</v>
      </c>
      <c r="FP39" s="269">
        <v>0</v>
      </c>
      <c r="FQ39" s="269">
        <f t="shared" si="43"/>
        <v>512392</v>
      </c>
      <c r="FR39" s="269">
        <f t="shared" si="52"/>
        <v>0</v>
      </c>
      <c r="FS39" s="269">
        <f t="shared" si="53"/>
        <v>0</v>
      </c>
      <c r="FT39" s="345"/>
      <c r="FU39" s="345"/>
      <c r="FV39" s="345"/>
      <c r="GB39" s="199" t="s">
        <v>884</v>
      </c>
      <c r="GC39" s="199" t="s">
        <v>885</v>
      </c>
      <c r="GD39" s="199" t="s">
        <v>426</v>
      </c>
      <c r="GE39" s="199" t="s">
        <v>426</v>
      </c>
      <c r="GF39" s="270">
        <v>0</v>
      </c>
      <c r="GG39" s="270">
        <v>366427393</v>
      </c>
      <c r="GH39" s="270">
        <v>366427393</v>
      </c>
      <c r="GI39" s="270">
        <f t="shared" si="45"/>
        <v>0</v>
      </c>
      <c r="GJ39" s="270">
        <f t="shared" si="46"/>
        <v>366427.39299999998</v>
      </c>
      <c r="GK39" s="270">
        <f t="shared" si="47"/>
        <v>366427.39299999998</v>
      </c>
      <c r="GT39" s="199" t="s">
        <v>884</v>
      </c>
      <c r="GU39" s="199" t="s">
        <v>885</v>
      </c>
      <c r="GV39" s="199" t="s">
        <v>426</v>
      </c>
      <c r="GW39" s="199" t="s">
        <v>426</v>
      </c>
      <c r="GX39" s="351">
        <v>0</v>
      </c>
      <c r="GY39" s="351">
        <v>366427393</v>
      </c>
      <c r="GZ39" s="351">
        <v>366427393</v>
      </c>
      <c r="HA39" s="225">
        <f t="shared" si="49"/>
        <v>0</v>
      </c>
      <c r="HB39" s="225">
        <f t="shared" si="50"/>
        <v>366427.39299999998</v>
      </c>
      <c r="HC39" s="225">
        <f t="shared" si="51"/>
        <v>366427.39299999998</v>
      </c>
    </row>
    <row r="40" spans="1:211" ht="15" customHeight="1" x14ac:dyDescent="0.2">
      <c r="A40" s="210" t="s">
        <v>431</v>
      </c>
      <c r="B40" s="210" t="s">
        <v>127</v>
      </c>
      <c r="C40" s="210" t="s">
        <v>426</v>
      </c>
      <c r="D40" s="210" t="s">
        <v>426</v>
      </c>
      <c r="E40" s="211">
        <v>0</v>
      </c>
      <c r="F40" s="211">
        <v>0</v>
      </c>
      <c r="G40" s="211">
        <v>0</v>
      </c>
      <c r="H40" s="269">
        <f t="shared" si="8"/>
        <v>0</v>
      </c>
      <c r="I40" s="269">
        <f t="shared" si="9"/>
        <v>0</v>
      </c>
      <c r="J40" s="269">
        <f t="shared" si="10"/>
        <v>0</v>
      </c>
      <c r="S40" s="210" t="s">
        <v>611</v>
      </c>
      <c r="T40" s="212" t="s">
        <v>612</v>
      </c>
      <c r="U40" s="210" t="s">
        <v>426</v>
      </c>
      <c r="V40" s="212" t="s">
        <v>426</v>
      </c>
      <c r="W40" s="211">
        <v>0</v>
      </c>
      <c r="X40" s="211">
        <v>31185000</v>
      </c>
      <c r="Y40" s="211">
        <v>0</v>
      </c>
      <c r="Z40" s="259">
        <f t="shared" si="12"/>
        <v>0</v>
      </c>
      <c r="AA40" s="259">
        <f t="shared" si="13"/>
        <v>32494.77</v>
      </c>
      <c r="AB40" s="259">
        <f t="shared" si="14"/>
        <v>0</v>
      </c>
      <c r="AK40" s="210" t="s">
        <v>611</v>
      </c>
      <c r="AL40" s="210" t="s">
        <v>612</v>
      </c>
      <c r="AM40" s="210" t="s">
        <v>426</v>
      </c>
      <c r="AN40" s="210" t="s">
        <v>426</v>
      </c>
      <c r="AO40" s="211">
        <v>0</v>
      </c>
      <c r="AP40" s="211">
        <v>31185000</v>
      </c>
      <c r="AQ40" s="211">
        <v>0</v>
      </c>
      <c r="AR40" s="211">
        <f t="shared" si="16"/>
        <v>0</v>
      </c>
      <c r="AS40" s="211">
        <f t="shared" si="17"/>
        <v>32494.77</v>
      </c>
      <c r="AT40" s="211">
        <f t="shared" si="18"/>
        <v>0</v>
      </c>
      <c r="BC40" s="210" t="s">
        <v>611</v>
      </c>
      <c r="BD40" s="210" t="s">
        <v>612</v>
      </c>
      <c r="BE40" s="210" t="s">
        <v>426</v>
      </c>
      <c r="BF40" s="210" t="s">
        <v>426</v>
      </c>
      <c r="BG40" s="211">
        <v>41286000</v>
      </c>
      <c r="BH40" s="211">
        <v>0</v>
      </c>
      <c r="BI40" s="211">
        <v>0</v>
      </c>
      <c r="BJ40" s="270">
        <f t="shared" si="20"/>
        <v>43020.012000000002</v>
      </c>
      <c r="BK40" s="270">
        <f t="shared" si="21"/>
        <v>0</v>
      </c>
      <c r="BL40" s="270">
        <f t="shared" si="22"/>
        <v>0</v>
      </c>
      <c r="BU40" s="210" t="s">
        <v>442</v>
      </c>
      <c r="BV40" s="210" t="s">
        <v>443</v>
      </c>
      <c r="BW40" s="210" t="s">
        <v>426</v>
      </c>
      <c r="BX40" s="210" t="s">
        <v>426</v>
      </c>
      <c r="BY40" s="211">
        <v>0</v>
      </c>
      <c r="BZ40" s="211">
        <v>164125526</v>
      </c>
      <c r="CA40" s="211">
        <v>47105907</v>
      </c>
      <c r="CB40" s="211">
        <f t="shared" si="24"/>
        <v>0</v>
      </c>
      <c r="CC40" s="211">
        <f t="shared" si="25"/>
        <v>171018.79809200001</v>
      </c>
      <c r="CD40" s="211">
        <f t="shared" si="26"/>
        <v>49084.355093999999</v>
      </c>
      <c r="CM40" s="210" t="s">
        <v>442</v>
      </c>
      <c r="CN40" s="210" t="s">
        <v>443</v>
      </c>
      <c r="CO40" s="210" t="s">
        <v>426</v>
      </c>
      <c r="CP40" s="210" t="s">
        <v>426</v>
      </c>
      <c r="CQ40" s="211">
        <v>324224000</v>
      </c>
      <c r="CR40" s="211">
        <v>0</v>
      </c>
      <c r="CS40" s="211">
        <v>0</v>
      </c>
      <c r="CT40" s="211">
        <f t="shared" si="28"/>
        <v>337841.408</v>
      </c>
      <c r="CU40" s="211">
        <f t="shared" si="29"/>
        <v>0</v>
      </c>
      <c r="CV40" s="211">
        <f t="shared" si="30"/>
        <v>0</v>
      </c>
      <c r="DE40" s="210" t="s">
        <v>442</v>
      </c>
      <c r="DF40" s="212" t="s">
        <v>443</v>
      </c>
      <c r="DG40" s="210" t="s">
        <v>426</v>
      </c>
      <c r="DH40" s="212" t="s">
        <v>426</v>
      </c>
      <c r="DI40" s="211">
        <v>324224000</v>
      </c>
      <c r="DJ40" s="211">
        <v>0</v>
      </c>
      <c r="DK40" s="211">
        <v>0</v>
      </c>
      <c r="DL40" s="269">
        <f t="shared" si="32"/>
        <v>337841.408</v>
      </c>
      <c r="DM40" s="269">
        <f t="shared" si="33"/>
        <v>0</v>
      </c>
      <c r="DN40" s="269">
        <f t="shared" si="34"/>
        <v>0</v>
      </c>
      <c r="DW40" s="210" t="s">
        <v>440</v>
      </c>
      <c r="DX40" s="212" t="s">
        <v>441</v>
      </c>
      <c r="DY40" s="210" t="s">
        <v>426</v>
      </c>
      <c r="DZ40" s="212" t="s">
        <v>426</v>
      </c>
      <c r="EA40" s="211">
        <v>0</v>
      </c>
      <c r="EB40" s="211">
        <v>357347926</v>
      </c>
      <c r="EC40" s="211">
        <v>298273481</v>
      </c>
      <c r="ED40" s="211">
        <f t="shared" si="36"/>
        <v>0</v>
      </c>
      <c r="EE40" s="211">
        <f t="shared" si="37"/>
        <v>372356.53889199998</v>
      </c>
      <c r="EF40" s="211">
        <f t="shared" si="38"/>
        <v>310800.96720200003</v>
      </c>
      <c r="EP40" s="210" t="s">
        <v>440</v>
      </c>
      <c r="EQ40" s="212" t="s">
        <v>441</v>
      </c>
      <c r="ER40" s="210" t="s">
        <v>426</v>
      </c>
      <c r="ES40" s="210" t="s">
        <v>426</v>
      </c>
      <c r="ET40" s="211">
        <v>0</v>
      </c>
      <c r="EU40" s="211">
        <v>298273481</v>
      </c>
      <c r="EV40" s="211">
        <v>357347926</v>
      </c>
      <c r="EW40" s="274">
        <f t="shared" si="40"/>
        <v>0</v>
      </c>
      <c r="EX40" s="274">
        <f t="shared" si="41"/>
        <v>298273.48100000003</v>
      </c>
      <c r="EY40" s="274">
        <f t="shared" si="42"/>
        <v>357347.92599999998</v>
      </c>
      <c r="FI40" s="345"/>
      <c r="FJ40" s="350" t="s">
        <v>440</v>
      </c>
      <c r="FK40" s="350" t="s">
        <v>441</v>
      </c>
      <c r="FL40" s="350" t="s">
        <v>426</v>
      </c>
      <c r="FM40" s="350" t="s">
        <v>426</v>
      </c>
      <c r="FN40" s="269">
        <v>0</v>
      </c>
      <c r="FO40" s="269">
        <v>357347926</v>
      </c>
      <c r="FP40" s="269">
        <v>317668260</v>
      </c>
      <c r="FQ40" s="269">
        <f t="shared" si="43"/>
        <v>0</v>
      </c>
      <c r="FR40" s="269">
        <f t="shared" si="52"/>
        <v>357347.92599999998</v>
      </c>
      <c r="FS40" s="269">
        <f t="shared" si="53"/>
        <v>317668.26</v>
      </c>
      <c r="FT40" s="345"/>
      <c r="FU40" s="345"/>
      <c r="FV40" s="345"/>
      <c r="GB40" s="199" t="s">
        <v>852</v>
      </c>
      <c r="GC40" s="199" t="s">
        <v>51</v>
      </c>
      <c r="GD40" s="199" t="s">
        <v>426</v>
      </c>
      <c r="GE40" s="199" t="s">
        <v>426</v>
      </c>
      <c r="GF40" s="270">
        <v>0</v>
      </c>
      <c r="GG40" s="270">
        <v>0</v>
      </c>
      <c r="GH40" s="270">
        <v>0</v>
      </c>
      <c r="GI40" s="270">
        <f t="shared" si="45"/>
        <v>0</v>
      </c>
      <c r="GJ40" s="270">
        <f t="shared" si="46"/>
        <v>0</v>
      </c>
      <c r="GK40" s="270">
        <f t="shared" si="47"/>
        <v>0</v>
      </c>
      <c r="GT40" s="199" t="s">
        <v>987</v>
      </c>
      <c r="GU40" s="199" t="s">
        <v>855</v>
      </c>
      <c r="GV40" s="199" t="s">
        <v>426</v>
      </c>
      <c r="GW40" s="199" t="s">
        <v>426</v>
      </c>
      <c r="GX40" s="351">
        <v>2598750</v>
      </c>
      <c r="GY40" s="351">
        <v>0</v>
      </c>
      <c r="GZ40" s="351">
        <v>0</v>
      </c>
      <c r="HA40" s="225">
        <f t="shared" si="49"/>
        <v>2598.75</v>
      </c>
      <c r="HB40" s="225">
        <f t="shared" si="50"/>
        <v>0</v>
      </c>
      <c r="HC40" s="225">
        <f t="shared" si="51"/>
        <v>0</v>
      </c>
    </row>
    <row r="41" spans="1:211" x14ac:dyDescent="0.2">
      <c r="A41" s="210" t="s">
        <v>431</v>
      </c>
      <c r="B41" s="210" t="s">
        <v>127</v>
      </c>
      <c r="C41" s="210" t="s">
        <v>426</v>
      </c>
      <c r="D41" s="210" t="s">
        <v>426</v>
      </c>
      <c r="E41" s="211">
        <v>0</v>
      </c>
      <c r="F41" s="211">
        <v>5995880</v>
      </c>
      <c r="G41" s="211">
        <v>5995880</v>
      </c>
      <c r="H41" s="269">
        <f t="shared" si="8"/>
        <v>0</v>
      </c>
      <c r="I41" s="269">
        <f t="shared" si="9"/>
        <v>6247.7069600000004</v>
      </c>
      <c r="J41" s="269">
        <f t="shared" si="10"/>
        <v>6247.7069600000004</v>
      </c>
      <c r="S41" s="210" t="s">
        <v>613</v>
      </c>
      <c r="T41" s="212" t="s">
        <v>614</v>
      </c>
      <c r="U41" s="210" t="s">
        <v>426</v>
      </c>
      <c r="V41" s="212" t="s">
        <v>426</v>
      </c>
      <c r="W41" s="211">
        <v>58980000</v>
      </c>
      <c r="X41" s="211">
        <v>0</v>
      </c>
      <c r="Y41" s="211">
        <v>0</v>
      </c>
      <c r="Z41" s="259">
        <f t="shared" si="12"/>
        <v>61457.16</v>
      </c>
      <c r="AA41" s="259">
        <f t="shared" si="13"/>
        <v>0</v>
      </c>
      <c r="AB41" s="259">
        <f t="shared" si="14"/>
        <v>0</v>
      </c>
      <c r="AK41" s="210" t="s">
        <v>613</v>
      </c>
      <c r="AL41" s="210" t="s">
        <v>614</v>
      </c>
      <c r="AM41" s="210" t="s">
        <v>426</v>
      </c>
      <c r="AN41" s="210" t="s">
        <v>426</v>
      </c>
      <c r="AO41" s="211">
        <v>58980000</v>
      </c>
      <c r="AP41" s="211">
        <v>0</v>
      </c>
      <c r="AQ41" s="211">
        <v>0</v>
      </c>
      <c r="AR41" s="211">
        <f t="shared" si="16"/>
        <v>61457.16</v>
      </c>
      <c r="AS41" s="211">
        <f t="shared" si="17"/>
        <v>0</v>
      </c>
      <c r="AT41" s="211">
        <f t="shared" si="18"/>
        <v>0</v>
      </c>
      <c r="BC41" s="210" t="s">
        <v>611</v>
      </c>
      <c r="BD41" s="210" t="s">
        <v>612</v>
      </c>
      <c r="BE41" s="210" t="s">
        <v>426</v>
      </c>
      <c r="BF41" s="210" t="s">
        <v>426</v>
      </c>
      <c r="BG41" s="211">
        <v>0</v>
      </c>
      <c r="BH41" s="211">
        <v>31185000</v>
      </c>
      <c r="BI41" s="211">
        <v>2598750</v>
      </c>
      <c r="BJ41" s="270">
        <f t="shared" si="20"/>
        <v>0</v>
      </c>
      <c r="BK41" s="270">
        <f t="shared" si="21"/>
        <v>32494.77</v>
      </c>
      <c r="BL41" s="270">
        <f t="shared" si="22"/>
        <v>2707.8975</v>
      </c>
      <c r="BU41" s="210" t="s">
        <v>501</v>
      </c>
      <c r="BV41" s="210" t="s">
        <v>504</v>
      </c>
      <c r="BW41" s="210" t="s">
        <v>426</v>
      </c>
      <c r="BX41" s="210" t="s">
        <v>426</v>
      </c>
      <c r="BY41" s="211">
        <v>268009000</v>
      </c>
      <c r="BZ41" s="211">
        <v>0</v>
      </c>
      <c r="CA41" s="211">
        <v>0</v>
      </c>
      <c r="CB41" s="211">
        <f t="shared" si="24"/>
        <v>279265.37800000003</v>
      </c>
      <c r="CC41" s="211">
        <f t="shared" si="25"/>
        <v>0</v>
      </c>
      <c r="CD41" s="211">
        <f t="shared" si="26"/>
        <v>0</v>
      </c>
      <c r="CM41" s="210" t="s">
        <v>442</v>
      </c>
      <c r="CN41" s="210" t="s">
        <v>443</v>
      </c>
      <c r="CO41" s="210" t="s">
        <v>426</v>
      </c>
      <c r="CP41" s="210" t="s">
        <v>426</v>
      </c>
      <c r="CQ41" s="211">
        <v>0</v>
      </c>
      <c r="CR41" s="211">
        <v>164125526</v>
      </c>
      <c r="CS41" s="211">
        <v>62519707</v>
      </c>
      <c r="CT41" s="211">
        <f t="shared" si="28"/>
        <v>0</v>
      </c>
      <c r="CU41" s="211">
        <f t="shared" si="29"/>
        <v>171018.79809200001</v>
      </c>
      <c r="CV41" s="211">
        <f t="shared" si="30"/>
        <v>65145.534694000002</v>
      </c>
      <c r="DE41" s="210" t="s">
        <v>442</v>
      </c>
      <c r="DF41" s="212" t="s">
        <v>443</v>
      </c>
      <c r="DG41" s="210" t="s">
        <v>426</v>
      </c>
      <c r="DH41" s="212" t="s">
        <v>426</v>
      </c>
      <c r="DI41" s="211">
        <v>0</v>
      </c>
      <c r="DJ41" s="211">
        <v>164125526</v>
      </c>
      <c r="DK41" s="211">
        <v>92041419</v>
      </c>
      <c r="DL41" s="269">
        <f t="shared" si="32"/>
        <v>0</v>
      </c>
      <c r="DM41" s="269">
        <f t="shared" si="33"/>
        <v>171018.79809200001</v>
      </c>
      <c r="DN41" s="269">
        <f t="shared" si="34"/>
        <v>95907.158597999995</v>
      </c>
      <c r="DW41" s="210" t="s">
        <v>442</v>
      </c>
      <c r="DX41" s="212" t="s">
        <v>443</v>
      </c>
      <c r="DY41" s="210" t="s">
        <v>426</v>
      </c>
      <c r="DZ41" s="212" t="s">
        <v>426</v>
      </c>
      <c r="EA41" s="211">
        <v>324224000</v>
      </c>
      <c r="EB41" s="211">
        <v>0</v>
      </c>
      <c r="EC41" s="211">
        <v>0</v>
      </c>
      <c r="ED41" s="211">
        <f t="shared" si="36"/>
        <v>337841.408</v>
      </c>
      <c r="EE41" s="211">
        <f t="shared" si="37"/>
        <v>0</v>
      </c>
      <c r="EF41" s="211">
        <f t="shared" si="38"/>
        <v>0</v>
      </c>
      <c r="EP41" s="210" t="s">
        <v>442</v>
      </c>
      <c r="EQ41" s="212" t="s">
        <v>443</v>
      </c>
      <c r="ER41" s="210" t="s">
        <v>426</v>
      </c>
      <c r="ES41" s="210" t="s">
        <v>426</v>
      </c>
      <c r="ET41" s="211">
        <v>374224000</v>
      </c>
      <c r="EU41" s="211">
        <v>0</v>
      </c>
      <c r="EV41" s="211">
        <v>0</v>
      </c>
      <c r="EW41" s="274">
        <f t="shared" si="40"/>
        <v>374224</v>
      </c>
      <c r="EX41" s="274">
        <f t="shared" si="41"/>
        <v>0</v>
      </c>
      <c r="EY41" s="274">
        <f t="shared" si="42"/>
        <v>0</v>
      </c>
      <c r="FI41" s="345"/>
      <c r="FJ41" s="350" t="s">
        <v>442</v>
      </c>
      <c r="FK41" s="350" t="s">
        <v>443</v>
      </c>
      <c r="FL41" s="350" t="s">
        <v>426</v>
      </c>
      <c r="FM41" s="350" t="s">
        <v>426</v>
      </c>
      <c r="FN41" s="269">
        <v>374224000</v>
      </c>
      <c r="FO41" s="269">
        <v>0</v>
      </c>
      <c r="FP41" s="269">
        <v>0</v>
      </c>
      <c r="FQ41" s="269">
        <f t="shared" si="43"/>
        <v>374224</v>
      </c>
      <c r="FR41" s="269">
        <f t="shared" si="52"/>
        <v>0</v>
      </c>
      <c r="FS41" s="269">
        <f t="shared" si="53"/>
        <v>0</v>
      </c>
      <c r="FT41" s="345"/>
      <c r="FU41" s="345"/>
      <c r="FV41" s="345"/>
      <c r="GB41" s="199" t="s">
        <v>440</v>
      </c>
      <c r="GC41" s="199" t="s">
        <v>441</v>
      </c>
      <c r="GD41" s="199" t="s">
        <v>426</v>
      </c>
      <c r="GE41" s="199" t="s">
        <v>426</v>
      </c>
      <c r="GF41" s="270">
        <v>512392000</v>
      </c>
      <c r="GG41" s="270">
        <v>0</v>
      </c>
      <c r="GH41" s="270">
        <v>0</v>
      </c>
      <c r="GI41" s="270">
        <f t="shared" si="45"/>
        <v>512392</v>
      </c>
      <c r="GJ41" s="270">
        <f t="shared" si="46"/>
        <v>0</v>
      </c>
      <c r="GK41" s="270">
        <f t="shared" si="47"/>
        <v>0</v>
      </c>
      <c r="GT41" s="199" t="s">
        <v>987</v>
      </c>
      <c r="GU41" s="199" t="s">
        <v>855</v>
      </c>
      <c r="GV41" s="199" t="s">
        <v>426</v>
      </c>
      <c r="GW41" s="199" t="s">
        <v>426</v>
      </c>
      <c r="GX41" s="351">
        <v>0</v>
      </c>
      <c r="GY41" s="351">
        <v>2598750</v>
      </c>
      <c r="GZ41" s="351">
        <v>2598750</v>
      </c>
      <c r="HA41" s="225">
        <f t="shared" si="49"/>
        <v>0</v>
      </c>
      <c r="HB41" s="225">
        <f t="shared" si="50"/>
        <v>2598.75</v>
      </c>
      <c r="HC41" s="225">
        <f t="shared" si="51"/>
        <v>2598.75</v>
      </c>
    </row>
    <row r="42" spans="1:211" x14ac:dyDescent="0.2">
      <c r="A42" s="210" t="s">
        <v>431</v>
      </c>
      <c r="B42" s="210" t="s">
        <v>127</v>
      </c>
      <c r="C42" s="210" t="s">
        <v>426</v>
      </c>
      <c r="D42" s="210" t="s">
        <v>426</v>
      </c>
      <c r="E42" s="211">
        <v>0</v>
      </c>
      <c r="F42" s="211">
        <v>0</v>
      </c>
      <c r="G42" s="211">
        <v>0</v>
      </c>
      <c r="H42" s="269">
        <f t="shared" si="8"/>
        <v>0</v>
      </c>
      <c r="I42" s="269">
        <f t="shared" si="9"/>
        <v>0</v>
      </c>
      <c r="J42" s="269">
        <f t="shared" si="10"/>
        <v>0</v>
      </c>
      <c r="S42" s="210" t="s">
        <v>431</v>
      </c>
      <c r="T42" s="212" t="s">
        <v>127</v>
      </c>
      <c r="U42" s="210" t="s">
        <v>426</v>
      </c>
      <c r="V42" s="212" t="s">
        <v>426</v>
      </c>
      <c r="W42" s="211">
        <v>10100</v>
      </c>
      <c r="X42" s="211">
        <v>0</v>
      </c>
      <c r="Y42" s="211">
        <v>0</v>
      </c>
      <c r="Z42" s="259">
        <f t="shared" si="12"/>
        <v>10.5242</v>
      </c>
      <c r="AA42" s="259">
        <f t="shared" si="13"/>
        <v>0</v>
      </c>
      <c r="AB42" s="259">
        <f t="shared" si="14"/>
        <v>0</v>
      </c>
      <c r="AK42" s="210" t="s">
        <v>431</v>
      </c>
      <c r="AL42" s="210" t="s">
        <v>127</v>
      </c>
      <c r="AM42" s="210" t="s">
        <v>426</v>
      </c>
      <c r="AN42" s="210" t="s">
        <v>426</v>
      </c>
      <c r="AO42" s="211">
        <v>10100</v>
      </c>
      <c r="AP42" s="211">
        <v>0</v>
      </c>
      <c r="AQ42" s="211">
        <v>0</v>
      </c>
      <c r="AR42" s="211">
        <f t="shared" si="16"/>
        <v>10.5242</v>
      </c>
      <c r="AS42" s="211">
        <f t="shared" si="17"/>
        <v>0</v>
      </c>
      <c r="AT42" s="211">
        <f t="shared" si="18"/>
        <v>0</v>
      </c>
      <c r="BC42" s="210" t="s">
        <v>613</v>
      </c>
      <c r="BD42" s="210" t="s">
        <v>614</v>
      </c>
      <c r="BE42" s="210" t="s">
        <v>426</v>
      </c>
      <c r="BF42" s="210" t="s">
        <v>426</v>
      </c>
      <c r="BG42" s="211">
        <v>120000000</v>
      </c>
      <c r="BH42" s="211">
        <v>0</v>
      </c>
      <c r="BI42" s="211">
        <v>0</v>
      </c>
      <c r="BJ42" s="270">
        <f t="shared" si="20"/>
        <v>125040</v>
      </c>
      <c r="BK42" s="270">
        <f t="shared" si="21"/>
        <v>0</v>
      </c>
      <c r="BL42" s="270">
        <f t="shared" si="22"/>
        <v>0</v>
      </c>
      <c r="BU42" s="210" t="s">
        <v>501</v>
      </c>
      <c r="BV42" s="210" t="s">
        <v>504</v>
      </c>
      <c r="BW42" s="210" t="s">
        <v>426</v>
      </c>
      <c r="BX42" s="210" t="s">
        <v>426</v>
      </c>
      <c r="BY42" s="211">
        <v>0</v>
      </c>
      <c r="BZ42" s="211">
        <v>149940000</v>
      </c>
      <c r="CA42" s="211">
        <v>0</v>
      </c>
      <c r="CB42" s="211">
        <f t="shared" si="24"/>
        <v>0</v>
      </c>
      <c r="CC42" s="211">
        <f t="shared" si="25"/>
        <v>156237.48000000001</v>
      </c>
      <c r="CD42" s="211">
        <f t="shared" si="26"/>
        <v>0</v>
      </c>
      <c r="CM42" s="210" t="s">
        <v>501</v>
      </c>
      <c r="CN42" s="210" t="s">
        <v>504</v>
      </c>
      <c r="CO42" s="210" t="s">
        <v>426</v>
      </c>
      <c r="CP42" s="210" t="s">
        <v>426</v>
      </c>
      <c r="CQ42" s="211">
        <v>268009000</v>
      </c>
      <c r="CR42" s="211">
        <v>0</v>
      </c>
      <c r="CS42" s="211">
        <v>0</v>
      </c>
      <c r="CT42" s="211">
        <f t="shared" si="28"/>
        <v>279265.37800000003</v>
      </c>
      <c r="CU42" s="211">
        <f t="shared" si="29"/>
        <v>0</v>
      </c>
      <c r="CV42" s="211">
        <f t="shared" si="30"/>
        <v>0</v>
      </c>
      <c r="DE42" s="210" t="s">
        <v>501</v>
      </c>
      <c r="DF42" s="212" t="s">
        <v>504</v>
      </c>
      <c r="DG42" s="210" t="s">
        <v>426</v>
      </c>
      <c r="DH42" s="212" t="s">
        <v>426</v>
      </c>
      <c r="DI42" s="211">
        <v>268009000</v>
      </c>
      <c r="DJ42" s="211">
        <v>0</v>
      </c>
      <c r="DK42" s="211">
        <v>0</v>
      </c>
      <c r="DL42" s="269">
        <f t="shared" si="32"/>
        <v>279265.37800000003</v>
      </c>
      <c r="DM42" s="269">
        <f t="shared" si="33"/>
        <v>0</v>
      </c>
      <c r="DN42" s="269">
        <f t="shared" si="34"/>
        <v>0</v>
      </c>
      <c r="DW42" s="210" t="s">
        <v>442</v>
      </c>
      <c r="DX42" s="212" t="s">
        <v>443</v>
      </c>
      <c r="DY42" s="210" t="s">
        <v>426</v>
      </c>
      <c r="DZ42" s="212" t="s">
        <v>426</v>
      </c>
      <c r="EA42" s="211">
        <v>0</v>
      </c>
      <c r="EB42" s="211">
        <v>223554131</v>
      </c>
      <c r="EC42" s="211">
        <v>105236932</v>
      </c>
      <c r="ED42" s="211">
        <f t="shared" si="36"/>
        <v>0</v>
      </c>
      <c r="EE42" s="211">
        <f t="shared" si="37"/>
        <v>232943.40450199999</v>
      </c>
      <c r="EF42" s="211">
        <f t="shared" si="38"/>
        <v>109656.88314400001</v>
      </c>
      <c r="EP42" s="210" t="s">
        <v>442</v>
      </c>
      <c r="EQ42" s="212" t="s">
        <v>443</v>
      </c>
      <c r="ER42" s="210" t="s">
        <v>426</v>
      </c>
      <c r="ES42" s="210" t="s">
        <v>426</v>
      </c>
      <c r="ET42" s="211">
        <v>0</v>
      </c>
      <c r="EU42" s="211">
        <v>120838445</v>
      </c>
      <c r="EV42" s="211">
        <v>197874674</v>
      </c>
      <c r="EW42" s="274">
        <f t="shared" si="40"/>
        <v>0</v>
      </c>
      <c r="EX42" s="274">
        <f t="shared" si="41"/>
        <v>120838.44500000001</v>
      </c>
      <c r="EY42" s="274">
        <f t="shared" si="42"/>
        <v>197874.674</v>
      </c>
      <c r="FI42" s="345"/>
      <c r="FJ42" s="350" t="s">
        <v>442</v>
      </c>
      <c r="FK42" s="350" t="s">
        <v>443</v>
      </c>
      <c r="FL42" s="350" t="s">
        <v>426</v>
      </c>
      <c r="FM42" s="350" t="s">
        <v>426</v>
      </c>
      <c r="FN42" s="269">
        <v>0</v>
      </c>
      <c r="FO42" s="269">
        <v>197874674</v>
      </c>
      <c r="FP42" s="269">
        <v>150219622</v>
      </c>
      <c r="FQ42" s="269">
        <f t="shared" si="43"/>
        <v>0</v>
      </c>
      <c r="FR42" s="269">
        <f t="shared" si="52"/>
        <v>197874.674</v>
      </c>
      <c r="FS42" s="269">
        <f t="shared" si="53"/>
        <v>150219.622</v>
      </c>
      <c r="FT42" s="345"/>
      <c r="FU42" s="345"/>
      <c r="FV42" s="345"/>
      <c r="GB42" s="199" t="s">
        <v>440</v>
      </c>
      <c r="GC42" s="199" t="s">
        <v>441</v>
      </c>
      <c r="GD42" s="199" t="s">
        <v>426</v>
      </c>
      <c r="GE42" s="199" t="s">
        <v>426</v>
      </c>
      <c r="GF42" s="270">
        <v>0</v>
      </c>
      <c r="GG42" s="270">
        <v>357409822</v>
      </c>
      <c r="GH42" s="270">
        <v>337063039</v>
      </c>
      <c r="GI42" s="270">
        <f t="shared" si="45"/>
        <v>0</v>
      </c>
      <c r="GJ42" s="270">
        <f t="shared" si="46"/>
        <v>357409.82199999999</v>
      </c>
      <c r="GK42" s="270">
        <f t="shared" si="47"/>
        <v>337063.03899999999</v>
      </c>
      <c r="GT42" s="199" t="s">
        <v>852</v>
      </c>
      <c r="GU42" s="199" t="s">
        <v>51</v>
      </c>
      <c r="GV42" s="199" t="s">
        <v>426</v>
      </c>
      <c r="GW42" s="199" t="s">
        <v>426</v>
      </c>
      <c r="GX42" s="351">
        <v>0</v>
      </c>
      <c r="GY42" s="351">
        <v>0</v>
      </c>
      <c r="GZ42" s="351">
        <v>0</v>
      </c>
      <c r="HA42" s="225">
        <f t="shared" si="49"/>
        <v>0</v>
      </c>
      <c r="HB42" s="225">
        <f t="shared" si="50"/>
        <v>0</v>
      </c>
      <c r="HC42" s="225">
        <f t="shared" si="51"/>
        <v>0</v>
      </c>
    </row>
    <row r="43" spans="1:211" x14ac:dyDescent="0.2">
      <c r="A43" s="210" t="s">
        <v>431</v>
      </c>
      <c r="B43" s="210" t="s">
        <v>127</v>
      </c>
      <c r="C43" s="210" t="s">
        <v>426</v>
      </c>
      <c r="D43" s="210" t="s">
        <v>426</v>
      </c>
      <c r="E43" s="211">
        <v>0</v>
      </c>
      <c r="F43" s="211">
        <v>159772630</v>
      </c>
      <c r="G43" s="211">
        <v>159772630</v>
      </c>
      <c r="H43" s="269">
        <f t="shared" si="8"/>
        <v>0</v>
      </c>
      <c r="I43" s="269">
        <f t="shared" si="9"/>
        <v>166483.08046</v>
      </c>
      <c r="J43" s="269">
        <f t="shared" si="10"/>
        <v>166483.08046</v>
      </c>
      <c r="S43" s="210" t="s">
        <v>431</v>
      </c>
      <c r="T43" s="212" t="s">
        <v>127</v>
      </c>
      <c r="U43" s="210" t="s">
        <v>426</v>
      </c>
      <c r="V43" s="212" t="s">
        <v>426</v>
      </c>
      <c r="W43" s="211">
        <v>0</v>
      </c>
      <c r="X43" s="211">
        <v>107104433</v>
      </c>
      <c r="Y43" s="211">
        <v>107104433</v>
      </c>
      <c r="Z43" s="259">
        <f t="shared" si="12"/>
        <v>0</v>
      </c>
      <c r="AA43" s="259">
        <f t="shared" si="13"/>
        <v>111602.81918600001</v>
      </c>
      <c r="AB43" s="259">
        <f t="shared" si="14"/>
        <v>111602.81918600001</v>
      </c>
      <c r="AK43" s="210" t="s">
        <v>431</v>
      </c>
      <c r="AL43" s="210" t="s">
        <v>127</v>
      </c>
      <c r="AM43" s="210" t="s">
        <v>426</v>
      </c>
      <c r="AN43" s="210" t="s">
        <v>426</v>
      </c>
      <c r="AO43" s="211">
        <v>0</v>
      </c>
      <c r="AP43" s="211">
        <v>107104433</v>
      </c>
      <c r="AQ43" s="211">
        <v>107104433</v>
      </c>
      <c r="AR43" s="211">
        <f t="shared" si="16"/>
        <v>0</v>
      </c>
      <c r="AS43" s="211">
        <f t="shared" si="17"/>
        <v>111602.81918600001</v>
      </c>
      <c r="AT43" s="211">
        <f t="shared" si="18"/>
        <v>111602.81918600001</v>
      </c>
      <c r="BC43" s="210" t="s">
        <v>431</v>
      </c>
      <c r="BD43" s="210" t="s">
        <v>127</v>
      </c>
      <c r="BE43" s="210" t="s">
        <v>426</v>
      </c>
      <c r="BF43" s="210" t="s">
        <v>426</v>
      </c>
      <c r="BG43" s="211">
        <f>10100+BG45+BG47+BG48-10000</f>
        <v>100</v>
      </c>
      <c r="BH43" s="211">
        <v>0</v>
      </c>
      <c r="BI43" s="211">
        <v>0</v>
      </c>
      <c r="BJ43" s="630">
        <v>284333.60660599999</v>
      </c>
      <c r="BK43" s="270">
        <v>284333.60660599999</v>
      </c>
      <c r="BL43" s="270">
        <v>284333.60660599999</v>
      </c>
      <c r="BU43" s="210" t="s">
        <v>611</v>
      </c>
      <c r="BV43" s="210" t="s">
        <v>612</v>
      </c>
      <c r="BW43" s="210" t="s">
        <v>426</v>
      </c>
      <c r="BX43" s="210" t="s">
        <v>426</v>
      </c>
      <c r="BY43" s="211">
        <v>41286000</v>
      </c>
      <c r="BZ43" s="211">
        <v>0</v>
      </c>
      <c r="CA43" s="211">
        <v>0</v>
      </c>
      <c r="CB43" s="211">
        <f t="shared" si="24"/>
        <v>43020.012000000002</v>
      </c>
      <c r="CC43" s="211">
        <f t="shared" si="25"/>
        <v>0</v>
      </c>
      <c r="CD43" s="211">
        <f t="shared" si="26"/>
        <v>0</v>
      </c>
      <c r="CM43" s="210" t="s">
        <v>501</v>
      </c>
      <c r="CN43" s="210" t="s">
        <v>504</v>
      </c>
      <c r="CO43" s="210" t="s">
        <v>426</v>
      </c>
      <c r="CP43" s="210" t="s">
        <v>426</v>
      </c>
      <c r="CQ43" s="211">
        <v>0</v>
      </c>
      <c r="CR43" s="211">
        <v>149940000</v>
      </c>
      <c r="CS43" s="211">
        <v>20991600</v>
      </c>
      <c r="CT43" s="211">
        <f t="shared" si="28"/>
        <v>0</v>
      </c>
      <c r="CU43" s="211">
        <f t="shared" si="29"/>
        <v>156237.48000000001</v>
      </c>
      <c r="CV43" s="211">
        <f t="shared" si="30"/>
        <v>21873.247199999998</v>
      </c>
      <c r="DE43" s="210" t="s">
        <v>501</v>
      </c>
      <c r="DF43" s="212" t="s">
        <v>504</v>
      </c>
      <c r="DG43" s="210" t="s">
        <v>426</v>
      </c>
      <c r="DH43" s="212" t="s">
        <v>426</v>
      </c>
      <c r="DI43" s="211">
        <v>0</v>
      </c>
      <c r="DJ43" s="211">
        <v>149940000</v>
      </c>
      <c r="DK43" s="211">
        <v>20991600</v>
      </c>
      <c r="DL43" s="269">
        <f t="shared" si="32"/>
        <v>0</v>
      </c>
      <c r="DM43" s="269">
        <f t="shared" si="33"/>
        <v>156237.48000000001</v>
      </c>
      <c r="DN43" s="269">
        <f t="shared" si="34"/>
        <v>21873.247199999998</v>
      </c>
      <c r="DW43" s="210" t="s">
        <v>501</v>
      </c>
      <c r="DX43" s="212" t="s">
        <v>504</v>
      </c>
      <c r="DY43" s="210" t="s">
        <v>426</v>
      </c>
      <c r="DZ43" s="212" t="s">
        <v>426</v>
      </c>
      <c r="EA43" s="211">
        <v>268009000</v>
      </c>
      <c r="EB43" s="211">
        <v>0</v>
      </c>
      <c r="EC43" s="211">
        <v>0</v>
      </c>
      <c r="ED43" s="211">
        <f t="shared" si="36"/>
        <v>279265.37800000003</v>
      </c>
      <c r="EE43" s="211">
        <f t="shared" si="37"/>
        <v>0</v>
      </c>
      <c r="EF43" s="211">
        <f t="shared" si="38"/>
        <v>0</v>
      </c>
      <c r="EP43" s="210" t="s">
        <v>501</v>
      </c>
      <c r="EQ43" s="212" t="s">
        <v>504</v>
      </c>
      <c r="ER43" s="210" t="s">
        <v>426</v>
      </c>
      <c r="ES43" s="210" t="s">
        <v>426</v>
      </c>
      <c r="ET43" s="211">
        <v>218009000</v>
      </c>
      <c r="EU43" s="211">
        <v>0</v>
      </c>
      <c r="EV43" s="211">
        <v>0</v>
      </c>
      <c r="EW43" s="274">
        <f t="shared" si="40"/>
        <v>218009</v>
      </c>
      <c r="EX43" s="274">
        <f t="shared" si="41"/>
        <v>0</v>
      </c>
      <c r="EY43" s="274">
        <f t="shared" si="42"/>
        <v>0</v>
      </c>
      <c r="FI43" s="345"/>
      <c r="FJ43" s="350" t="s">
        <v>501</v>
      </c>
      <c r="FK43" s="350" t="s">
        <v>504</v>
      </c>
      <c r="FL43" s="350" t="s">
        <v>426</v>
      </c>
      <c r="FM43" s="350" t="s">
        <v>426</v>
      </c>
      <c r="FN43" s="269">
        <v>218009000</v>
      </c>
      <c r="FO43" s="269">
        <v>0</v>
      </c>
      <c r="FP43" s="269">
        <v>0</v>
      </c>
      <c r="FQ43" s="269">
        <f t="shared" si="43"/>
        <v>218009</v>
      </c>
      <c r="FR43" s="269">
        <f t="shared" si="52"/>
        <v>0</v>
      </c>
      <c r="FS43" s="269">
        <f t="shared" si="53"/>
        <v>0</v>
      </c>
      <c r="FT43" s="345"/>
      <c r="FU43" s="345"/>
      <c r="FV43" s="345"/>
      <c r="GB43" s="199" t="s">
        <v>442</v>
      </c>
      <c r="GC43" s="199" t="s">
        <v>443</v>
      </c>
      <c r="GD43" s="199" t="s">
        <v>426</v>
      </c>
      <c r="GE43" s="199" t="s">
        <v>426</v>
      </c>
      <c r="GF43" s="270">
        <v>374224000</v>
      </c>
      <c r="GG43" s="270">
        <v>0</v>
      </c>
      <c r="GH43" s="270">
        <v>0</v>
      </c>
      <c r="GI43" s="270">
        <f t="shared" si="45"/>
        <v>374224</v>
      </c>
      <c r="GJ43" s="270">
        <f t="shared" si="46"/>
        <v>0</v>
      </c>
      <c r="GK43" s="270">
        <f t="shared" si="47"/>
        <v>0</v>
      </c>
      <c r="GT43" s="199" t="s">
        <v>440</v>
      </c>
      <c r="GU43" s="199" t="s">
        <v>441</v>
      </c>
      <c r="GV43" s="199" t="s">
        <v>426</v>
      </c>
      <c r="GW43" s="199" t="s">
        <v>426</v>
      </c>
      <c r="GX43" s="351">
        <v>624155424</v>
      </c>
      <c r="GY43" s="351">
        <v>0</v>
      </c>
      <c r="GZ43" s="351">
        <v>0</v>
      </c>
      <c r="HA43" s="225">
        <f t="shared" si="49"/>
        <v>624155.424</v>
      </c>
      <c r="HB43" s="225">
        <f t="shared" si="50"/>
        <v>0</v>
      </c>
      <c r="HC43" s="225">
        <f t="shared" si="51"/>
        <v>0</v>
      </c>
    </row>
    <row r="44" spans="1:211" x14ac:dyDescent="0.2">
      <c r="J44" s="270">
        <f>SUBTOTAL(9,J3:J43)</f>
        <v>789654.60551399994</v>
      </c>
      <c r="S44" s="210" t="s">
        <v>431</v>
      </c>
      <c r="T44" s="212" t="s">
        <v>127</v>
      </c>
      <c r="U44" s="210" t="s">
        <v>426</v>
      </c>
      <c r="V44" s="212" t="s">
        <v>426</v>
      </c>
      <c r="W44" s="211">
        <v>0</v>
      </c>
      <c r="X44" s="211">
        <v>0</v>
      </c>
      <c r="Y44" s="211">
        <v>0</v>
      </c>
      <c r="Z44" s="259">
        <f t="shared" si="12"/>
        <v>0</v>
      </c>
      <c r="AA44" s="259">
        <f t="shared" si="13"/>
        <v>0</v>
      </c>
      <c r="AB44" s="259">
        <f t="shared" si="14"/>
        <v>0</v>
      </c>
      <c r="AK44" s="210" t="s">
        <v>431</v>
      </c>
      <c r="AL44" s="210" t="s">
        <v>127</v>
      </c>
      <c r="AM44" s="210" t="s">
        <v>426</v>
      </c>
      <c r="AN44" s="210" t="s">
        <v>426</v>
      </c>
      <c r="AO44" s="211">
        <v>0</v>
      </c>
      <c r="AP44" s="211">
        <v>0</v>
      </c>
      <c r="AQ44" s="211">
        <v>0</v>
      </c>
      <c r="AR44" s="211">
        <f t="shared" si="16"/>
        <v>0</v>
      </c>
      <c r="AS44" s="211">
        <f t="shared" si="17"/>
        <v>0</v>
      </c>
      <c r="AT44" s="211">
        <f t="shared" si="18"/>
        <v>0</v>
      </c>
      <c r="BC44" s="210"/>
      <c r="BD44" s="210"/>
      <c r="BE44" s="210"/>
      <c r="BF44" s="210"/>
      <c r="BG44" s="211"/>
      <c r="BH44" s="211"/>
      <c r="BI44" s="211"/>
      <c r="BJ44" s="202"/>
      <c r="BK44" s="270"/>
      <c r="BL44" s="270"/>
      <c r="BU44" s="210" t="s">
        <v>611</v>
      </c>
      <c r="BV44" s="210" t="s">
        <v>612</v>
      </c>
      <c r="BW44" s="210" t="s">
        <v>426</v>
      </c>
      <c r="BX44" s="210" t="s">
        <v>426</v>
      </c>
      <c r="BY44" s="211">
        <v>0</v>
      </c>
      <c r="BZ44" s="211">
        <v>31185000</v>
      </c>
      <c r="CA44" s="211">
        <v>2598749</v>
      </c>
      <c r="CB44" s="211">
        <f t="shared" si="24"/>
        <v>0</v>
      </c>
      <c r="CC44" s="211">
        <f t="shared" si="25"/>
        <v>32494.77</v>
      </c>
      <c r="CD44" s="211">
        <f t="shared" si="26"/>
        <v>2707.8964579999997</v>
      </c>
      <c r="CM44" s="210" t="s">
        <v>611</v>
      </c>
      <c r="CN44" s="210" t="s">
        <v>612</v>
      </c>
      <c r="CO44" s="210" t="s">
        <v>426</v>
      </c>
      <c r="CP44" s="210" t="s">
        <v>426</v>
      </c>
      <c r="CQ44" s="211">
        <v>41286000</v>
      </c>
      <c r="CR44" s="211">
        <v>0</v>
      </c>
      <c r="CS44" s="211">
        <v>0</v>
      </c>
      <c r="CT44" s="211">
        <f t="shared" si="28"/>
        <v>43020.012000000002</v>
      </c>
      <c r="CU44" s="211">
        <f t="shared" si="29"/>
        <v>0</v>
      </c>
      <c r="CV44" s="211">
        <f t="shared" si="30"/>
        <v>0</v>
      </c>
      <c r="DE44" s="210" t="s">
        <v>611</v>
      </c>
      <c r="DF44" s="212" t="s">
        <v>612</v>
      </c>
      <c r="DG44" s="210" t="s">
        <v>426</v>
      </c>
      <c r="DH44" s="212" t="s">
        <v>426</v>
      </c>
      <c r="DI44" s="211">
        <v>41286000</v>
      </c>
      <c r="DJ44" s="211">
        <v>0</v>
      </c>
      <c r="DK44" s="211">
        <v>0</v>
      </c>
      <c r="DL44" s="269">
        <f t="shared" si="32"/>
        <v>43020.012000000002</v>
      </c>
      <c r="DM44" s="269">
        <f t="shared" si="33"/>
        <v>0</v>
      </c>
      <c r="DN44" s="269">
        <f t="shared" si="34"/>
        <v>0</v>
      </c>
      <c r="DW44" s="210" t="s">
        <v>501</v>
      </c>
      <c r="DX44" s="212" t="s">
        <v>504</v>
      </c>
      <c r="DY44" s="210" t="s">
        <v>426</v>
      </c>
      <c r="DZ44" s="212" t="s">
        <v>426</v>
      </c>
      <c r="EA44" s="211">
        <v>0</v>
      </c>
      <c r="EB44" s="211">
        <v>149940000</v>
      </c>
      <c r="EC44" s="211">
        <v>62974800</v>
      </c>
      <c r="ED44" s="211">
        <f t="shared" si="36"/>
        <v>0</v>
      </c>
      <c r="EE44" s="211">
        <f t="shared" si="37"/>
        <v>156237.48000000001</v>
      </c>
      <c r="EF44" s="211">
        <f t="shared" si="38"/>
        <v>65619.741600000008</v>
      </c>
      <c r="EP44" s="210" t="s">
        <v>501</v>
      </c>
      <c r="EQ44" s="212" t="s">
        <v>504</v>
      </c>
      <c r="ER44" s="210" t="s">
        <v>426</v>
      </c>
      <c r="ES44" s="210" t="s">
        <v>426</v>
      </c>
      <c r="ET44" s="211">
        <v>0</v>
      </c>
      <c r="EU44" s="211">
        <v>83966400</v>
      </c>
      <c r="EV44" s="211">
        <v>149940000</v>
      </c>
      <c r="EW44" s="274">
        <f t="shared" si="40"/>
        <v>0</v>
      </c>
      <c r="EX44" s="274">
        <f t="shared" si="41"/>
        <v>83966.399999999994</v>
      </c>
      <c r="EY44" s="274">
        <f t="shared" si="42"/>
        <v>149940</v>
      </c>
      <c r="FI44" s="345"/>
      <c r="FJ44" s="350" t="s">
        <v>501</v>
      </c>
      <c r="FK44" s="350" t="s">
        <v>504</v>
      </c>
      <c r="FL44" s="350" t="s">
        <v>426</v>
      </c>
      <c r="FM44" s="350" t="s">
        <v>426</v>
      </c>
      <c r="FN44" s="269">
        <v>0</v>
      </c>
      <c r="FO44" s="269">
        <v>149940000</v>
      </c>
      <c r="FP44" s="269">
        <v>104958000</v>
      </c>
      <c r="FQ44" s="269">
        <f t="shared" si="43"/>
        <v>0</v>
      </c>
      <c r="FR44" s="269">
        <f t="shared" si="52"/>
        <v>149940</v>
      </c>
      <c r="FS44" s="269">
        <f t="shared" si="53"/>
        <v>104958</v>
      </c>
      <c r="FT44" s="345"/>
      <c r="FU44" s="345"/>
      <c r="FV44" s="345"/>
      <c r="GB44" s="199" t="s">
        <v>442</v>
      </c>
      <c r="GC44" s="199" t="s">
        <v>443</v>
      </c>
      <c r="GD44" s="199" t="s">
        <v>426</v>
      </c>
      <c r="GE44" s="199" t="s">
        <v>426</v>
      </c>
      <c r="GF44" s="270">
        <v>0</v>
      </c>
      <c r="GG44" s="270">
        <v>197874674</v>
      </c>
      <c r="GH44" s="270">
        <v>157645931</v>
      </c>
      <c r="GI44" s="270">
        <f t="shared" si="45"/>
        <v>0</v>
      </c>
      <c r="GJ44" s="270">
        <f t="shared" si="46"/>
        <v>197874.674</v>
      </c>
      <c r="GK44" s="270">
        <f t="shared" si="47"/>
        <v>157645.93100000001</v>
      </c>
      <c r="GT44" s="199" t="s">
        <v>440</v>
      </c>
      <c r="GU44" s="199" t="s">
        <v>441</v>
      </c>
      <c r="GV44" s="199" t="s">
        <v>426</v>
      </c>
      <c r="GW44" s="199" t="s">
        <v>426</v>
      </c>
      <c r="GX44" s="351">
        <v>0</v>
      </c>
      <c r="GY44" s="351">
        <v>597014227</v>
      </c>
      <c r="GZ44" s="351">
        <v>616409012</v>
      </c>
      <c r="HA44" s="225">
        <f t="shared" si="49"/>
        <v>0</v>
      </c>
      <c r="HB44" s="225">
        <f t="shared" si="50"/>
        <v>597014.22699999996</v>
      </c>
      <c r="HC44" s="225">
        <f t="shared" si="51"/>
        <v>616409.01199999999</v>
      </c>
    </row>
    <row r="45" spans="1:211" x14ac:dyDescent="0.2">
      <c r="J45" s="203"/>
      <c r="S45" s="210" t="s">
        <v>431</v>
      </c>
      <c r="T45" s="212" t="s">
        <v>127</v>
      </c>
      <c r="U45" s="210" t="s">
        <v>426</v>
      </c>
      <c r="V45" s="212" t="s">
        <v>426</v>
      </c>
      <c r="W45" s="211">
        <v>0</v>
      </c>
      <c r="X45" s="211">
        <v>5995880</v>
      </c>
      <c r="Y45" s="211">
        <v>5995880</v>
      </c>
      <c r="Z45" s="259">
        <f t="shared" si="12"/>
        <v>0</v>
      </c>
      <c r="AA45" s="259">
        <f t="shared" si="13"/>
        <v>6247.7069600000004</v>
      </c>
      <c r="AB45" s="259">
        <f t="shared" si="14"/>
        <v>6247.7069600000004</v>
      </c>
      <c r="AK45" s="210" t="s">
        <v>431</v>
      </c>
      <c r="AL45" s="210" t="s">
        <v>127</v>
      </c>
      <c r="AM45" s="210" t="s">
        <v>426</v>
      </c>
      <c r="AN45" s="210" t="s">
        <v>426</v>
      </c>
      <c r="AO45" s="211">
        <v>0</v>
      </c>
      <c r="AP45" s="211">
        <v>5995880</v>
      </c>
      <c r="AQ45" s="211">
        <v>5995880</v>
      </c>
      <c r="AR45" s="211">
        <f t="shared" si="16"/>
        <v>0</v>
      </c>
      <c r="AS45" s="211">
        <f t="shared" si="17"/>
        <v>6247.7069600000004</v>
      </c>
      <c r="AT45" s="211">
        <f t="shared" si="18"/>
        <v>6247.7069600000004</v>
      </c>
      <c r="BC45" s="210"/>
      <c r="BD45" s="210"/>
      <c r="BE45" s="210"/>
      <c r="BF45" s="210"/>
      <c r="BG45" s="211"/>
      <c r="BH45" s="211"/>
      <c r="BI45" s="211"/>
      <c r="BJ45" s="202"/>
      <c r="BK45" s="270"/>
      <c r="BL45" s="270"/>
      <c r="BU45" s="210" t="s">
        <v>613</v>
      </c>
      <c r="BV45" s="210" t="s">
        <v>614</v>
      </c>
      <c r="BW45" s="210" t="s">
        <v>426</v>
      </c>
      <c r="BX45" s="210" t="s">
        <v>426</v>
      </c>
      <c r="BY45" s="211">
        <v>120000000</v>
      </c>
      <c r="BZ45" s="211">
        <v>0</v>
      </c>
      <c r="CA45" s="211">
        <v>0</v>
      </c>
      <c r="CB45" s="211">
        <f t="shared" si="24"/>
        <v>125040</v>
      </c>
      <c r="CC45" s="211">
        <f t="shared" si="25"/>
        <v>0</v>
      </c>
      <c r="CD45" s="211">
        <f t="shared" si="26"/>
        <v>0</v>
      </c>
      <c r="CM45" s="210" t="s">
        <v>611</v>
      </c>
      <c r="CN45" s="210" t="s">
        <v>612</v>
      </c>
      <c r="CO45" s="210" t="s">
        <v>426</v>
      </c>
      <c r="CP45" s="210" t="s">
        <v>426</v>
      </c>
      <c r="CQ45" s="211">
        <v>0</v>
      </c>
      <c r="CR45" s="211">
        <v>31185000</v>
      </c>
      <c r="CS45" s="211">
        <v>7796249</v>
      </c>
      <c r="CT45" s="211">
        <f t="shared" si="28"/>
        <v>0</v>
      </c>
      <c r="CU45" s="211">
        <f t="shared" si="29"/>
        <v>32494.77</v>
      </c>
      <c r="CV45" s="211">
        <f t="shared" si="30"/>
        <v>8123.6914580000002</v>
      </c>
      <c r="DE45" s="210" t="s">
        <v>611</v>
      </c>
      <c r="DF45" s="212" t="s">
        <v>612</v>
      </c>
      <c r="DG45" s="210" t="s">
        <v>426</v>
      </c>
      <c r="DH45" s="212" t="s">
        <v>426</v>
      </c>
      <c r="DI45" s="211">
        <v>0</v>
      </c>
      <c r="DJ45" s="211">
        <v>31185000</v>
      </c>
      <c r="DK45" s="211">
        <v>10394998</v>
      </c>
      <c r="DL45" s="269">
        <f t="shared" si="32"/>
        <v>0</v>
      </c>
      <c r="DM45" s="269">
        <f t="shared" si="33"/>
        <v>32494.77</v>
      </c>
      <c r="DN45" s="269">
        <f t="shared" si="34"/>
        <v>10831.587916</v>
      </c>
      <c r="DW45" s="210" t="s">
        <v>611</v>
      </c>
      <c r="DX45" s="212" t="s">
        <v>612</v>
      </c>
      <c r="DY45" s="210" t="s">
        <v>426</v>
      </c>
      <c r="DZ45" s="212" t="s">
        <v>426</v>
      </c>
      <c r="EA45" s="211">
        <v>41286000</v>
      </c>
      <c r="EB45" s="211">
        <v>0</v>
      </c>
      <c r="EC45" s="211">
        <v>0</v>
      </c>
      <c r="ED45" s="211">
        <f t="shared" si="36"/>
        <v>43020.012000000002</v>
      </c>
      <c r="EE45" s="211">
        <f t="shared" si="37"/>
        <v>0</v>
      </c>
      <c r="EF45" s="211">
        <f t="shared" si="38"/>
        <v>0</v>
      </c>
      <c r="EP45" s="210" t="s">
        <v>611</v>
      </c>
      <c r="EQ45" s="212" t="s">
        <v>612</v>
      </c>
      <c r="ER45" s="210" t="s">
        <v>426</v>
      </c>
      <c r="ES45" s="210" t="s">
        <v>426</v>
      </c>
      <c r="ET45" s="211">
        <v>41286000</v>
      </c>
      <c r="EU45" s="211">
        <v>0</v>
      </c>
      <c r="EV45" s="211">
        <v>0</v>
      </c>
      <c r="EW45" s="274">
        <f t="shared" si="40"/>
        <v>41286</v>
      </c>
      <c r="EX45" s="274">
        <f t="shared" si="41"/>
        <v>0</v>
      </c>
      <c r="EY45" s="274">
        <f t="shared" si="42"/>
        <v>0</v>
      </c>
      <c r="FI45" s="345"/>
      <c r="FJ45" s="350" t="s">
        <v>611</v>
      </c>
      <c r="FK45" s="350" t="s">
        <v>612</v>
      </c>
      <c r="FL45" s="350" t="s">
        <v>426</v>
      </c>
      <c r="FM45" s="350" t="s">
        <v>426</v>
      </c>
      <c r="FN45" s="269">
        <v>41286000</v>
      </c>
      <c r="FO45" s="269">
        <v>0</v>
      </c>
      <c r="FP45" s="269">
        <v>0</v>
      </c>
      <c r="FQ45" s="269">
        <f t="shared" si="43"/>
        <v>41286</v>
      </c>
      <c r="FR45" s="269">
        <f t="shared" si="52"/>
        <v>0</v>
      </c>
      <c r="FS45" s="269">
        <f t="shared" si="53"/>
        <v>0</v>
      </c>
      <c r="FT45" s="345"/>
      <c r="FU45" s="345"/>
      <c r="FV45" s="345"/>
      <c r="GB45" s="199" t="s">
        <v>501</v>
      </c>
      <c r="GC45" s="199" t="s">
        <v>504</v>
      </c>
      <c r="GD45" s="199" t="s">
        <v>426</v>
      </c>
      <c r="GE45" s="199" t="s">
        <v>426</v>
      </c>
      <c r="GF45" s="270">
        <v>150139000</v>
      </c>
      <c r="GG45" s="270">
        <v>0</v>
      </c>
      <c r="GH45" s="270">
        <v>0</v>
      </c>
      <c r="GI45" s="270">
        <f t="shared" si="45"/>
        <v>150139</v>
      </c>
      <c r="GJ45" s="270">
        <f t="shared" si="46"/>
        <v>0</v>
      </c>
      <c r="GK45" s="270">
        <f t="shared" si="47"/>
        <v>0</v>
      </c>
      <c r="GT45" s="199" t="s">
        <v>442</v>
      </c>
      <c r="GU45" s="199" t="s">
        <v>443</v>
      </c>
      <c r="GV45" s="199" t="s">
        <v>426</v>
      </c>
      <c r="GW45" s="199" t="s">
        <v>426</v>
      </c>
      <c r="GX45" s="351">
        <v>289348076</v>
      </c>
      <c r="GY45" s="351">
        <v>0</v>
      </c>
      <c r="GZ45" s="351">
        <v>0</v>
      </c>
      <c r="HA45" s="225">
        <f t="shared" si="49"/>
        <v>289348.076</v>
      </c>
      <c r="HB45" s="225">
        <f t="shared" si="50"/>
        <v>0</v>
      </c>
      <c r="HC45" s="225">
        <f t="shared" si="51"/>
        <v>0</v>
      </c>
    </row>
    <row r="46" spans="1:211" x14ac:dyDescent="0.2">
      <c r="S46" s="210" t="s">
        <v>431</v>
      </c>
      <c r="T46" s="212" t="s">
        <v>127</v>
      </c>
      <c r="U46" s="210" t="s">
        <v>426</v>
      </c>
      <c r="V46" s="212" t="s">
        <v>426</v>
      </c>
      <c r="W46" s="211">
        <v>0</v>
      </c>
      <c r="X46" s="211">
        <v>0</v>
      </c>
      <c r="Y46" s="211">
        <v>0</v>
      </c>
      <c r="Z46" s="259">
        <f t="shared" si="12"/>
        <v>0</v>
      </c>
      <c r="AA46" s="259">
        <f t="shared" si="13"/>
        <v>0</v>
      </c>
      <c r="AB46" s="259">
        <f t="shared" si="14"/>
        <v>0</v>
      </c>
      <c r="AK46" s="210" t="s">
        <v>431</v>
      </c>
      <c r="AL46" s="210" t="s">
        <v>127</v>
      </c>
      <c r="AM46" s="210" t="s">
        <v>426</v>
      </c>
      <c r="AN46" s="210" t="s">
        <v>426</v>
      </c>
      <c r="AO46" s="211">
        <v>0</v>
      </c>
      <c r="AP46" s="211">
        <v>0</v>
      </c>
      <c r="AQ46" s="211">
        <v>0</v>
      </c>
      <c r="AR46" s="211">
        <f t="shared" si="16"/>
        <v>0</v>
      </c>
      <c r="AS46" s="211">
        <f t="shared" si="17"/>
        <v>0</v>
      </c>
      <c r="AT46" s="211">
        <f t="shared" si="18"/>
        <v>0</v>
      </c>
      <c r="BC46" s="210"/>
      <c r="BD46" s="210"/>
      <c r="BE46" s="210"/>
      <c r="BF46" s="210"/>
      <c r="BG46" s="211"/>
      <c r="BH46" s="211"/>
      <c r="BI46" s="211"/>
      <c r="BJ46" s="202"/>
      <c r="BK46" s="270"/>
      <c r="BL46" s="270"/>
      <c r="BU46" s="210" t="s">
        <v>431</v>
      </c>
      <c r="BV46" s="210" t="s">
        <v>127</v>
      </c>
      <c r="BW46" s="210" t="s">
        <v>426</v>
      </c>
      <c r="BX46" s="210" t="s">
        <v>426</v>
      </c>
      <c r="BY46" s="211">
        <v>272873100</v>
      </c>
      <c r="BZ46" s="211">
        <v>0</v>
      </c>
      <c r="CA46" s="211">
        <v>0</v>
      </c>
      <c r="CB46" s="211">
        <f t="shared" si="24"/>
        <v>284333.77019999997</v>
      </c>
      <c r="CC46" s="211">
        <f t="shared" si="25"/>
        <v>0</v>
      </c>
      <c r="CD46" s="211">
        <f t="shared" si="26"/>
        <v>0</v>
      </c>
      <c r="CM46" s="210" t="s">
        <v>613</v>
      </c>
      <c r="CN46" s="210" t="s">
        <v>614</v>
      </c>
      <c r="CO46" s="210" t="s">
        <v>426</v>
      </c>
      <c r="CP46" s="210" t="s">
        <v>426</v>
      </c>
      <c r="CQ46" s="211">
        <v>120000000</v>
      </c>
      <c r="CR46" s="211">
        <v>0</v>
      </c>
      <c r="CS46" s="211">
        <v>0</v>
      </c>
      <c r="CT46" s="211">
        <f t="shared" si="28"/>
        <v>125040</v>
      </c>
      <c r="CU46" s="211">
        <f t="shared" si="29"/>
        <v>0</v>
      </c>
      <c r="CV46" s="211">
        <f t="shared" si="30"/>
        <v>0</v>
      </c>
      <c r="DE46" s="210" t="s">
        <v>613</v>
      </c>
      <c r="DF46" s="212" t="s">
        <v>614</v>
      </c>
      <c r="DG46" s="210" t="s">
        <v>426</v>
      </c>
      <c r="DH46" s="212" t="s">
        <v>426</v>
      </c>
      <c r="DI46" s="211">
        <v>120000000</v>
      </c>
      <c r="DJ46" s="211">
        <v>0</v>
      </c>
      <c r="DK46" s="211">
        <v>0</v>
      </c>
      <c r="DL46" s="269">
        <f t="shared" si="32"/>
        <v>125040</v>
      </c>
      <c r="DM46" s="269">
        <f t="shared" si="33"/>
        <v>0</v>
      </c>
      <c r="DN46" s="269">
        <f t="shared" si="34"/>
        <v>0</v>
      </c>
      <c r="DW46" s="210" t="s">
        <v>611</v>
      </c>
      <c r="DX46" s="212" t="s">
        <v>612</v>
      </c>
      <c r="DY46" s="210" t="s">
        <v>426</v>
      </c>
      <c r="DZ46" s="212" t="s">
        <v>426</v>
      </c>
      <c r="EA46" s="211">
        <v>0</v>
      </c>
      <c r="EB46" s="211">
        <v>31185000</v>
      </c>
      <c r="EC46" s="211">
        <v>10394998</v>
      </c>
      <c r="ED46" s="211">
        <f t="shared" si="36"/>
        <v>0</v>
      </c>
      <c r="EE46" s="211">
        <f t="shared" si="37"/>
        <v>32494.77</v>
      </c>
      <c r="EF46" s="211">
        <f t="shared" si="38"/>
        <v>10831.587916</v>
      </c>
      <c r="EP46" s="210" t="s">
        <v>611</v>
      </c>
      <c r="EQ46" s="212" t="s">
        <v>612</v>
      </c>
      <c r="ER46" s="210" t="s">
        <v>426</v>
      </c>
      <c r="ES46" s="210" t="s">
        <v>426</v>
      </c>
      <c r="ET46" s="211">
        <v>0</v>
      </c>
      <c r="EU46" s="211">
        <v>20789994</v>
      </c>
      <c r="EV46" s="211">
        <v>31185000</v>
      </c>
      <c r="EW46" s="274">
        <f t="shared" si="40"/>
        <v>0</v>
      </c>
      <c r="EX46" s="274">
        <f t="shared" si="41"/>
        <v>20789.993999999999</v>
      </c>
      <c r="EY46" s="274">
        <f t="shared" si="42"/>
        <v>31185</v>
      </c>
      <c r="FI46" s="345"/>
      <c r="FJ46" s="350" t="s">
        <v>611</v>
      </c>
      <c r="FK46" s="350" t="s">
        <v>612</v>
      </c>
      <c r="FL46" s="350" t="s">
        <v>426</v>
      </c>
      <c r="FM46" s="350" t="s">
        <v>426</v>
      </c>
      <c r="FN46" s="269">
        <v>0</v>
      </c>
      <c r="FO46" s="269">
        <v>31185000</v>
      </c>
      <c r="FP46" s="269">
        <v>20789994</v>
      </c>
      <c r="FQ46" s="269">
        <f t="shared" si="43"/>
        <v>0</v>
      </c>
      <c r="FR46" s="269">
        <f t="shared" si="52"/>
        <v>31185</v>
      </c>
      <c r="FS46" s="269">
        <f t="shared" si="53"/>
        <v>20789.993999999999</v>
      </c>
      <c r="FT46" s="345"/>
      <c r="FU46" s="345"/>
      <c r="FV46" s="345"/>
      <c r="GB46" s="199" t="s">
        <v>501</v>
      </c>
      <c r="GC46" s="199" t="s">
        <v>504</v>
      </c>
      <c r="GD46" s="199" t="s">
        <v>426</v>
      </c>
      <c r="GE46" s="199" t="s">
        <v>426</v>
      </c>
      <c r="GF46" s="270">
        <v>0</v>
      </c>
      <c r="GG46" s="270">
        <v>149940000</v>
      </c>
      <c r="GH46" s="270">
        <v>125949600</v>
      </c>
      <c r="GI46" s="270">
        <f t="shared" si="45"/>
        <v>0</v>
      </c>
      <c r="GJ46" s="270">
        <f t="shared" si="46"/>
        <v>149940</v>
      </c>
      <c r="GK46" s="270">
        <f t="shared" si="47"/>
        <v>125949.6</v>
      </c>
      <c r="GT46" s="199" t="s">
        <v>442</v>
      </c>
      <c r="GU46" s="199" t="s">
        <v>443</v>
      </c>
      <c r="GV46" s="199" t="s">
        <v>426</v>
      </c>
      <c r="GW46" s="199" t="s">
        <v>426</v>
      </c>
      <c r="GX46" s="351">
        <v>0</v>
      </c>
      <c r="GY46" s="351">
        <v>232164671</v>
      </c>
      <c r="GZ46" s="351">
        <v>232164671</v>
      </c>
      <c r="HA46" s="225">
        <f t="shared" si="49"/>
        <v>0</v>
      </c>
      <c r="HB46" s="225">
        <f t="shared" si="50"/>
        <v>232164.671</v>
      </c>
      <c r="HC46" s="225">
        <f t="shared" si="51"/>
        <v>232164.671</v>
      </c>
    </row>
    <row r="47" spans="1:211" x14ac:dyDescent="0.2">
      <c r="S47" s="210" t="s">
        <v>431</v>
      </c>
      <c r="T47" s="212" t="s">
        <v>127</v>
      </c>
      <c r="U47" s="210" t="s">
        <v>426</v>
      </c>
      <c r="V47" s="212" t="s">
        <v>426</v>
      </c>
      <c r="W47" s="211">
        <v>0</v>
      </c>
      <c r="X47" s="211">
        <v>159772630</v>
      </c>
      <c r="Y47" s="211">
        <v>159772630</v>
      </c>
      <c r="Z47" s="259">
        <f t="shared" si="12"/>
        <v>0</v>
      </c>
      <c r="AA47" s="259">
        <f t="shared" si="13"/>
        <v>166483.08046</v>
      </c>
      <c r="AB47" s="259">
        <f t="shared" si="14"/>
        <v>166483.08046</v>
      </c>
      <c r="AK47" s="210" t="s">
        <v>431</v>
      </c>
      <c r="AL47" s="210" t="s">
        <v>127</v>
      </c>
      <c r="AM47" s="210" t="s">
        <v>426</v>
      </c>
      <c r="AN47" s="210" t="s">
        <v>426</v>
      </c>
      <c r="AO47" s="211">
        <v>0</v>
      </c>
      <c r="AP47" s="211">
        <v>159772630</v>
      </c>
      <c r="AQ47" s="211">
        <v>159772630</v>
      </c>
      <c r="AR47" s="211">
        <f t="shared" si="16"/>
        <v>0</v>
      </c>
      <c r="AS47" s="211">
        <f t="shared" si="17"/>
        <v>166483.08046</v>
      </c>
      <c r="AT47" s="211">
        <f t="shared" si="18"/>
        <v>166483.08046</v>
      </c>
      <c r="BC47" s="210"/>
      <c r="BD47" s="210"/>
      <c r="BE47" s="210"/>
      <c r="BF47" s="210"/>
      <c r="BG47" s="211"/>
      <c r="BH47" s="211"/>
      <c r="BI47" s="211"/>
      <c r="BJ47" s="202"/>
      <c r="BK47" s="270"/>
      <c r="BL47" s="270"/>
      <c r="BU47" s="210" t="s">
        <v>431</v>
      </c>
      <c r="BV47" s="210" t="s">
        <v>127</v>
      </c>
      <c r="BW47" s="210" t="s">
        <v>426</v>
      </c>
      <c r="BX47" s="210" t="s">
        <v>426</v>
      </c>
      <c r="BY47" s="211">
        <v>0</v>
      </c>
      <c r="BZ47" s="211">
        <v>0</v>
      </c>
      <c r="CA47" s="211">
        <v>0</v>
      </c>
      <c r="CB47" s="211">
        <f t="shared" si="24"/>
        <v>0</v>
      </c>
      <c r="CC47" s="211">
        <f t="shared" si="25"/>
        <v>0</v>
      </c>
      <c r="CD47" s="211">
        <f t="shared" si="26"/>
        <v>0</v>
      </c>
      <c r="CM47" s="210" t="s">
        <v>431</v>
      </c>
      <c r="CN47" s="210" t="s">
        <v>127</v>
      </c>
      <c r="CO47" s="210" t="s">
        <v>426</v>
      </c>
      <c r="CP47" s="210" t="s">
        <v>426</v>
      </c>
      <c r="CQ47" s="211">
        <v>272873100</v>
      </c>
      <c r="CR47" s="211">
        <v>0</v>
      </c>
      <c r="CS47" s="211">
        <v>0</v>
      </c>
      <c r="CT47" s="211">
        <f t="shared" si="28"/>
        <v>284333.77019999997</v>
      </c>
      <c r="CU47" s="211">
        <f t="shared" si="29"/>
        <v>0</v>
      </c>
      <c r="CV47" s="211">
        <f t="shared" si="30"/>
        <v>0</v>
      </c>
      <c r="DE47" s="210" t="s">
        <v>431</v>
      </c>
      <c r="DF47" s="212" t="s">
        <v>127</v>
      </c>
      <c r="DG47" s="210" t="s">
        <v>426</v>
      </c>
      <c r="DH47" s="212" t="s">
        <v>426</v>
      </c>
      <c r="DI47" s="211">
        <v>272873100</v>
      </c>
      <c r="DJ47" s="211">
        <v>0</v>
      </c>
      <c r="DK47" s="211">
        <v>0</v>
      </c>
      <c r="DL47" s="269">
        <f t="shared" si="32"/>
        <v>284333.77019999997</v>
      </c>
      <c r="DM47" s="269">
        <f t="shared" si="33"/>
        <v>0</v>
      </c>
      <c r="DN47" s="269">
        <f t="shared" si="34"/>
        <v>0</v>
      </c>
      <c r="DW47" s="210" t="s">
        <v>613</v>
      </c>
      <c r="DX47" s="212" t="s">
        <v>614</v>
      </c>
      <c r="DY47" s="210" t="s">
        <v>426</v>
      </c>
      <c r="DZ47" s="212" t="s">
        <v>426</v>
      </c>
      <c r="EA47" s="211">
        <v>120000000</v>
      </c>
      <c r="EB47" s="211">
        <v>0</v>
      </c>
      <c r="EC47" s="211">
        <v>0</v>
      </c>
      <c r="ED47" s="211">
        <f t="shared" si="36"/>
        <v>125040</v>
      </c>
      <c r="EE47" s="211">
        <f t="shared" si="37"/>
        <v>0</v>
      </c>
      <c r="EF47" s="211">
        <f t="shared" si="38"/>
        <v>0</v>
      </c>
      <c r="EP47" s="210" t="s">
        <v>613</v>
      </c>
      <c r="EQ47" s="212" t="s">
        <v>614</v>
      </c>
      <c r="ER47" s="210" t="s">
        <v>426</v>
      </c>
      <c r="ES47" s="210" t="s">
        <v>426</v>
      </c>
      <c r="ET47" s="211">
        <v>120000000</v>
      </c>
      <c r="EU47" s="211">
        <v>0</v>
      </c>
      <c r="EV47" s="211">
        <v>0</v>
      </c>
      <c r="EW47" s="274">
        <f t="shared" si="40"/>
        <v>120000</v>
      </c>
      <c r="EX47" s="274">
        <f t="shared" si="41"/>
        <v>0</v>
      </c>
      <c r="EY47" s="274">
        <f t="shared" si="42"/>
        <v>0</v>
      </c>
      <c r="FI47" s="345"/>
      <c r="FJ47" s="350" t="s">
        <v>613</v>
      </c>
      <c r="FK47" s="350" t="s">
        <v>614</v>
      </c>
      <c r="FL47" s="350" t="s">
        <v>426</v>
      </c>
      <c r="FM47" s="350" t="s">
        <v>426</v>
      </c>
      <c r="FN47" s="269">
        <v>120000000</v>
      </c>
      <c r="FO47" s="269">
        <v>0</v>
      </c>
      <c r="FP47" s="269">
        <v>0</v>
      </c>
      <c r="FQ47" s="269">
        <f t="shared" si="43"/>
        <v>120000</v>
      </c>
      <c r="FR47" s="269">
        <f t="shared" si="52"/>
        <v>0</v>
      </c>
      <c r="FS47" s="269">
        <f t="shared" si="53"/>
        <v>0</v>
      </c>
      <c r="FT47" s="345"/>
      <c r="FU47" s="345"/>
      <c r="FV47" s="345"/>
      <c r="GB47" s="199" t="s">
        <v>611</v>
      </c>
      <c r="GC47" s="199" t="s">
        <v>612</v>
      </c>
      <c r="GD47" s="199" t="s">
        <v>426</v>
      </c>
      <c r="GE47" s="199" t="s">
        <v>426</v>
      </c>
      <c r="GF47" s="270">
        <v>32485000</v>
      </c>
      <c r="GG47" s="270">
        <v>0</v>
      </c>
      <c r="GH47" s="270">
        <v>0</v>
      </c>
      <c r="GI47" s="270">
        <f t="shared" si="45"/>
        <v>32485</v>
      </c>
      <c r="GJ47" s="270">
        <f t="shared" si="46"/>
        <v>0</v>
      </c>
      <c r="GK47" s="270">
        <f t="shared" si="47"/>
        <v>0</v>
      </c>
      <c r="GT47" s="199" t="s">
        <v>501</v>
      </c>
      <c r="GU47" s="199" t="s">
        <v>504</v>
      </c>
      <c r="GV47" s="199" t="s">
        <v>426</v>
      </c>
      <c r="GW47" s="199" t="s">
        <v>426</v>
      </c>
      <c r="GX47" s="351">
        <v>149940000</v>
      </c>
      <c r="GY47" s="351">
        <v>0</v>
      </c>
      <c r="GZ47" s="351">
        <v>0</v>
      </c>
      <c r="HA47" s="225">
        <f t="shared" si="49"/>
        <v>149940</v>
      </c>
      <c r="HB47" s="225">
        <f t="shared" si="50"/>
        <v>0</v>
      </c>
      <c r="HC47" s="225">
        <f t="shared" si="51"/>
        <v>0</v>
      </c>
    </row>
    <row r="48" spans="1:211" x14ac:dyDescent="0.2">
      <c r="Z48" s="275"/>
      <c r="AR48" s="211">
        <f t="shared" si="16"/>
        <v>0</v>
      </c>
      <c r="AS48" s="211">
        <f t="shared" si="17"/>
        <v>0</v>
      </c>
      <c r="AT48" s="211">
        <f t="shared" si="18"/>
        <v>0</v>
      </c>
      <c r="BC48" s="210"/>
      <c r="BD48" s="210"/>
      <c r="BE48" s="210"/>
      <c r="BF48" s="210"/>
      <c r="BG48" s="211"/>
      <c r="BH48" s="211"/>
      <c r="BI48" s="211"/>
      <c r="BJ48" s="202"/>
      <c r="BK48" s="270"/>
      <c r="BL48" s="270"/>
      <c r="BU48" s="210" t="s">
        <v>431</v>
      </c>
      <c r="BV48" s="210" t="s">
        <v>127</v>
      </c>
      <c r="BW48" s="210" t="s">
        <v>426</v>
      </c>
      <c r="BX48" s="210" t="s">
        <v>426</v>
      </c>
      <c r="BY48" s="211">
        <v>0</v>
      </c>
      <c r="BZ48" s="211">
        <v>107104433</v>
      </c>
      <c r="CA48" s="211">
        <v>107104433</v>
      </c>
      <c r="CB48" s="211">
        <f t="shared" si="24"/>
        <v>0</v>
      </c>
      <c r="CC48" s="211">
        <f t="shared" si="25"/>
        <v>111602.81918600001</v>
      </c>
      <c r="CD48" s="211">
        <f t="shared" si="26"/>
        <v>111602.81918600001</v>
      </c>
      <c r="CM48" s="210" t="s">
        <v>431</v>
      </c>
      <c r="CN48" s="210" t="s">
        <v>127</v>
      </c>
      <c r="CO48" s="210" t="s">
        <v>426</v>
      </c>
      <c r="CP48" s="210" t="s">
        <v>426</v>
      </c>
      <c r="CQ48" s="211">
        <v>0</v>
      </c>
      <c r="CR48" s="211">
        <v>0</v>
      </c>
      <c r="CS48" s="211">
        <v>0</v>
      </c>
      <c r="CT48" s="211">
        <f t="shared" si="28"/>
        <v>0</v>
      </c>
      <c r="CU48" s="211">
        <f t="shared" si="29"/>
        <v>0</v>
      </c>
      <c r="CV48" s="211">
        <f t="shared" si="30"/>
        <v>0</v>
      </c>
      <c r="DE48" s="210" t="s">
        <v>431</v>
      </c>
      <c r="DF48" s="212" t="s">
        <v>127</v>
      </c>
      <c r="DG48" s="210" t="s">
        <v>426</v>
      </c>
      <c r="DH48" s="212" t="s">
        <v>426</v>
      </c>
      <c r="DI48" s="211">
        <v>0</v>
      </c>
      <c r="DJ48" s="211">
        <v>107104433</v>
      </c>
      <c r="DK48" s="211">
        <v>107104433</v>
      </c>
      <c r="DL48" s="269">
        <f t="shared" si="32"/>
        <v>0</v>
      </c>
      <c r="DM48" s="269">
        <f t="shared" si="33"/>
        <v>111602.81918600001</v>
      </c>
      <c r="DN48" s="269">
        <f t="shared" si="34"/>
        <v>111602.81918600001</v>
      </c>
      <c r="DW48" s="210" t="s">
        <v>431</v>
      </c>
      <c r="DX48" s="212" t="s">
        <v>127</v>
      </c>
      <c r="DY48" s="210" t="s">
        <v>426</v>
      </c>
      <c r="DZ48" s="212" t="s">
        <v>426</v>
      </c>
      <c r="EA48" s="211">
        <v>272873100</v>
      </c>
      <c r="EB48" s="211">
        <v>0</v>
      </c>
      <c r="EC48" s="211">
        <v>0</v>
      </c>
      <c r="ED48" s="211">
        <f t="shared" si="36"/>
        <v>284333.77019999997</v>
      </c>
      <c r="EE48" s="211">
        <f t="shared" si="37"/>
        <v>0</v>
      </c>
      <c r="EF48" s="211">
        <f t="shared" si="38"/>
        <v>0</v>
      </c>
      <c r="EP48" s="210" t="s">
        <v>431</v>
      </c>
      <c r="EQ48" s="212" t="s">
        <v>127</v>
      </c>
      <c r="ER48" s="210" t="s">
        <v>426</v>
      </c>
      <c r="ES48" s="210" t="s">
        <v>426</v>
      </c>
      <c r="ET48" s="211">
        <v>272873100</v>
      </c>
      <c r="EU48" s="211">
        <v>0</v>
      </c>
      <c r="EV48" s="211">
        <v>0</v>
      </c>
      <c r="EW48" s="274">
        <f t="shared" si="40"/>
        <v>272873.09999999998</v>
      </c>
      <c r="EX48" s="274">
        <f t="shared" si="41"/>
        <v>0</v>
      </c>
      <c r="EY48" s="274">
        <f t="shared" si="42"/>
        <v>0</v>
      </c>
      <c r="FI48" s="345"/>
      <c r="FJ48" s="350" t="s">
        <v>431</v>
      </c>
      <c r="FK48" s="350" t="s">
        <v>127</v>
      </c>
      <c r="FL48" s="350" t="s">
        <v>426</v>
      </c>
      <c r="FM48" s="350" t="s">
        <v>426</v>
      </c>
      <c r="FN48" s="269">
        <v>272873100</v>
      </c>
      <c r="FO48" s="269">
        <v>0</v>
      </c>
      <c r="FP48" s="269">
        <v>0</v>
      </c>
      <c r="FQ48" s="269">
        <f t="shared" si="43"/>
        <v>272873.09999999998</v>
      </c>
      <c r="FR48" s="269">
        <f t="shared" si="52"/>
        <v>0</v>
      </c>
      <c r="FS48" s="269">
        <f t="shared" si="53"/>
        <v>0</v>
      </c>
      <c r="FT48" s="345"/>
      <c r="FU48" s="345"/>
      <c r="FV48" s="345"/>
      <c r="GB48" s="199" t="s">
        <v>611</v>
      </c>
      <c r="GC48" s="199" t="s">
        <v>612</v>
      </c>
      <c r="GD48" s="199" t="s">
        <v>426</v>
      </c>
      <c r="GE48" s="199" t="s">
        <v>426</v>
      </c>
      <c r="GF48" s="270">
        <v>0</v>
      </c>
      <c r="GG48" s="270">
        <v>32196500</v>
      </c>
      <c r="GH48" s="270">
        <v>23388743</v>
      </c>
      <c r="GI48" s="270">
        <f t="shared" si="45"/>
        <v>0</v>
      </c>
      <c r="GJ48" s="270">
        <f t="shared" si="46"/>
        <v>32196.5</v>
      </c>
      <c r="GK48" s="270">
        <f t="shared" si="47"/>
        <v>23388.742999999999</v>
      </c>
      <c r="GT48" s="199" t="s">
        <v>501</v>
      </c>
      <c r="GU48" s="199" t="s">
        <v>504</v>
      </c>
      <c r="GV48" s="199" t="s">
        <v>426</v>
      </c>
      <c r="GW48" s="199" t="s">
        <v>426</v>
      </c>
      <c r="GX48" s="351">
        <v>0</v>
      </c>
      <c r="GY48" s="351">
        <v>149940000</v>
      </c>
      <c r="GZ48" s="351">
        <v>149940000</v>
      </c>
      <c r="HA48" s="225">
        <f t="shared" si="49"/>
        <v>0</v>
      </c>
      <c r="HB48" s="225">
        <f t="shared" si="50"/>
        <v>149940</v>
      </c>
      <c r="HC48" s="225">
        <f t="shared" si="51"/>
        <v>149940</v>
      </c>
    </row>
    <row r="49" spans="26:211" x14ac:dyDescent="0.2">
      <c r="Z49" s="203"/>
      <c r="BJ49" s="202"/>
      <c r="BK49" s="202"/>
      <c r="BL49" s="202"/>
      <c r="BU49" s="210" t="s">
        <v>431</v>
      </c>
      <c r="BV49" s="210" t="s">
        <v>127</v>
      </c>
      <c r="BW49" s="210" t="s">
        <v>426</v>
      </c>
      <c r="BX49" s="210" t="s">
        <v>426</v>
      </c>
      <c r="BY49" s="211">
        <v>0</v>
      </c>
      <c r="BZ49" s="211">
        <v>159772630</v>
      </c>
      <c r="CA49" s="211">
        <v>159772630</v>
      </c>
      <c r="CB49" s="211">
        <f t="shared" si="24"/>
        <v>0</v>
      </c>
      <c r="CC49" s="211">
        <f t="shared" si="25"/>
        <v>166483.08046</v>
      </c>
      <c r="CD49" s="211">
        <f t="shared" si="26"/>
        <v>166483.08046</v>
      </c>
      <c r="CM49" s="210" t="s">
        <v>431</v>
      </c>
      <c r="CN49" s="210" t="s">
        <v>127</v>
      </c>
      <c r="CO49" s="210" t="s">
        <v>426</v>
      </c>
      <c r="CP49" s="210" t="s">
        <v>426</v>
      </c>
      <c r="CQ49" s="211">
        <v>0</v>
      </c>
      <c r="CR49" s="211">
        <v>5995880</v>
      </c>
      <c r="CS49" s="211">
        <v>5995880</v>
      </c>
      <c r="CT49" s="211">
        <f t="shared" si="28"/>
        <v>0</v>
      </c>
      <c r="CU49" s="211">
        <f t="shared" si="29"/>
        <v>6247.7069600000004</v>
      </c>
      <c r="CV49" s="211">
        <f t="shared" si="30"/>
        <v>6247.7069600000004</v>
      </c>
      <c r="DE49" s="210" t="s">
        <v>431</v>
      </c>
      <c r="DF49" s="212" t="s">
        <v>127</v>
      </c>
      <c r="DG49" s="210" t="s">
        <v>426</v>
      </c>
      <c r="DH49" s="212" t="s">
        <v>426</v>
      </c>
      <c r="DI49" s="211">
        <v>0</v>
      </c>
      <c r="DJ49" s="211">
        <v>0</v>
      </c>
      <c r="DK49" s="211">
        <v>0</v>
      </c>
      <c r="DL49" s="269">
        <f t="shared" si="32"/>
        <v>0</v>
      </c>
      <c r="DM49" s="269">
        <f t="shared" si="33"/>
        <v>0</v>
      </c>
      <c r="DN49" s="269">
        <f t="shared" si="34"/>
        <v>0</v>
      </c>
      <c r="DW49" s="210" t="s">
        <v>431</v>
      </c>
      <c r="DX49" s="212" t="s">
        <v>127</v>
      </c>
      <c r="DY49" s="210" t="s">
        <v>426</v>
      </c>
      <c r="DZ49" s="212" t="s">
        <v>426</v>
      </c>
      <c r="EA49" s="211">
        <v>0</v>
      </c>
      <c r="EB49" s="211">
        <v>107104433</v>
      </c>
      <c r="EC49" s="211">
        <v>107104433</v>
      </c>
      <c r="ED49" s="211">
        <f t="shared" si="36"/>
        <v>0</v>
      </c>
      <c r="EE49" s="211">
        <f t="shared" si="37"/>
        <v>111602.81918600001</v>
      </c>
      <c r="EF49" s="211">
        <f t="shared" si="38"/>
        <v>111602.81918600001</v>
      </c>
      <c r="EP49" s="210" t="s">
        <v>431</v>
      </c>
      <c r="EQ49" s="212" t="s">
        <v>127</v>
      </c>
      <c r="ER49" s="210" t="s">
        <v>426</v>
      </c>
      <c r="ES49" s="210" t="s">
        <v>426</v>
      </c>
      <c r="ET49" s="211">
        <v>0</v>
      </c>
      <c r="EU49" s="211">
        <v>159772630</v>
      </c>
      <c r="EV49" s="211">
        <v>159772630</v>
      </c>
      <c r="EW49" s="274">
        <f t="shared" si="40"/>
        <v>0</v>
      </c>
      <c r="EX49" s="274">
        <f t="shared" si="41"/>
        <v>159772.63</v>
      </c>
      <c r="EY49" s="274">
        <f t="shared" si="42"/>
        <v>159772.63</v>
      </c>
      <c r="FI49" s="345"/>
      <c r="FJ49" s="350" t="s">
        <v>431</v>
      </c>
      <c r="FK49" s="350" t="s">
        <v>127</v>
      </c>
      <c r="FL49" s="350" t="s">
        <v>426</v>
      </c>
      <c r="FM49" s="350" t="s">
        <v>426</v>
      </c>
      <c r="FN49" s="269">
        <v>0</v>
      </c>
      <c r="FO49" s="269">
        <v>159772630</v>
      </c>
      <c r="FP49" s="269">
        <v>159772630</v>
      </c>
      <c r="FQ49" s="269">
        <f t="shared" si="43"/>
        <v>0</v>
      </c>
      <c r="FR49" s="269">
        <f t="shared" si="52"/>
        <v>159772.63</v>
      </c>
      <c r="FS49" s="269">
        <f t="shared" si="53"/>
        <v>159772.63</v>
      </c>
      <c r="FT49" s="345"/>
      <c r="FU49" s="345"/>
      <c r="FV49" s="345"/>
      <c r="GB49" s="199" t="s">
        <v>613</v>
      </c>
      <c r="GC49" s="199" t="s">
        <v>614</v>
      </c>
      <c r="GD49" s="199" t="s">
        <v>426</v>
      </c>
      <c r="GE49" s="199" t="s">
        <v>426</v>
      </c>
      <c r="GF49" s="270">
        <v>68000000</v>
      </c>
      <c r="GG49" s="270">
        <v>0</v>
      </c>
      <c r="GH49" s="270">
        <v>0</v>
      </c>
      <c r="GI49" s="270">
        <f t="shared" si="45"/>
        <v>68000</v>
      </c>
      <c r="GJ49" s="270">
        <f t="shared" si="46"/>
        <v>0</v>
      </c>
      <c r="GK49" s="270">
        <f t="shared" si="47"/>
        <v>0</v>
      </c>
      <c r="GT49" s="199" t="s">
        <v>611</v>
      </c>
      <c r="GU49" s="199" t="s">
        <v>612</v>
      </c>
      <c r="GV49" s="199" t="s">
        <v>426</v>
      </c>
      <c r="GW49" s="199" t="s">
        <v>426</v>
      </c>
      <c r="GX49" s="351">
        <v>32196500</v>
      </c>
      <c r="GY49" s="351">
        <v>0</v>
      </c>
      <c r="GZ49" s="351">
        <v>0</v>
      </c>
      <c r="HA49" s="225">
        <f t="shared" si="49"/>
        <v>32196.5</v>
      </c>
      <c r="HB49" s="225">
        <f t="shared" si="50"/>
        <v>0</v>
      </c>
      <c r="HC49" s="225">
        <f t="shared" si="51"/>
        <v>0</v>
      </c>
    </row>
    <row r="50" spans="26:211" x14ac:dyDescent="0.2">
      <c r="BJ50" s="202"/>
      <c r="BU50" s="210" t="s">
        <v>431</v>
      </c>
      <c r="BV50" s="210" t="s">
        <v>127</v>
      </c>
      <c r="BW50" s="210" t="s">
        <v>426</v>
      </c>
      <c r="BX50" s="210" t="s">
        <v>426</v>
      </c>
      <c r="BY50" s="211">
        <v>0</v>
      </c>
      <c r="BZ50" s="211">
        <v>0</v>
      </c>
      <c r="CA50" s="211">
        <v>0</v>
      </c>
      <c r="CB50" s="211">
        <f t="shared" si="24"/>
        <v>0</v>
      </c>
      <c r="CC50" s="211">
        <f t="shared" si="25"/>
        <v>0</v>
      </c>
      <c r="CD50" s="211">
        <f t="shared" si="26"/>
        <v>0</v>
      </c>
      <c r="CM50" s="210" t="s">
        <v>431</v>
      </c>
      <c r="CN50" s="210" t="s">
        <v>127</v>
      </c>
      <c r="CO50" s="210" t="s">
        <v>426</v>
      </c>
      <c r="CP50" s="210" t="s">
        <v>426</v>
      </c>
      <c r="CQ50" s="211">
        <v>0</v>
      </c>
      <c r="CR50" s="211">
        <v>0</v>
      </c>
      <c r="CS50" s="211">
        <v>0</v>
      </c>
      <c r="CT50" s="211">
        <f t="shared" si="28"/>
        <v>0</v>
      </c>
      <c r="CU50" s="211">
        <f t="shared" si="29"/>
        <v>0</v>
      </c>
      <c r="CV50" s="211">
        <f t="shared" si="30"/>
        <v>0</v>
      </c>
      <c r="DE50" s="210" t="s">
        <v>431</v>
      </c>
      <c r="DF50" s="212" t="s">
        <v>127</v>
      </c>
      <c r="DG50" s="210" t="s">
        <v>426</v>
      </c>
      <c r="DH50" s="212" t="s">
        <v>426</v>
      </c>
      <c r="DI50" s="211">
        <v>0</v>
      </c>
      <c r="DJ50" s="211">
        <v>5995880</v>
      </c>
      <c r="DK50" s="211">
        <v>5995880</v>
      </c>
      <c r="DL50" s="269">
        <f t="shared" si="32"/>
        <v>0</v>
      </c>
      <c r="DM50" s="269">
        <f t="shared" si="33"/>
        <v>6247.7069600000004</v>
      </c>
      <c r="DN50" s="269">
        <f t="shared" si="34"/>
        <v>6247.7069600000004</v>
      </c>
      <c r="DW50" s="210" t="s">
        <v>431</v>
      </c>
      <c r="DX50" s="212" t="s">
        <v>127</v>
      </c>
      <c r="DY50" s="210" t="s">
        <v>426</v>
      </c>
      <c r="DZ50" s="212" t="s">
        <v>426</v>
      </c>
      <c r="EA50" s="211">
        <v>0</v>
      </c>
      <c r="EB50" s="211">
        <v>0</v>
      </c>
      <c r="EC50" s="211">
        <v>0</v>
      </c>
      <c r="ED50" s="211">
        <f t="shared" si="36"/>
        <v>0</v>
      </c>
      <c r="EE50" s="211">
        <f t="shared" si="37"/>
        <v>0</v>
      </c>
      <c r="EF50" s="211">
        <f t="shared" si="38"/>
        <v>0</v>
      </c>
      <c r="EP50" s="210" t="s">
        <v>431</v>
      </c>
      <c r="EQ50" s="212" t="s">
        <v>127</v>
      </c>
      <c r="ER50" s="210" t="s">
        <v>426</v>
      </c>
      <c r="ES50" s="210" t="s">
        <v>426</v>
      </c>
      <c r="ET50" s="211">
        <v>0</v>
      </c>
      <c r="EU50" s="211">
        <v>0</v>
      </c>
      <c r="EV50" s="211">
        <v>0</v>
      </c>
      <c r="EW50" s="274">
        <f t="shared" si="40"/>
        <v>0</v>
      </c>
      <c r="EX50" s="274">
        <f t="shared" si="41"/>
        <v>0</v>
      </c>
      <c r="EY50" s="274">
        <f t="shared" si="42"/>
        <v>0</v>
      </c>
      <c r="FI50" s="345"/>
      <c r="FJ50" s="350" t="s">
        <v>431</v>
      </c>
      <c r="FK50" s="350" t="s">
        <v>127</v>
      </c>
      <c r="FL50" s="350" t="s">
        <v>426</v>
      </c>
      <c r="FM50" s="350" t="s">
        <v>426</v>
      </c>
      <c r="FN50" s="269">
        <v>0</v>
      </c>
      <c r="FO50" s="269">
        <v>0</v>
      </c>
      <c r="FP50" s="269">
        <v>0</v>
      </c>
      <c r="FQ50" s="269">
        <f t="shared" si="43"/>
        <v>0</v>
      </c>
      <c r="FR50" s="269">
        <f t="shared" si="52"/>
        <v>0</v>
      </c>
      <c r="FS50" s="269">
        <f t="shared" si="53"/>
        <v>0</v>
      </c>
      <c r="FT50" s="345"/>
      <c r="FU50" s="345"/>
      <c r="FV50" s="345"/>
      <c r="GB50" s="199" t="s">
        <v>431</v>
      </c>
      <c r="GC50" s="199" t="s">
        <v>127</v>
      </c>
      <c r="GD50" s="199" t="s">
        <v>426</v>
      </c>
      <c r="GE50" s="199" t="s">
        <v>426</v>
      </c>
      <c r="GF50" s="270">
        <v>272873100</v>
      </c>
      <c r="GG50" s="270">
        <v>0</v>
      </c>
      <c r="GH50" s="270">
        <v>0</v>
      </c>
      <c r="GI50" s="270">
        <f t="shared" si="45"/>
        <v>272873.09999999998</v>
      </c>
      <c r="GJ50" s="270">
        <f t="shared" si="46"/>
        <v>0</v>
      </c>
      <c r="GK50" s="270">
        <f t="shared" si="47"/>
        <v>0</v>
      </c>
      <c r="GT50" s="199" t="s">
        <v>611</v>
      </c>
      <c r="GU50" s="199" t="s">
        <v>612</v>
      </c>
      <c r="GV50" s="199" t="s">
        <v>426</v>
      </c>
      <c r="GW50" s="199" t="s">
        <v>426</v>
      </c>
      <c r="GX50" s="351">
        <v>0</v>
      </c>
      <c r="GY50" s="351">
        <v>29597741</v>
      </c>
      <c r="GZ50" s="351">
        <v>29597741</v>
      </c>
      <c r="HA50" s="225">
        <f t="shared" si="49"/>
        <v>0</v>
      </c>
      <c r="HB50" s="225">
        <f t="shared" si="50"/>
        <v>29597.741000000002</v>
      </c>
      <c r="HC50" s="225">
        <f t="shared" si="51"/>
        <v>29597.741000000002</v>
      </c>
    </row>
    <row r="51" spans="26:211" x14ac:dyDescent="0.2">
      <c r="BU51" s="210" t="s">
        <v>431</v>
      </c>
      <c r="BV51" s="210" t="s">
        <v>127</v>
      </c>
      <c r="BW51" s="210" t="s">
        <v>426</v>
      </c>
      <c r="BX51" s="210" t="s">
        <v>426</v>
      </c>
      <c r="BY51" s="211">
        <v>0</v>
      </c>
      <c r="BZ51" s="211">
        <v>5995880</v>
      </c>
      <c r="CA51" s="211">
        <v>5995880</v>
      </c>
      <c r="CB51" s="211">
        <f t="shared" si="24"/>
        <v>0</v>
      </c>
      <c r="CC51" s="211">
        <f t="shared" si="25"/>
        <v>6247.7069600000004</v>
      </c>
      <c r="CD51" s="211">
        <f t="shared" si="26"/>
        <v>6247.7069600000004</v>
      </c>
      <c r="CM51" s="210" t="s">
        <v>431</v>
      </c>
      <c r="CN51" s="210" t="s">
        <v>127</v>
      </c>
      <c r="CO51" s="210" t="s">
        <v>426</v>
      </c>
      <c r="CP51" s="210" t="s">
        <v>426</v>
      </c>
      <c r="CQ51" s="211">
        <v>0</v>
      </c>
      <c r="CR51" s="211">
        <v>159772630</v>
      </c>
      <c r="CS51" s="211">
        <v>159772630</v>
      </c>
      <c r="CT51" s="211">
        <f t="shared" si="28"/>
        <v>0</v>
      </c>
      <c r="CU51" s="211">
        <f t="shared" si="29"/>
        <v>166483.08046</v>
      </c>
      <c r="CV51" s="211">
        <f t="shared" si="30"/>
        <v>166483.08046</v>
      </c>
      <c r="DE51" s="210" t="s">
        <v>431</v>
      </c>
      <c r="DF51" s="212" t="s">
        <v>127</v>
      </c>
      <c r="DG51" s="210" t="s">
        <v>426</v>
      </c>
      <c r="DH51" s="212" t="s">
        <v>426</v>
      </c>
      <c r="DI51" s="211">
        <v>0</v>
      </c>
      <c r="DJ51" s="211">
        <v>0</v>
      </c>
      <c r="DK51" s="211">
        <v>0</v>
      </c>
      <c r="DL51" s="269">
        <f t="shared" si="32"/>
        <v>0</v>
      </c>
      <c r="DM51" s="269">
        <f t="shared" si="33"/>
        <v>0</v>
      </c>
      <c r="DN51" s="269">
        <f t="shared" si="34"/>
        <v>0</v>
      </c>
      <c r="DW51" s="210" t="s">
        <v>431</v>
      </c>
      <c r="DX51" s="212" t="s">
        <v>127</v>
      </c>
      <c r="DY51" s="210" t="s">
        <v>426</v>
      </c>
      <c r="DZ51" s="212" t="s">
        <v>426</v>
      </c>
      <c r="EA51" s="211">
        <v>0</v>
      </c>
      <c r="EB51" s="211">
        <v>5995880</v>
      </c>
      <c r="EC51" s="211">
        <v>5995880</v>
      </c>
      <c r="ED51" s="211">
        <f t="shared" si="36"/>
        <v>0</v>
      </c>
      <c r="EE51" s="211">
        <f t="shared" si="37"/>
        <v>6247.7069600000004</v>
      </c>
      <c r="EF51" s="211">
        <f t="shared" si="38"/>
        <v>6247.7069600000004</v>
      </c>
      <c r="EP51" s="210" t="s">
        <v>431</v>
      </c>
      <c r="EQ51" s="212" t="s">
        <v>127</v>
      </c>
      <c r="ER51" s="210" t="s">
        <v>426</v>
      </c>
      <c r="ES51" s="210" t="s">
        <v>426</v>
      </c>
      <c r="ET51" s="211">
        <v>0</v>
      </c>
      <c r="EU51" s="211">
        <v>0</v>
      </c>
      <c r="EV51" s="211">
        <v>0</v>
      </c>
      <c r="EW51" s="274">
        <f t="shared" si="40"/>
        <v>0</v>
      </c>
      <c r="EX51" s="274">
        <f t="shared" si="41"/>
        <v>0</v>
      </c>
      <c r="EY51" s="274">
        <f t="shared" si="42"/>
        <v>0</v>
      </c>
      <c r="FI51" s="345"/>
      <c r="FJ51" s="350" t="s">
        <v>431</v>
      </c>
      <c r="FK51" s="350" t="s">
        <v>127</v>
      </c>
      <c r="FL51" s="350" t="s">
        <v>426</v>
      </c>
      <c r="FM51" s="350" t="s">
        <v>426</v>
      </c>
      <c r="FN51" s="269">
        <v>0</v>
      </c>
      <c r="FO51" s="269">
        <v>0</v>
      </c>
      <c r="FP51" s="269">
        <v>0</v>
      </c>
      <c r="FQ51" s="269">
        <f t="shared" si="43"/>
        <v>0</v>
      </c>
      <c r="FR51" s="269">
        <f t="shared" si="52"/>
        <v>0</v>
      </c>
      <c r="FS51" s="269">
        <f t="shared" si="53"/>
        <v>0</v>
      </c>
      <c r="FT51" s="345"/>
      <c r="FU51" s="345"/>
      <c r="FV51" s="345"/>
      <c r="GB51" s="199" t="s">
        <v>431</v>
      </c>
      <c r="GC51" s="199" t="s">
        <v>127</v>
      </c>
      <c r="GD51" s="199" t="s">
        <v>426</v>
      </c>
      <c r="GE51" s="199" t="s">
        <v>426</v>
      </c>
      <c r="GF51" s="270">
        <v>0</v>
      </c>
      <c r="GG51" s="270">
        <v>159772630</v>
      </c>
      <c r="GH51" s="270">
        <v>159772630</v>
      </c>
      <c r="GI51" s="270">
        <f t="shared" si="45"/>
        <v>0</v>
      </c>
      <c r="GJ51" s="270">
        <f t="shared" si="46"/>
        <v>159772.63</v>
      </c>
      <c r="GK51" s="270">
        <f t="shared" si="47"/>
        <v>159772.63</v>
      </c>
      <c r="GT51" s="199" t="s">
        <v>613</v>
      </c>
      <c r="GU51" s="199" t="s">
        <v>614</v>
      </c>
      <c r="GV51" s="199" t="s">
        <v>426</v>
      </c>
      <c r="GW51" s="199" t="s">
        <v>426</v>
      </c>
      <c r="GX51" s="351">
        <v>41600000</v>
      </c>
      <c r="GY51" s="351">
        <v>0</v>
      </c>
      <c r="GZ51" s="351">
        <v>0</v>
      </c>
      <c r="HA51" s="225">
        <f t="shared" si="49"/>
        <v>41600</v>
      </c>
      <c r="HB51" s="225">
        <f t="shared" si="50"/>
        <v>0</v>
      </c>
      <c r="HC51" s="225">
        <f t="shared" si="51"/>
        <v>0</v>
      </c>
    </row>
    <row r="52" spans="26:211" x14ac:dyDescent="0.2">
      <c r="BJ52" s="351">
        <f>+BJ49/2</f>
        <v>0</v>
      </c>
      <c r="CB52" s="275">
        <f>SUM(CB3:CB51)</f>
        <v>8215744.9681999991</v>
      </c>
      <c r="CC52" s="275">
        <f t="shared" ref="CC52:CD52" si="54">SUM(CC3:CC51)</f>
        <v>4656942.920016001</v>
      </c>
      <c r="CD52" s="275">
        <f t="shared" si="54"/>
        <v>2823916.3110180004</v>
      </c>
      <c r="CM52" s="210" t="s">
        <v>431</v>
      </c>
      <c r="CN52" s="210" t="s">
        <v>127</v>
      </c>
      <c r="CO52" s="210" t="s">
        <v>426</v>
      </c>
      <c r="CP52" s="210" t="s">
        <v>426</v>
      </c>
      <c r="CQ52" s="211">
        <v>0</v>
      </c>
      <c r="CR52" s="211">
        <v>107104433</v>
      </c>
      <c r="CS52" s="211">
        <v>107104433</v>
      </c>
      <c r="CT52" s="211">
        <f t="shared" si="28"/>
        <v>0</v>
      </c>
      <c r="CU52" s="211">
        <f t="shared" si="29"/>
        <v>111602.81918600001</v>
      </c>
      <c r="CV52" s="211">
        <f t="shared" si="30"/>
        <v>111602.81918600001</v>
      </c>
      <c r="DE52" s="210" t="s">
        <v>431</v>
      </c>
      <c r="DF52" s="212" t="s">
        <v>127</v>
      </c>
      <c r="DG52" s="210" t="s">
        <v>426</v>
      </c>
      <c r="DH52" s="212" t="s">
        <v>426</v>
      </c>
      <c r="DI52" s="211">
        <v>0</v>
      </c>
      <c r="DJ52" s="211">
        <v>159772630</v>
      </c>
      <c r="DK52" s="211">
        <v>159772630</v>
      </c>
      <c r="DL52" s="269">
        <f t="shared" si="32"/>
        <v>0</v>
      </c>
      <c r="DM52" s="269">
        <f t="shared" si="33"/>
        <v>166483.08046</v>
      </c>
      <c r="DN52" s="269">
        <f t="shared" si="34"/>
        <v>166483.08046</v>
      </c>
      <c r="DW52" s="210" t="s">
        <v>431</v>
      </c>
      <c r="DX52" s="212" t="s">
        <v>127</v>
      </c>
      <c r="DY52" s="210" t="s">
        <v>426</v>
      </c>
      <c r="DZ52" s="212" t="s">
        <v>426</v>
      </c>
      <c r="EA52" s="211">
        <v>0</v>
      </c>
      <c r="EB52" s="211">
        <v>0</v>
      </c>
      <c r="EC52" s="211">
        <v>0</v>
      </c>
      <c r="ED52" s="211">
        <f t="shared" si="36"/>
        <v>0</v>
      </c>
      <c r="EE52" s="211">
        <f t="shared" si="37"/>
        <v>0</v>
      </c>
      <c r="EF52" s="211">
        <f t="shared" si="38"/>
        <v>0</v>
      </c>
      <c r="EP52" s="210" t="s">
        <v>431</v>
      </c>
      <c r="EQ52" s="212" t="s">
        <v>127</v>
      </c>
      <c r="ER52" s="210" t="s">
        <v>426</v>
      </c>
      <c r="ES52" s="210" t="s">
        <v>426</v>
      </c>
      <c r="ET52" s="211">
        <v>0</v>
      </c>
      <c r="EU52" s="211">
        <v>107104433</v>
      </c>
      <c r="EV52" s="211">
        <v>107104433</v>
      </c>
      <c r="EW52" s="274">
        <f t="shared" si="40"/>
        <v>0</v>
      </c>
      <c r="EX52" s="274">
        <f t="shared" si="41"/>
        <v>107104.433</v>
      </c>
      <c r="EY52" s="274">
        <f t="shared" si="42"/>
        <v>107104.433</v>
      </c>
      <c r="FJ52" s="221" t="s">
        <v>431</v>
      </c>
      <c r="FK52" s="221" t="s">
        <v>127</v>
      </c>
      <c r="FL52" s="221" t="s">
        <v>426</v>
      </c>
      <c r="FM52" s="221" t="s">
        <v>426</v>
      </c>
      <c r="FN52" s="270">
        <v>0</v>
      </c>
      <c r="FO52" s="270">
        <v>107104433</v>
      </c>
      <c r="FP52" s="270">
        <v>107104433</v>
      </c>
      <c r="FQ52" s="270">
        <f t="shared" si="43"/>
        <v>0</v>
      </c>
      <c r="FR52" s="270">
        <f t="shared" si="52"/>
        <v>107104.433</v>
      </c>
      <c r="FS52" s="270">
        <f t="shared" si="53"/>
        <v>107104.433</v>
      </c>
      <c r="GB52" s="199" t="s">
        <v>431</v>
      </c>
      <c r="GC52" s="199" t="s">
        <v>127</v>
      </c>
      <c r="GD52" s="199" t="s">
        <v>426</v>
      </c>
      <c r="GE52" s="199" t="s">
        <v>426</v>
      </c>
      <c r="GF52" s="270">
        <v>0</v>
      </c>
      <c r="GG52" s="270">
        <v>0</v>
      </c>
      <c r="GH52" s="270">
        <v>0</v>
      </c>
      <c r="GI52" s="270">
        <f t="shared" si="45"/>
        <v>0</v>
      </c>
      <c r="GJ52" s="270">
        <f t="shared" si="46"/>
        <v>0</v>
      </c>
      <c r="GK52" s="270">
        <f t="shared" si="47"/>
        <v>0</v>
      </c>
      <c r="GT52" s="199" t="s">
        <v>613</v>
      </c>
      <c r="GU52" s="199" t="s">
        <v>614</v>
      </c>
      <c r="GV52" s="199" t="s">
        <v>426</v>
      </c>
      <c r="GW52" s="199" t="s">
        <v>426</v>
      </c>
      <c r="GX52" s="351">
        <v>0</v>
      </c>
      <c r="GY52" s="351">
        <v>41284336</v>
      </c>
      <c r="GZ52" s="351">
        <v>41284336</v>
      </c>
      <c r="HA52" s="225">
        <f t="shared" si="49"/>
        <v>0</v>
      </c>
      <c r="HB52" s="225">
        <f t="shared" si="50"/>
        <v>41284.336000000003</v>
      </c>
      <c r="HC52" s="225">
        <f t="shared" si="51"/>
        <v>41284.336000000003</v>
      </c>
    </row>
    <row r="53" spans="26:211" x14ac:dyDescent="0.2">
      <c r="CT53" s="275">
        <f>SUM(CT3:CT52)</f>
        <v>8215744.9681999991</v>
      </c>
      <c r="CU53" s="275">
        <f t="shared" ref="CU53:CV53" si="55">SUM(CU3:CU52)</f>
        <v>4711542.9593560006</v>
      </c>
      <c r="CV53" s="275">
        <f t="shared" si="55"/>
        <v>3098231.5825740006</v>
      </c>
      <c r="DW53" s="210" t="s">
        <v>431</v>
      </c>
      <c r="DX53" s="212" t="s">
        <v>127</v>
      </c>
      <c r="DY53" s="210" t="s">
        <v>426</v>
      </c>
      <c r="DZ53" s="212" t="s">
        <v>426</v>
      </c>
      <c r="EA53" s="211">
        <v>0</v>
      </c>
      <c r="EB53" s="211">
        <v>159772630</v>
      </c>
      <c r="EC53" s="211">
        <v>159772630</v>
      </c>
      <c r="ED53" s="211">
        <f t="shared" si="36"/>
        <v>0</v>
      </c>
      <c r="EE53" s="211">
        <f t="shared" si="37"/>
        <v>166483.08046</v>
      </c>
      <c r="EF53" s="211">
        <f t="shared" si="38"/>
        <v>166483.08046</v>
      </c>
      <c r="EP53" s="210" t="s">
        <v>431</v>
      </c>
      <c r="EQ53" s="212" t="s">
        <v>127</v>
      </c>
      <c r="ER53" s="210" t="s">
        <v>426</v>
      </c>
      <c r="ES53" s="210" t="s">
        <v>426</v>
      </c>
      <c r="ET53" s="211">
        <v>0</v>
      </c>
      <c r="EU53" s="211">
        <v>5995880</v>
      </c>
      <c r="EV53" s="211">
        <v>5995880</v>
      </c>
      <c r="EW53" s="274">
        <f t="shared" si="40"/>
        <v>0</v>
      </c>
      <c r="EX53" s="274">
        <f t="shared" si="41"/>
        <v>5995.88</v>
      </c>
      <c r="EY53" s="274">
        <f t="shared" si="42"/>
        <v>5995.88</v>
      </c>
      <c r="FJ53" s="221" t="s">
        <v>431</v>
      </c>
      <c r="FK53" s="221" t="s">
        <v>127</v>
      </c>
      <c r="FL53" s="221" t="s">
        <v>426</v>
      </c>
      <c r="FM53" s="221" t="s">
        <v>426</v>
      </c>
      <c r="FN53" s="270">
        <v>0</v>
      </c>
      <c r="FO53" s="270">
        <v>5995880</v>
      </c>
      <c r="FP53" s="270">
        <v>5995880</v>
      </c>
      <c r="FQ53" s="270">
        <f t="shared" si="43"/>
        <v>0</v>
      </c>
      <c r="FR53" s="270">
        <f t="shared" si="52"/>
        <v>5995.88</v>
      </c>
      <c r="FS53" s="270">
        <f t="shared" si="53"/>
        <v>5995.88</v>
      </c>
      <c r="GB53" s="199" t="s">
        <v>431</v>
      </c>
      <c r="GC53" s="199" t="s">
        <v>127</v>
      </c>
      <c r="GD53" s="199" t="s">
        <v>426</v>
      </c>
      <c r="GE53" s="199" t="s">
        <v>426</v>
      </c>
      <c r="GF53" s="270">
        <v>0</v>
      </c>
      <c r="GG53" s="270">
        <v>0</v>
      </c>
      <c r="GH53" s="270">
        <v>0</v>
      </c>
      <c r="GI53" s="270">
        <f t="shared" si="45"/>
        <v>0</v>
      </c>
      <c r="GJ53" s="270">
        <f t="shared" si="46"/>
        <v>0</v>
      </c>
      <c r="GK53" s="270">
        <f t="shared" si="47"/>
        <v>0</v>
      </c>
      <c r="GT53" s="199" t="s">
        <v>431</v>
      </c>
      <c r="GU53" s="199" t="s">
        <v>127</v>
      </c>
      <c r="GV53" s="199" t="s">
        <v>426</v>
      </c>
      <c r="GW53" s="199" t="s">
        <v>426</v>
      </c>
      <c r="GX53" s="351">
        <v>272873100</v>
      </c>
      <c r="GY53" s="351">
        <v>0</v>
      </c>
      <c r="GZ53" s="351">
        <v>0</v>
      </c>
      <c r="HA53" s="225">
        <f t="shared" si="49"/>
        <v>272873.09999999998</v>
      </c>
      <c r="HB53" s="225">
        <f t="shared" si="50"/>
        <v>0</v>
      </c>
      <c r="HC53" s="225">
        <f t="shared" si="51"/>
        <v>0</v>
      </c>
    </row>
    <row r="54" spans="26:211" x14ac:dyDescent="0.2">
      <c r="CT54" s="203"/>
      <c r="CU54" s="203"/>
      <c r="EW54" s="274">
        <f t="shared" si="40"/>
        <v>0</v>
      </c>
      <c r="EX54" s="274">
        <f t="shared" si="41"/>
        <v>0</v>
      </c>
      <c r="EY54" s="274">
        <f t="shared" si="42"/>
        <v>0</v>
      </c>
      <c r="GB54" s="199" t="s">
        <v>431</v>
      </c>
      <c r="GC54" s="199" t="s">
        <v>127</v>
      </c>
      <c r="GD54" s="199" t="s">
        <v>426</v>
      </c>
      <c r="GE54" s="199" t="s">
        <v>426</v>
      </c>
      <c r="GF54" s="270">
        <v>0</v>
      </c>
      <c r="GG54" s="270">
        <v>107104433</v>
      </c>
      <c r="GH54" s="270">
        <v>107104433</v>
      </c>
      <c r="GI54" s="270">
        <f t="shared" si="45"/>
        <v>0</v>
      </c>
      <c r="GJ54" s="270">
        <f t="shared" si="46"/>
        <v>107104.433</v>
      </c>
      <c r="GK54" s="270">
        <f t="shared" si="47"/>
        <v>107104.433</v>
      </c>
      <c r="GT54" s="199" t="s">
        <v>431</v>
      </c>
      <c r="GU54" s="199" t="s">
        <v>127</v>
      </c>
      <c r="GV54" s="199" t="s">
        <v>426</v>
      </c>
      <c r="GW54" s="199" t="s">
        <v>426</v>
      </c>
      <c r="GX54" s="351">
        <v>0</v>
      </c>
      <c r="GY54" s="351">
        <v>159772630</v>
      </c>
      <c r="GZ54" s="351">
        <v>159772630</v>
      </c>
      <c r="HA54" s="225">
        <f t="shared" si="49"/>
        <v>0</v>
      </c>
      <c r="HB54" s="225">
        <f t="shared" si="50"/>
        <v>159772.63</v>
      </c>
      <c r="HC54" s="225">
        <f t="shared" si="51"/>
        <v>159772.63</v>
      </c>
    </row>
    <row r="55" spans="26:211" x14ac:dyDescent="0.2">
      <c r="GB55" s="199" t="s">
        <v>431</v>
      </c>
      <c r="GC55" s="199" t="s">
        <v>127</v>
      </c>
      <c r="GD55" s="199" t="s">
        <v>426</v>
      </c>
      <c r="GE55" s="199" t="s">
        <v>426</v>
      </c>
      <c r="GF55" s="270">
        <v>0</v>
      </c>
      <c r="GG55" s="270">
        <v>5995880</v>
      </c>
      <c r="GH55" s="270">
        <v>5995880</v>
      </c>
      <c r="GI55" s="270">
        <f t="shared" si="45"/>
        <v>0</v>
      </c>
      <c r="GJ55" s="270">
        <f t="shared" si="46"/>
        <v>5995.88</v>
      </c>
      <c r="GK55" s="270">
        <f t="shared" si="47"/>
        <v>5995.88</v>
      </c>
      <c r="GT55" s="199" t="s">
        <v>431</v>
      </c>
      <c r="GU55" s="199" t="s">
        <v>127</v>
      </c>
      <c r="GV55" s="199" t="s">
        <v>426</v>
      </c>
      <c r="GW55" s="199" t="s">
        <v>426</v>
      </c>
      <c r="GX55" s="351">
        <v>0</v>
      </c>
      <c r="GY55" s="351">
        <v>0</v>
      </c>
      <c r="GZ55" s="351">
        <v>0</v>
      </c>
      <c r="HA55" s="225">
        <f t="shared" si="49"/>
        <v>0</v>
      </c>
      <c r="HB55" s="225">
        <f t="shared" si="50"/>
        <v>0</v>
      </c>
      <c r="HC55" s="225">
        <f t="shared" si="51"/>
        <v>0</v>
      </c>
    </row>
    <row r="56" spans="26:211" x14ac:dyDescent="0.2">
      <c r="GT56" s="199" t="s">
        <v>431</v>
      </c>
      <c r="GU56" s="199" t="s">
        <v>127</v>
      </c>
      <c r="GV56" s="199" t="s">
        <v>426</v>
      </c>
      <c r="GW56" s="199" t="s">
        <v>426</v>
      </c>
      <c r="GX56" s="351">
        <v>0</v>
      </c>
      <c r="GY56" s="351">
        <v>0</v>
      </c>
      <c r="GZ56" s="351">
        <v>0</v>
      </c>
      <c r="HA56" s="225">
        <f t="shared" si="49"/>
        <v>0</v>
      </c>
      <c r="HB56" s="225">
        <f t="shared" si="50"/>
        <v>0</v>
      </c>
      <c r="HC56" s="225">
        <f t="shared" si="51"/>
        <v>0</v>
      </c>
    </row>
    <row r="57" spans="26:211" x14ac:dyDescent="0.2">
      <c r="GT57" s="199" t="s">
        <v>431</v>
      </c>
      <c r="GU57" s="199" t="s">
        <v>127</v>
      </c>
      <c r="GV57" s="199" t="s">
        <v>426</v>
      </c>
      <c r="GW57" s="199" t="s">
        <v>426</v>
      </c>
      <c r="GX57" s="351">
        <v>0</v>
      </c>
      <c r="GY57" s="351">
        <v>107104433</v>
      </c>
      <c r="GZ57" s="351">
        <v>107104433</v>
      </c>
      <c r="HA57" s="225">
        <f t="shared" si="49"/>
        <v>0</v>
      </c>
      <c r="HB57" s="225">
        <f t="shared" si="50"/>
        <v>107104.433</v>
      </c>
      <c r="HC57" s="225">
        <f t="shared" si="51"/>
        <v>107104.433</v>
      </c>
    </row>
    <row r="58" spans="26:211" x14ac:dyDescent="0.2">
      <c r="GT58" s="199" t="s">
        <v>431</v>
      </c>
      <c r="GU58" s="199" t="s">
        <v>127</v>
      </c>
      <c r="GV58" s="199" t="s">
        <v>426</v>
      </c>
      <c r="GW58" s="199" t="s">
        <v>426</v>
      </c>
      <c r="GX58" s="351">
        <v>0</v>
      </c>
      <c r="GY58" s="351">
        <v>5995880</v>
      </c>
      <c r="GZ58" s="351">
        <v>5995880</v>
      </c>
      <c r="HA58" s="225">
        <f t="shared" si="49"/>
        <v>0</v>
      </c>
      <c r="HB58" s="225">
        <f t="shared" si="50"/>
        <v>5995.88</v>
      </c>
      <c r="HC58" s="225">
        <f t="shared" si="51"/>
        <v>5995.88</v>
      </c>
    </row>
  </sheetData>
  <autoFilter ref="A2:J43" xr:uid="{00000000-0009-0000-0000-000007000000}"/>
  <mergeCells count="23">
    <mergeCell ref="CF1:CI1"/>
    <mergeCell ref="GM1:GP1"/>
    <mergeCell ref="GT1:GZ1"/>
    <mergeCell ref="EH1:EL1"/>
    <mergeCell ref="EP1:EW1"/>
    <mergeCell ref="DP1:DT1"/>
    <mergeCell ref="DW1:EC1"/>
    <mergeCell ref="CM1:CT1"/>
    <mergeCell ref="CX1:DB1"/>
    <mergeCell ref="FU1:FX1"/>
    <mergeCell ref="GB1:GH1"/>
    <mergeCell ref="FA1:FD1"/>
    <mergeCell ref="FJ1:FP1"/>
    <mergeCell ref="DE1:DL1"/>
    <mergeCell ref="A1:G1"/>
    <mergeCell ref="AD1:AG1"/>
    <mergeCell ref="AK1:AR1"/>
    <mergeCell ref="BN1:BQ1"/>
    <mergeCell ref="BU1:CA1"/>
    <mergeCell ref="AV1:AY1"/>
    <mergeCell ref="BC1:BI1"/>
    <mergeCell ref="L1:O1"/>
    <mergeCell ref="S1:Z1"/>
  </mergeCells>
  <pageMargins left="0.7" right="0.7" top="0.75" bottom="0.75" header="0.3" footer="0.3"/>
  <pageSetup paperSize="9" orientation="portrait" horizontalDpi="0" verticalDpi="0" r:id="rId1"/>
  <ignoredErrors>
    <ignoredError sqref="FA3:FC5 FJ3:FL53 FA8:FC8 FA7:FC7 FA6:FC6 FA9:FC11 BN3:BP13 BU3:BW5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>
    <tabColor rgb="FF00B050"/>
    <pageSetUpPr fitToPage="1"/>
  </sheetPr>
  <dimension ref="A1:AX110"/>
  <sheetViews>
    <sheetView showGridLines="0" topLeftCell="A3" zoomScale="80" zoomScaleNormal="80" zoomScaleSheetLayoutView="52" workbookViewId="0">
      <pane xSplit="1" ySplit="8" topLeftCell="B11" activePane="bottomRight" state="frozen"/>
      <selection activeCell="H72" sqref="H72"/>
      <selection pane="topRight" activeCell="H72" sqref="H72"/>
      <selection pane="bottomLeft" activeCell="H72" sqref="H72"/>
      <selection pane="bottomRight" activeCell="I40" sqref="I40"/>
    </sheetView>
  </sheetViews>
  <sheetFormatPr baseColWidth="10" defaultColWidth="11.42578125" defaultRowHeight="12.75" x14ac:dyDescent="0.2"/>
  <cols>
    <col min="1" max="1" width="3.7109375" style="10" customWidth="1"/>
    <col min="2" max="2" width="6.7109375" style="11" customWidth="1"/>
    <col min="3" max="3" width="6.7109375" style="12" customWidth="1"/>
    <col min="4" max="4" width="6.7109375" style="173" customWidth="1"/>
    <col min="5" max="5" width="8.5703125" style="13" hidden="1" customWidth="1"/>
    <col min="6" max="6" width="14" style="13" hidden="1" customWidth="1"/>
    <col min="7" max="7" width="58.7109375" style="10" customWidth="1"/>
    <col min="8" max="10" width="22.28515625" style="9" customWidth="1"/>
    <col min="11" max="11" width="22.28515625" style="515" customWidth="1"/>
    <col min="12" max="12" width="22.28515625" style="17" customWidth="1"/>
    <col min="13" max="13" width="22.28515625" style="115" customWidth="1"/>
    <col min="14" max="14" width="22.28515625" style="54" customWidth="1"/>
    <col min="15" max="15" width="22.28515625" style="115" customWidth="1"/>
    <col min="16" max="17" width="21.42578125" style="448" customWidth="1"/>
    <col min="18" max="18" width="21.42578125" style="115" customWidth="1"/>
    <col min="19" max="19" width="23.7109375" style="450" hidden="1" customWidth="1"/>
    <col min="20" max="21" width="23.7109375" style="9" hidden="1" customWidth="1"/>
    <col min="22" max="23" width="23.7109375" style="127" hidden="1" customWidth="1"/>
    <col min="24" max="38" width="23.7109375" style="9" hidden="1" customWidth="1"/>
    <col min="39" max="39" width="4.5703125" style="57" customWidth="1"/>
    <col min="40" max="40" width="4.28515625" style="901" customWidth="1"/>
    <col min="41" max="41" width="11.140625" style="10" customWidth="1"/>
    <col min="42" max="42" width="30.140625" style="10" customWidth="1"/>
    <col min="43" max="43" width="12.85546875" style="10" hidden="1" customWidth="1"/>
    <col min="44" max="44" width="36.28515625" style="10" hidden="1" customWidth="1"/>
    <col min="45" max="16384" width="11.42578125" style="10"/>
  </cols>
  <sheetData>
    <row r="1" spans="1:49" ht="20.100000000000001" customHeight="1" x14ac:dyDescent="0.2"/>
    <row r="2" spans="1:49" ht="120" customHeight="1" thickBot="1" x14ac:dyDescent="0.25">
      <c r="H2" s="10"/>
      <c r="N2" s="70"/>
      <c r="O2" s="116"/>
      <c r="P2" s="822"/>
      <c r="Q2" s="822"/>
      <c r="R2" s="823"/>
      <c r="S2" s="824"/>
      <c r="T2" s="825"/>
      <c r="U2" s="825"/>
      <c r="V2" s="826"/>
      <c r="W2" s="826"/>
      <c r="AJ2" s="825"/>
      <c r="AK2" s="827"/>
    </row>
    <row r="3" spans="1:49" s="834" customFormat="1" ht="15" customHeight="1" x14ac:dyDescent="0.2">
      <c r="A3" s="834" t="s">
        <v>1103</v>
      </c>
      <c r="B3" s="828"/>
      <c r="C3" s="829"/>
      <c r="D3" s="815"/>
      <c r="E3" s="829"/>
      <c r="F3" s="829"/>
      <c r="G3" s="829"/>
      <c r="H3" s="829"/>
      <c r="I3" s="1076"/>
      <c r="J3" s="829"/>
      <c r="K3" s="830"/>
      <c r="L3" s="829"/>
      <c r="M3" s="830"/>
      <c r="N3" s="829"/>
      <c r="O3" s="830"/>
      <c r="P3" s="831"/>
      <c r="Q3" s="831"/>
      <c r="R3" s="832"/>
      <c r="S3" s="833"/>
      <c r="T3" s="829"/>
      <c r="U3" s="829"/>
      <c r="AN3" s="901"/>
      <c r="AO3" s="10"/>
      <c r="AP3" s="10"/>
      <c r="AQ3" s="10"/>
      <c r="AR3" s="10"/>
      <c r="AS3" s="10"/>
      <c r="AT3" s="10"/>
      <c r="AU3" s="10"/>
      <c r="AV3" s="10"/>
    </row>
    <row r="4" spans="1:49" s="166" customFormat="1" ht="27" customHeight="1" x14ac:dyDescent="0.2">
      <c r="B4" s="1235" t="s">
        <v>733</v>
      </c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63"/>
      <c r="T4" s="1263"/>
      <c r="U4" s="1263"/>
      <c r="V4" s="1263"/>
      <c r="W4" s="1263"/>
      <c r="X4" s="1263"/>
      <c r="Y4" s="1269"/>
      <c r="Z4" s="1270"/>
      <c r="AA4" s="1269"/>
      <c r="AB4" s="1270"/>
      <c r="AC4" s="1283"/>
      <c r="AD4" s="1284"/>
      <c r="AE4" s="1283"/>
      <c r="AF4" s="1284"/>
      <c r="AG4" s="1283"/>
      <c r="AH4" s="1284"/>
      <c r="AI4" s="436"/>
      <c r="AJ4" s="436"/>
      <c r="AK4" s="436"/>
      <c r="AL4" s="436"/>
      <c r="AM4" s="167"/>
      <c r="AN4" s="901"/>
      <c r="AO4" s="10"/>
      <c r="AP4" s="10"/>
      <c r="AQ4" s="10"/>
      <c r="AR4" s="10"/>
      <c r="AS4" s="10"/>
      <c r="AT4" s="10"/>
      <c r="AU4" s="10"/>
      <c r="AV4" s="10"/>
    </row>
    <row r="5" spans="1:49" s="626" customFormat="1" ht="25.5" hidden="1" customHeight="1" x14ac:dyDescent="0.2">
      <c r="B5" s="619"/>
      <c r="C5" s="619"/>
      <c r="D5" s="618"/>
      <c r="E5" s="619"/>
      <c r="F5" s="619"/>
      <c r="G5" s="619"/>
      <c r="H5" s="619"/>
      <c r="I5" s="619"/>
      <c r="J5" s="619"/>
      <c r="K5" s="620"/>
      <c r="L5" s="619"/>
      <c r="M5" s="620"/>
      <c r="N5" s="619"/>
      <c r="O5" s="621"/>
      <c r="P5" s="618"/>
      <c r="Q5" s="618"/>
      <c r="R5" s="620"/>
      <c r="S5" s="622"/>
      <c r="T5" s="619"/>
      <c r="U5" s="619"/>
      <c r="V5" s="623"/>
      <c r="W5" s="623"/>
      <c r="X5" s="618"/>
      <c r="Y5" s="618"/>
      <c r="Z5" s="624"/>
      <c r="AA5" s="624"/>
      <c r="AB5" s="624"/>
      <c r="AC5" s="624"/>
      <c r="AD5" s="625"/>
      <c r="AE5" s="625"/>
      <c r="AF5" s="624"/>
      <c r="AG5" s="624"/>
      <c r="AH5" s="624"/>
      <c r="AI5" s="624"/>
      <c r="AJ5" s="624"/>
      <c r="AK5" s="624"/>
      <c r="AL5" s="624"/>
      <c r="AM5" s="521"/>
      <c r="AN5" s="901"/>
      <c r="AO5" s="10"/>
      <c r="AP5" s="10"/>
      <c r="AQ5" s="10"/>
      <c r="AR5" s="10"/>
      <c r="AS5" s="10"/>
      <c r="AT5" s="10"/>
      <c r="AU5" s="10"/>
      <c r="AV5" s="10"/>
    </row>
    <row r="6" spans="1:49" s="626" customFormat="1" ht="24.75" hidden="1" customHeight="1" x14ac:dyDescent="0.2">
      <c r="B6" s="619"/>
      <c r="C6" s="619"/>
      <c r="D6" s="618"/>
      <c r="E6" s="619"/>
      <c r="F6" s="619"/>
      <c r="G6" s="619"/>
      <c r="H6" s="619"/>
      <c r="I6" s="619"/>
      <c r="J6" s="619"/>
      <c r="K6" s="620"/>
      <c r="L6" s="619"/>
      <c r="M6" s="620"/>
      <c r="N6" s="619"/>
      <c r="O6" s="621"/>
      <c r="P6" s="618"/>
      <c r="Q6" s="618"/>
      <c r="R6" s="620"/>
      <c r="S6" s="521" t="s">
        <v>264</v>
      </c>
      <c r="T6" s="522" t="s">
        <v>126</v>
      </c>
      <c r="U6" s="521" t="s">
        <v>264</v>
      </c>
      <c r="V6" s="522" t="s">
        <v>126</v>
      </c>
      <c r="W6" s="521" t="s">
        <v>264</v>
      </c>
      <c r="X6" s="522" t="s">
        <v>126</v>
      </c>
      <c r="Y6" s="521" t="s">
        <v>264</v>
      </c>
      <c r="Z6" s="522" t="s">
        <v>126</v>
      </c>
      <c r="AA6" s="521" t="s">
        <v>264</v>
      </c>
      <c r="AB6" s="522" t="s">
        <v>126</v>
      </c>
      <c r="AC6" s="521" t="s">
        <v>264</v>
      </c>
      <c r="AD6" s="522" t="s">
        <v>126</v>
      </c>
      <c r="AE6" s="521" t="s">
        <v>264</v>
      </c>
      <c r="AF6" s="522" t="s">
        <v>126</v>
      </c>
      <c r="AG6" s="521" t="s">
        <v>264</v>
      </c>
      <c r="AH6" s="522" t="s">
        <v>126</v>
      </c>
      <c r="AI6" s="522"/>
      <c r="AJ6" s="522"/>
      <c r="AK6" s="522"/>
      <c r="AL6" s="522"/>
      <c r="AM6" s="521"/>
      <c r="AN6" s="901"/>
      <c r="AO6" s="10"/>
      <c r="AP6" s="10"/>
      <c r="AQ6" s="10"/>
      <c r="AR6" s="10"/>
      <c r="AS6" s="10"/>
      <c r="AT6" s="10"/>
      <c r="AU6" s="10"/>
      <c r="AV6" s="10"/>
    </row>
    <row r="7" spans="1:49" s="166" customFormat="1" ht="27" customHeight="1" x14ac:dyDescent="0.2">
      <c r="B7" s="1235" t="s">
        <v>1089</v>
      </c>
      <c r="C7" s="1235"/>
      <c r="D7" s="1235"/>
      <c r="E7" s="1235"/>
      <c r="F7" s="1235"/>
      <c r="G7" s="1235"/>
      <c r="H7" s="1235"/>
      <c r="I7" s="1235"/>
      <c r="J7" s="1235"/>
      <c r="K7" s="1235"/>
      <c r="L7" s="1235"/>
      <c r="M7" s="1235"/>
      <c r="N7" s="1235"/>
      <c r="O7" s="1235"/>
      <c r="P7" s="1235"/>
      <c r="Q7" s="1235"/>
      <c r="R7" s="1235"/>
      <c r="S7" s="1264"/>
      <c r="T7" s="1264"/>
      <c r="U7" s="1264"/>
      <c r="V7" s="1264"/>
      <c r="W7" s="1264"/>
      <c r="X7" s="1264"/>
      <c r="Y7" s="1267"/>
      <c r="Z7" s="1268"/>
      <c r="AA7" s="1267"/>
      <c r="AB7" s="1268"/>
      <c r="AC7" s="1267"/>
      <c r="AD7" s="1268"/>
      <c r="AE7" s="1267"/>
      <c r="AF7" s="1268"/>
      <c r="AG7" s="1267"/>
      <c r="AH7" s="1268"/>
      <c r="AI7" s="520"/>
      <c r="AJ7" s="520"/>
      <c r="AK7" s="520"/>
      <c r="AL7" s="519"/>
      <c r="AM7" s="97"/>
      <c r="AN7" s="901"/>
      <c r="AO7" s="10"/>
      <c r="AP7" s="10"/>
      <c r="AQ7" s="10"/>
      <c r="AR7" s="10"/>
      <c r="AS7" s="10"/>
      <c r="AT7" s="10"/>
      <c r="AU7" s="10"/>
      <c r="AV7" s="10"/>
    </row>
    <row r="8" spans="1:49" s="74" customFormat="1" ht="30" customHeight="1" x14ac:dyDescent="0.2">
      <c r="B8" s="1246" t="s">
        <v>274</v>
      </c>
      <c r="C8" s="1246"/>
      <c r="D8" s="1246"/>
      <c r="E8" s="1246"/>
      <c r="F8" s="1246"/>
      <c r="G8" s="1246"/>
      <c r="H8" s="1225" t="s">
        <v>1000</v>
      </c>
      <c r="I8" s="1225"/>
      <c r="J8" s="1225"/>
      <c r="K8" s="1225"/>
      <c r="L8" s="1225"/>
      <c r="M8" s="1225"/>
      <c r="N8" s="1225"/>
      <c r="O8" s="1225"/>
      <c r="P8" s="1218" t="s">
        <v>870</v>
      </c>
      <c r="Q8" s="1218"/>
      <c r="R8" s="1218"/>
      <c r="S8" s="1234" t="s">
        <v>0</v>
      </c>
      <c r="T8" s="1234"/>
      <c r="U8" s="1234" t="s">
        <v>135</v>
      </c>
      <c r="V8" s="1234"/>
      <c r="W8" s="1240" t="s">
        <v>6</v>
      </c>
      <c r="X8" s="1241"/>
      <c r="Y8" s="1240" t="s">
        <v>7</v>
      </c>
      <c r="Z8" s="1241"/>
      <c r="AA8" s="1240" t="s">
        <v>8</v>
      </c>
      <c r="AB8" s="1241"/>
      <c r="AC8" s="1240" t="s">
        <v>9</v>
      </c>
      <c r="AD8" s="1241"/>
      <c r="AE8" s="1240" t="s">
        <v>79</v>
      </c>
      <c r="AF8" s="1241"/>
      <c r="AG8" s="1240" t="s">
        <v>10</v>
      </c>
      <c r="AH8" s="1241"/>
      <c r="AI8" s="370" t="s">
        <v>11</v>
      </c>
      <c r="AJ8" s="370" t="s">
        <v>12</v>
      </c>
      <c r="AK8" s="370" t="s">
        <v>13</v>
      </c>
      <c r="AL8" s="370" t="s">
        <v>14</v>
      </c>
      <c r="AM8" s="97"/>
      <c r="AN8" s="901"/>
      <c r="AO8" s="10"/>
      <c r="AP8" s="10"/>
      <c r="AQ8" s="10"/>
      <c r="AR8" s="10"/>
      <c r="AS8" s="10"/>
      <c r="AT8" s="10"/>
      <c r="AU8" s="10"/>
      <c r="AV8" s="10"/>
    </row>
    <row r="9" spans="1:49" s="74" customFormat="1" ht="27" hidden="1" customHeight="1" x14ac:dyDescent="0.2">
      <c r="B9" s="1246"/>
      <c r="C9" s="1246"/>
      <c r="D9" s="1246"/>
      <c r="E9" s="1246"/>
      <c r="F9" s="1246"/>
      <c r="G9" s="1246"/>
      <c r="H9" s="839" t="s">
        <v>129</v>
      </c>
      <c r="I9" s="839" t="s">
        <v>130</v>
      </c>
      <c r="J9" s="839" t="s">
        <v>131</v>
      </c>
      <c r="K9" s="872" t="s">
        <v>132</v>
      </c>
      <c r="L9" s="839" t="s">
        <v>702</v>
      </c>
      <c r="M9" s="872" t="s">
        <v>704</v>
      </c>
      <c r="N9" s="839" t="s">
        <v>703</v>
      </c>
      <c r="O9" s="872" t="s">
        <v>705</v>
      </c>
      <c r="P9" s="873" t="s">
        <v>129</v>
      </c>
      <c r="Q9" s="840" t="s">
        <v>130</v>
      </c>
      <c r="R9" s="874" t="s">
        <v>133</v>
      </c>
      <c r="S9" s="1234" t="s">
        <v>0</v>
      </c>
      <c r="T9" s="1234"/>
      <c r="U9" s="1234" t="s">
        <v>135</v>
      </c>
      <c r="V9" s="1234"/>
      <c r="W9" s="1234" t="s">
        <v>6</v>
      </c>
      <c r="X9" s="1234"/>
      <c r="Y9" s="1265" t="s">
        <v>7</v>
      </c>
      <c r="Z9" s="1266"/>
      <c r="AA9" s="1265" t="s">
        <v>8</v>
      </c>
      <c r="AB9" s="1266"/>
      <c r="AC9" s="879"/>
      <c r="AD9" s="809" t="s">
        <v>9</v>
      </c>
      <c r="AE9" s="809"/>
      <c r="AF9" s="809" t="s">
        <v>79</v>
      </c>
      <c r="AG9" s="809"/>
      <c r="AH9" s="809" t="s">
        <v>10</v>
      </c>
      <c r="AI9" s="809" t="s">
        <v>11</v>
      </c>
      <c r="AJ9" s="809" t="s">
        <v>12</v>
      </c>
      <c r="AK9" s="809" t="s">
        <v>13</v>
      </c>
      <c r="AL9" s="809" t="s">
        <v>14</v>
      </c>
      <c r="AM9" s="95"/>
      <c r="AN9" s="901"/>
      <c r="AO9" s="10"/>
      <c r="AP9" s="10"/>
      <c r="AQ9" s="10"/>
      <c r="AR9" s="10"/>
      <c r="AS9" s="10"/>
      <c r="AT9" s="10"/>
      <c r="AU9" s="10"/>
      <c r="AV9" s="10"/>
    </row>
    <row r="10" spans="1:49" ht="39.950000000000003" customHeight="1" x14ac:dyDescent="0.2">
      <c r="B10" s="1246"/>
      <c r="C10" s="1246"/>
      <c r="D10" s="1246"/>
      <c r="E10" s="1246"/>
      <c r="F10" s="1246"/>
      <c r="G10" s="1246"/>
      <c r="H10" s="845" t="s">
        <v>993</v>
      </c>
      <c r="I10" s="845" t="s">
        <v>1150</v>
      </c>
      <c r="J10" s="845" t="s">
        <v>1143</v>
      </c>
      <c r="K10" s="875" t="s">
        <v>1144</v>
      </c>
      <c r="L10" s="845" t="s">
        <v>715</v>
      </c>
      <c r="M10" s="875" t="s">
        <v>714</v>
      </c>
      <c r="N10" s="845" t="s">
        <v>712</v>
      </c>
      <c r="O10" s="875" t="s">
        <v>713</v>
      </c>
      <c r="P10" s="847" t="s">
        <v>1145</v>
      </c>
      <c r="Q10" s="847" t="s">
        <v>1146</v>
      </c>
      <c r="R10" s="876" t="s">
        <v>1147</v>
      </c>
      <c r="S10" s="986" t="s">
        <v>1001</v>
      </c>
      <c r="T10" s="987" t="s">
        <v>871</v>
      </c>
      <c r="U10" s="986" t="s">
        <v>1001</v>
      </c>
      <c r="V10" s="987" t="s">
        <v>871</v>
      </c>
      <c r="W10" s="986" t="s">
        <v>1001</v>
      </c>
      <c r="X10" s="987" t="s">
        <v>871</v>
      </c>
      <c r="Y10" s="986" t="s">
        <v>1001</v>
      </c>
      <c r="Z10" s="987" t="s">
        <v>871</v>
      </c>
      <c r="AA10" s="986" t="s">
        <v>1001</v>
      </c>
      <c r="AB10" s="987" t="s">
        <v>871</v>
      </c>
      <c r="AC10" s="986" t="s">
        <v>1001</v>
      </c>
      <c r="AD10" s="987" t="s">
        <v>871</v>
      </c>
      <c r="AE10" s="986" t="s">
        <v>1001</v>
      </c>
      <c r="AF10" s="987" t="s">
        <v>871</v>
      </c>
      <c r="AG10" s="986" t="s">
        <v>1001</v>
      </c>
      <c r="AH10" s="986" t="s">
        <v>871</v>
      </c>
      <c r="AI10" s="409" t="s">
        <v>871</v>
      </c>
      <c r="AJ10" s="409" t="s">
        <v>871</v>
      </c>
      <c r="AK10" s="409" t="s">
        <v>871</v>
      </c>
      <c r="AL10" s="409" t="s">
        <v>871</v>
      </c>
      <c r="AM10" s="108"/>
    </row>
    <row r="11" spans="1:49" s="74" customFormat="1" ht="39.950000000000003" customHeight="1" x14ac:dyDescent="0.2">
      <c r="B11" s="518" t="s">
        <v>91</v>
      </c>
      <c r="C11" s="437" t="s">
        <v>92</v>
      </c>
      <c r="D11" s="419" t="s">
        <v>93</v>
      </c>
      <c r="E11" s="420" t="s">
        <v>94</v>
      </c>
      <c r="F11" s="438"/>
      <c r="G11" s="421" t="s">
        <v>141</v>
      </c>
      <c r="H11" s="439">
        <f>+H12+H29+H33+H35+H37+H40+H61</f>
        <v>282286863.09600002</v>
      </c>
      <c r="I11" s="439">
        <f>+I12+I37+I40+I61+I63+I33+I29</f>
        <v>332845197.09600002</v>
      </c>
      <c r="J11" s="439">
        <f ca="1">+J12+J37+J40+J61+J63+J33+J29</f>
        <v>216392926.92499998</v>
      </c>
      <c r="K11" s="441">
        <f ca="1">IFERROR(J11/I11,"0.00%")</f>
        <v>0.65013083803816285</v>
      </c>
      <c r="L11" s="439">
        <f>+L12+L29+L33+L35+L37+L40+L61+L63</f>
        <v>221318740.30199999</v>
      </c>
      <c r="M11" s="441">
        <f>+IFERROR(L11/I11,0)</f>
        <v>0.66492995011782219</v>
      </c>
      <c r="N11" s="440">
        <f>+I11-L11</f>
        <v>111526456.79400003</v>
      </c>
      <c r="O11" s="441">
        <f>+IFERROR(N11/I11,0)</f>
        <v>0.33507004988217781</v>
      </c>
      <c r="P11" s="442">
        <f>+P12+P29+P33+P35+P37+P40+P61</f>
        <v>345442102.15240002</v>
      </c>
      <c r="Q11" s="442">
        <f ca="1">+Q12+Q29+Q35+Q37+Q40+Q61+Q33</f>
        <v>220127007.07826197</v>
      </c>
      <c r="R11" s="441">
        <f ca="1">IFERROR(Q11/P11,"0.00%")</f>
        <v>0.63723271050830887</v>
      </c>
      <c r="S11" s="544">
        <f>+S12+S29+S33+S35+S37+S40+S61+S63</f>
        <v>54994855.237999998</v>
      </c>
      <c r="T11" s="431">
        <f>+T12+T29+T33+T35+T37+T40+T61+T63</f>
        <v>23809983.524032</v>
      </c>
      <c r="U11" s="432">
        <f>+U12+U29+U33+U35+U37+U40+U61+U63+U24</f>
        <v>2575969.4359999998</v>
      </c>
      <c r="V11" s="432">
        <f>+V12+V29+V33+V35+V37+V40+V61+V63+V24</f>
        <v>26600532.602617998</v>
      </c>
      <c r="W11" s="433">
        <f>+W12+W29+W33+W35+W37+W40+W61+W63</f>
        <v>5416263.5969999991</v>
      </c>
      <c r="X11" s="433">
        <f>+X14+X29+X33+X37+X40+X61</f>
        <v>42353886.379866004</v>
      </c>
      <c r="Y11" s="433">
        <f>+Y12+Y37+Y40+Y61+Y63</f>
        <v>84155159.371999994</v>
      </c>
      <c r="Z11" s="433">
        <f>+Z12+Z37+Z40+Z61+Z63</f>
        <v>26374610.441070005</v>
      </c>
      <c r="AA11" s="433">
        <f>+AA12+AA29+AA35+AA37+AA40+AA61</f>
        <v>5867032.2089999998</v>
      </c>
      <c r="AB11" s="433">
        <f>+AB12+AB29+AB35+AB37+AB40+AB61</f>
        <v>17207811.982067998</v>
      </c>
      <c r="AC11" s="433">
        <f>+AC63+AC61+AC40+AC37+AC33+AC12</f>
        <v>6599474.5089999996</v>
      </c>
      <c r="AD11" s="433">
        <f>+AD63+AD61+AD40+AD37+AD33+AD12</f>
        <v>30677379.689892001</v>
      </c>
      <c r="AE11" s="433">
        <f>+AE12+AE33+AE37+AE40+AE61</f>
        <v>46497042.160999998</v>
      </c>
      <c r="AF11" s="433">
        <f>+AF12+AF33+AF37+AF40+AF61</f>
        <v>32856403.444015995</v>
      </c>
      <c r="AG11" s="433">
        <f>+AG12+AG29+AG35+AG37+AG40+AG61+AG63</f>
        <v>10251130.402999999</v>
      </c>
      <c r="AH11" s="433">
        <f>+AH12+AH29+AH35+AH37+AH40+AH61+AH63</f>
        <v>20246399.014699999</v>
      </c>
      <c r="AI11" s="433">
        <f>+AI12+AI37+AI40+AI61+AI63</f>
        <v>16962563.366999999</v>
      </c>
      <c r="AJ11" s="433">
        <f>AJ12+AJ29+AJ37+AJ40+AJ61+AJ63</f>
        <v>30963342.785999998</v>
      </c>
      <c r="AK11" s="433">
        <f>+AK12+AK37+AK40+AK61+AK63+AK29</f>
        <v>24556395.322999999</v>
      </c>
      <c r="AL11" s="433">
        <f>+AL12+AL37+AL40+AL33+AL61+AL63+AL29+AL35</f>
        <v>52735628.659999996</v>
      </c>
      <c r="AM11" s="95"/>
      <c r="AN11" s="925"/>
      <c r="AO11" s="10"/>
      <c r="AP11" s="10"/>
      <c r="AQ11" s="10"/>
      <c r="AR11" s="10"/>
      <c r="AS11" s="10"/>
      <c r="AT11" s="10"/>
      <c r="AU11" s="10"/>
      <c r="AV11" s="10"/>
    </row>
    <row r="12" spans="1:49" s="74" customFormat="1" ht="15" customHeight="1" x14ac:dyDescent="0.2">
      <c r="B12" s="508" t="s">
        <v>1</v>
      </c>
      <c r="C12" s="172" t="s">
        <v>2</v>
      </c>
      <c r="D12" s="38"/>
      <c r="E12" s="90"/>
      <c r="F12" s="131"/>
      <c r="G12" s="403" t="s">
        <v>145</v>
      </c>
      <c r="H12" s="86">
        <f>+H13+H14+H24</f>
        <v>81039720</v>
      </c>
      <c r="I12" s="86">
        <f>+I13+I14+I24</f>
        <v>81039720</v>
      </c>
      <c r="J12" s="86">
        <f ca="1">+J13+J14+J24</f>
        <v>78223633.416999996</v>
      </c>
      <c r="K12" s="514">
        <f t="shared" ref="K12:K62" ca="1" si="0">IFERROR(J12/I12,"0.00%")</f>
        <v>0.96525053908132941</v>
      </c>
      <c r="L12" s="86">
        <f>+L13+L14+L24</f>
        <v>78652256.313999996</v>
      </c>
      <c r="M12" s="514">
        <f t="shared" ref="M12:M63" si="1">+IFERROR(L12/I12,0)</f>
        <v>0.97053958619304204</v>
      </c>
      <c r="N12" s="86">
        <f>+N13+N14+N24</f>
        <v>2387463.6860000021</v>
      </c>
      <c r="O12" s="514">
        <f t="shared" ref="O12:O63" si="2">+IFERROR(N12/I12,0)</f>
        <v>2.9460413806957898E-2</v>
      </c>
      <c r="P12" s="86">
        <f>+P13+P14</f>
        <v>83433483.923999995</v>
      </c>
      <c r="Q12" s="86">
        <f>+Q13+Q14</f>
        <v>81348704.783087999</v>
      </c>
      <c r="R12" s="514">
        <f t="shared" ref="R12:R62" si="3">IFERROR(Q12/P12,"0.00%")</f>
        <v>0.97501268024704524</v>
      </c>
      <c r="S12" s="530">
        <f>+S13+S14</f>
        <v>17447.985000000001</v>
      </c>
      <c r="T12" s="146">
        <f>+T13+T14</f>
        <v>123037.30934400001</v>
      </c>
      <c r="U12" s="86">
        <f>+U14+U13</f>
        <v>21231.510000000002</v>
      </c>
      <c r="V12" s="86">
        <f>+V14+V13</f>
        <v>9512841.3927339986</v>
      </c>
      <c r="W12" s="86">
        <f>+W13+W14+W24</f>
        <v>56328.160000000003</v>
      </c>
      <c r="X12" s="86">
        <f>+X13+X14+X24</f>
        <v>36368837.262238003</v>
      </c>
      <c r="Y12" s="155">
        <f>+Y14+Y13+Y24</f>
        <v>76854586.772</v>
      </c>
      <c r="Z12" s="155">
        <f>+Z14</f>
        <v>10207172.347146003</v>
      </c>
      <c r="AA12" s="155">
        <f>+AA14+AA13</f>
        <v>245130.01199999999</v>
      </c>
      <c r="AB12" s="155">
        <f>+AB14+AB13</f>
        <v>2619727.7915940001</v>
      </c>
      <c r="AC12" s="155">
        <f>+AC14</f>
        <v>757346.93200000003</v>
      </c>
      <c r="AD12" s="155">
        <f>+AD14</f>
        <v>21381750.813136</v>
      </c>
      <c r="AE12" s="155">
        <f>+AE14+AE13+AE24</f>
        <v>140228.823</v>
      </c>
      <c r="AF12" s="155">
        <f>+AF14</f>
        <v>913783.44007600006</v>
      </c>
      <c r="AG12" s="155">
        <f>+AG13+AG14+AG24</f>
        <v>59333.222999999998</v>
      </c>
      <c r="AH12" s="155">
        <f>+AH13+AH14+AH24</f>
        <v>221554.42681999999</v>
      </c>
      <c r="AI12" s="155">
        <f>+AI13+AI14</f>
        <v>139685.29699999999</v>
      </c>
      <c r="AJ12" s="155">
        <f>AJ13+AJ14</f>
        <v>250515.16899999997</v>
      </c>
      <c r="AK12" s="155">
        <f>+AK13+AK14</f>
        <v>158869.07199999999</v>
      </c>
      <c r="AL12" s="155">
        <f>+AL14</f>
        <v>1392215.5590000001</v>
      </c>
      <c r="AN12" s="901"/>
      <c r="AO12" s="10"/>
      <c r="AP12" s="10"/>
      <c r="AQ12" s="10"/>
      <c r="AR12" s="10"/>
      <c r="AS12" s="10"/>
      <c r="AT12" s="10"/>
      <c r="AU12" s="10"/>
      <c r="AV12" s="10"/>
    </row>
    <row r="13" spans="1:49" s="150" customFormat="1" ht="15" customHeight="1" x14ac:dyDescent="0.2">
      <c r="B13" s="375" t="s">
        <v>2</v>
      </c>
      <c r="C13" s="393">
        <v>2</v>
      </c>
      <c r="D13" s="254"/>
      <c r="E13" s="254"/>
      <c r="F13" s="147"/>
      <c r="G13" s="422" t="s">
        <v>86</v>
      </c>
      <c r="H13" s="175">
        <v>0</v>
      </c>
      <c r="I13" s="175">
        <v>0</v>
      </c>
      <c r="J13" s="175">
        <v>0</v>
      </c>
      <c r="K13" s="516" t="str">
        <f t="shared" si="0"/>
        <v>0.00%</v>
      </c>
      <c r="L13" s="279">
        <v>0</v>
      </c>
      <c r="M13" s="516">
        <f t="shared" si="1"/>
        <v>0</v>
      </c>
      <c r="N13" s="279">
        <f t="shared" ref="N13:N14" si="4">+I13-L13</f>
        <v>0</v>
      </c>
      <c r="O13" s="516">
        <f t="shared" si="2"/>
        <v>0</v>
      </c>
      <c r="P13" s="175">
        <v>0</v>
      </c>
      <c r="Q13" s="175">
        <v>0</v>
      </c>
      <c r="R13" s="516" t="str">
        <f t="shared" si="3"/>
        <v>0.00%</v>
      </c>
      <c r="S13" s="247">
        <v>0</v>
      </c>
      <c r="T13" s="247">
        <v>0</v>
      </c>
      <c r="U13" s="175">
        <v>0</v>
      </c>
      <c r="V13" s="175">
        <v>0</v>
      </c>
      <c r="W13" s="175">
        <v>0</v>
      </c>
      <c r="X13" s="175">
        <v>0</v>
      </c>
      <c r="Y13" s="175">
        <v>0</v>
      </c>
      <c r="Z13" s="175">
        <v>0</v>
      </c>
      <c r="AA13" s="175">
        <v>0</v>
      </c>
      <c r="AB13" s="175">
        <v>0</v>
      </c>
      <c r="AC13" s="175">
        <v>0</v>
      </c>
      <c r="AD13" s="175">
        <v>0</v>
      </c>
      <c r="AE13" s="175">
        <v>0</v>
      </c>
      <c r="AF13" s="175">
        <v>0</v>
      </c>
      <c r="AG13" s="175">
        <v>0</v>
      </c>
      <c r="AH13" s="175">
        <v>0</v>
      </c>
      <c r="AI13" s="175">
        <v>0</v>
      </c>
      <c r="AJ13" s="175">
        <v>0</v>
      </c>
      <c r="AK13" s="175">
        <v>0</v>
      </c>
      <c r="AL13" s="175">
        <v>0</v>
      </c>
      <c r="AN13" s="899"/>
      <c r="AO13" s="1078"/>
      <c r="AP13" s="1078"/>
      <c r="AQ13" s="1078"/>
      <c r="AR13" s="1078"/>
      <c r="AS13" s="1078"/>
      <c r="AT13" s="1078"/>
      <c r="AU13" s="1078"/>
      <c r="AV13" s="1078"/>
    </row>
    <row r="14" spans="1:49" s="150" customFormat="1" ht="15" customHeight="1" x14ac:dyDescent="0.2">
      <c r="B14" s="375" t="s">
        <v>2</v>
      </c>
      <c r="C14" s="393">
        <v>3</v>
      </c>
      <c r="D14" s="254"/>
      <c r="E14" s="254"/>
      <c r="F14" s="147"/>
      <c r="G14" s="422" t="s">
        <v>303</v>
      </c>
      <c r="H14" s="175">
        <f>+H15+H16+H23</f>
        <v>80568118</v>
      </c>
      <c r="I14" s="175">
        <f>+I15+I16+I23</f>
        <v>80568118</v>
      </c>
      <c r="J14" s="175">
        <f ca="1">+J16+J15+J23</f>
        <v>77927376.807999998</v>
      </c>
      <c r="K14" s="516">
        <f t="shared" ca="1" si="0"/>
        <v>0.96722349661934515</v>
      </c>
      <c r="L14" s="175">
        <f>+L15+L16+L23</f>
        <v>78185285.020999998</v>
      </c>
      <c r="M14" s="516">
        <f t="shared" si="1"/>
        <v>0.97042461660827173</v>
      </c>
      <c r="N14" s="279">
        <f t="shared" si="4"/>
        <v>2382832.9790000021</v>
      </c>
      <c r="O14" s="516">
        <f t="shared" si="2"/>
        <v>2.9575383391728254E-2</v>
      </c>
      <c r="P14" s="175">
        <f>+P15+P16+P23</f>
        <v>83433483.923999995</v>
      </c>
      <c r="Q14" s="175">
        <f>+Q15+Q16+Q23</f>
        <v>81348704.783087999</v>
      </c>
      <c r="R14" s="516">
        <f t="shared" si="3"/>
        <v>0.97501268024704524</v>
      </c>
      <c r="S14" s="1086">
        <f>+S15+S16</f>
        <v>17447.985000000001</v>
      </c>
      <c r="T14" s="247">
        <f>+T15+T16</f>
        <v>123037.30934400001</v>
      </c>
      <c r="U14" s="175">
        <f>+SUM(U15+U16)</f>
        <v>21231.510000000002</v>
      </c>
      <c r="V14" s="175">
        <f>+SUM(V15+V16)</f>
        <v>9512841.3927339986</v>
      </c>
      <c r="W14" s="175">
        <f>+W15+W16++W23</f>
        <v>20296.553000000004</v>
      </c>
      <c r="X14" s="175">
        <f>+X15+X16+X23</f>
        <v>36368837.262238003</v>
      </c>
      <c r="Y14" s="175">
        <f>+Y16+Y15</f>
        <v>76812586.772</v>
      </c>
      <c r="Z14" s="175">
        <f>+Z16+Z15</f>
        <v>10207172.347146003</v>
      </c>
      <c r="AA14" s="175">
        <f>+AA16+AA15+AA23+AA24</f>
        <v>245130.01199999999</v>
      </c>
      <c r="AB14" s="175">
        <f>+AB16+AB15+AB23</f>
        <v>2619727.7915940001</v>
      </c>
      <c r="AC14" s="175">
        <f>+AC15+AC16+AC24</f>
        <v>757346.93200000003</v>
      </c>
      <c r="AD14" s="175">
        <f t="shared" ref="AD14:AI14" si="5">+AD15+AD16+AD23</f>
        <v>21381750.813136</v>
      </c>
      <c r="AE14" s="175">
        <f t="shared" si="5"/>
        <v>100448.947</v>
      </c>
      <c r="AF14" s="175">
        <f t="shared" si="5"/>
        <v>913783.44007600006</v>
      </c>
      <c r="AG14" s="175">
        <f t="shared" si="5"/>
        <v>23301.414000000001</v>
      </c>
      <c r="AH14" s="175">
        <f t="shared" si="5"/>
        <v>221554.42681999999</v>
      </c>
      <c r="AI14" s="175">
        <f t="shared" si="5"/>
        <v>139685.29699999999</v>
      </c>
      <c r="AJ14" s="175">
        <f>SUM(AJ15:AJ23)</f>
        <v>250515.16899999997</v>
      </c>
      <c r="AK14" s="175">
        <f>+AK15+AK16+AK23</f>
        <v>158869.07199999999</v>
      </c>
      <c r="AL14" s="175">
        <f>+AL15+AL16+AL23</f>
        <v>1392215.5590000001</v>
      </c>
      <c r="AN14" s="899"/>
      <c r="AO14" s="1078"/>
      <c r="AP14" s="1078"/>
      <c r="AQ14" s="1078"/>
      <c r="AR14" s="1078"/>
      <c r="AS14" s="1078"/>
      <c r="AT14" s="1078"/>
      <c r="AU14" s="1078"/>
      <c r="AV14" s="1078"/>
      <c r="AW14" s="1079"/>
    </row>
    <row r="15" spans="1:49" s="150" customFormat="1" ht="15" customHeight="1" x14ac:dyDescent="0.2">
      <c r="B15" s="375" t="s">
        <v>2</v>
      </c>
      <c r="C15" s="393"/>
      <c r="D15" s="254">
        <v>403</v>
      </c>
      <c r="E15" s="301"/>
      <c r="F15" s="147" t="s">
        <v>215</v>
      </c>
      <c r="G15" s="422" t="s">
        <v>216</v>
      </c>
      <c r="H15" s="175">
        <f>+'P03 2025'!H3+'P03 2025'!H4</f>
        <v>76763405</v>
      </c>
      <c r="I15" s="175">
        <f>+'P03 2025'!EJ3+'P03 2025'!EJ4</f>
        <v>76763405</v>
      </c>
      <c r="J15" s="175">
        <f ca="1">SUMIF(S$6:$AL6,"ok",S15:AK15)</f>
        <v>76763395.340000004</v>
      </c>
      <c r="K15" s="516">
        <f t="shared" ca="1" si="0"/>
        <v>0.99999987415878699</v>
      </c>
      <c r="L15" s="175">
        <f>'P03 2025'!EK5+'P03 2025'!EK6</f>
        <v>76763395.340000004</v>
      </c>
      <c r="M15" s="516">
        <f t="shared" si="1"/>
        <v>0.99999987415878699</v>
      </c>
      <c r="N15" s="279">
        <f>+I15-L15</f>
        <v>9.6599999964237213</v>
      </c>
      <c r="O15" s="516">
        <f t="shared" si="2"/>
        <v>1.2584121296369958E-7</v>
      </c>
      <c r="P15" s="175">
        <f>+'P03 2024'!EL4+'P03 2024'!EL3</f>
        <v>78731697.541999996</v>
      </c>
      <c r="Q15" s="251">
        <f>SUMIF($S$6:$AL$6,"si",S15:AL15)</f>
        <v>78731688.468263999</v>
      </c>
      <c r="R15" s="516">
        <f t="shared" si="3"/>
        <v>0.99999988475117041</v>
      </c>
      <c r="S15" s="247">
        <v>0</v>
      </c>
      <c r="T15" s="247">
        <v>0</v>
      </c>
      <c r="U15" s="523">
        <v>0</v>
      </c>
      <c r="V15" s="523">
        <f>+'P03 2024'!R3</f>
        <v>9490298.1364079993</v>
      </c>
      <c r="W15" s="523">
        <v>0</v>
      </c>
      <c r="X15" s="430">
        <f>+'P03 2024'!AK3+'P03 2024'!AK4</f>
        <v>36323414.811912</v>
      </c>
      <c r="Y15" s="430">
        <f>+'P03 2025'!BC3++'P03 2025'!BC4</f>
        <v>76763395.340000004</v>
      </c>
      <c r="Z15" s="430">
        <f>+'P03 2024'!BD3</f>
        <v>10101706.730820002</v>
      </c>
      <c r="AA15" s="430">
        <v>0</v>
      </c>
      <c r="AB15" s="430">
        <f>+'P03 2024'!BW3</f>
        <v>1595184.831268</v>
      </c>
      <c r="AC15" s="430">
        <v>0</v>
      </c>
      <c r="AD15" s="281">
        <f>+'P03 2024'!CP3</f>
        <v>21221083.957855999</v>
      </c>
      <c r="AE15" s="281">
        <v>0</v>
      </c>
      <c r="AF15" s="281">
        <v>0</v>
      </c>
      <c r="AG15" s="281">
        <v>0</v>
      </c>
      <c r="AH15" s="175">
        <v>0</v>
      </c>
      <c r="AI15" s="430">
        <v>0</v>
      </c>
      <c r="AJ15" s="430">
        <v>0</v>
      </c>
      <c r="AK15" s="430">
        <f>+'P03 2024'!GI3</f>
        <v>54664.902000000002</v>
      </c>
      <c r="AL15" s="281">
        <v>0</v>
      </c>
      <c r="AM15" s="1080"/>
      <c r="AN15" s="899"/>
      <c r="AO15" s="1078"/>
      <c r="AP15" s="1078"/>
      <c r="AQ15" s="1078"/>
      <c r="AR15" s="1078"/>
      <c r="AS15" s="1078"/>
      <c r="AT15" s="1078"/>
      <c r="AU15" s="1078"/>
      <c r="AV15" s="1078"/>
    </row>
    <row r="16" spans="1:49" s="150" customFormat="1" ht="15" customHeight="1" x14ac:dyDescent="0.2">
      <c r="B16" s="375" t="s">
        <v>2</v>
      </c>
      <c r="C16" s="393"/>
      <c r="D16" s="254">
        <v>406</v>
      </c>
      <c r="E16" s="301"/>
      <c r="F16" s="147" t="s">
        <v>251</v>
      </c>
      <c r="G16" s="422" t="s">
        <v>934</v>
      </c>
      <c r="H16" s="175">
        <f>SUM(H17:H22)</f>
        <v>3804713</v>
      </c>
      <c r="I16" s="175">
        <f>SUM(I17:I22)</f>
        <v>3804713</v>
      </c>
      <c r="J16" s="175">
        <f ca="1">SUMIF(S$6:$AL7,"ok",S16:AK16)</f>
        <v>1163981.4680000001</v>
      </c>
      <c r="K16" s="516">
        <f t="shared" ca="1" si="0"/>
        <v>0.30593147709170182</v>
      </c>
      <c r="L16" s="175">
        <f>SUM(L17:L22)</f>
        <v>1421889.6810000003</v>
      </c>
      <c r="M16" s="516">
        <f t="shared" si="1"/>
        <v>0.37371798635008746</v>
      </c>
      <c r="N16" s="279">
        <f t="shared" ref="N16:N63" si="6">+I16-L16</f>
        <v>2382823.3189999997</v>
      </c>
      <c r="O16" s="516">
        <f t="shared" si="2"/>
        <v>0.62628201364991254</v>
      </c>
      <c r="P16" s="251">
        <f>SUM(P17:P22)</f>
        <v>4218092.0659999996</v>
      </c>
      <c r="Q16" s="430">
        <f>+SUM(Q17:Q22)</f>
        <v>2460187.6727959998</v>
      </c>
      <c r="R16" s="516">
        <f t="shared" si="3"/>
        <v>0.58324655657148472</v>
      </c>
      <c r="S16" s="247">
        <f>SUM(S17:S22)</f>
        <v>17447.985000000001</v>
      </c>
      <c r="T16" s="247">
        <f t="shared" ref="T16:X16" si="7">SUM(T17:T22)</f>
        <v>123037.30934400001</v>
      </c>
      <c r="U16" s="281">
        <f t="shared" si="7"/>
        <v>21231.510000000002</v>
      </c>
      <c r="V16" s="281">
        <f t="shared" si="7"/>
        <v>22543.256326000002</v>
      </c>
      <c r="W16" s="281">
        <f t="shared" si="7"/>
        <v>20296.553000000004</v>
      </c>
      <c r="X16" s="281">
        <f t="shared" si="7"/>
        <v>45422.450326000006</v>
      </c>
      <c r="Y16" s="281">
        <f>+SUM(Y17:Y22)</f>
        <v>49191.432000000001</v>
      </c>
      <c r="Z16" s="281">
        <f>+SUM(Z17:Z22)</f>
        <v>105465.616326</v>
      </c>
      <c r="AA16" s="281">
        <f>SUM(AA17:AA23)</f>
        <v>209098.405</v>
      </c>
      <c r="AB16" s="281">
        <f>SUM(AB17:AB22)</f>
        <v>991845.00032600004</v>
      </c>
      <c r="AC16" s="281">
        <f>SUM(AC17:AC22)</f>
        <v>722965.22200000007</v>
      </c>
      <c r="AD16" s="281">
        <f>SUM(AD17:AD22)</f>
        <v>142650.67527999997</v>
      </c>
      <c r="AE16" s="175">
        <f>+SUM(AE17:AE22)</f>
        <v>100448.947</v>
      </c>
      <c r="AF16" s="175">
        <f t="shared" ref="AF16:AI16" si="8">+SUM(AF17:AF22)</f>
        <v>847279.52604800009</v>
      </c>
      <c r="AG16" s="281">
        <f t="shared" si="8"/>
        <v>23301.414000000001</v>
      </c>
      <c r="AH16" s="281">
        <f t="shared" si="8"/>
        <v>181943.83882</v>
      </c>
      <c r="AI16" s="281">
        <f t="shared" si="8"/>
        <v>139685.29699999999</v>
      </c>
      <c r="AJ16" s="281">
        <f>SUM(AJ17:AJ18)</f>
        <v>86830.335999999996</v>
      </c>
      <c r="AK16" s="281">
        <f>SUM(AK17:AK22)</f>
        <v>62425.419000000002</v>
      </c>
      <c r="AL16" s="281">
        <f>SUM(AL17:AL22)</f>
        <v>1354215.5590000001</v>
      </c>
      <c r="AM16" s="1080"/>
      <c r="AN16" s="899"/>
      <c r="AO16" s="1078"/>
      <c r="AP16" s="1078"/>
      <c r="AQ16" s="1078"/>
      <c r="AR16" s="1078"/>
      <c r="AS16" s="1078"/>
      <c r="AT16" s="1078"/>
      <c r="AU16" s="1078"/>
      <c r="AV16" s="1078"/>
    </row>
    <row r="17" spans="2:50" s="150" customFormat="1" ht="15" hidden="1" customHeight="1" x14ac:dyDescent="0.2">
      <c r="B17" s="375"/>
      <c r="C17" s="393"/>
      <c r="D17" s="254"/>
      <c r="E17" s="301">
        <v>1</v>
      </c>
      <c r="F17" s="147" t="s">
        <v>641</v>
      </c>
      <c r="G17" s="384" t="s">
        <v>267</v>
      </c>
      <c r="H17" s="175">
        <f>+'P03 2025'!H5</f>
        <v>2331908</v>
      </c>
      <c r="I17" s="175">
        <f>+'P03 2025'!EJ8</f>
        <v>2331908</v>
      </c>
      <c r="J17" s="175">
        <f ca="1">SUMIF(S$6:$AL8,"ok",S17:AK17)</f>
        <v>940504.15</v>
      </c>
      <c r="K17" s="516">
        <f t="shared" ca="1" si="0"/>
        <v>0.40331957778780297</v>
      </c>
      <c r="L17" s="175">
        <f>'P03 2025'!EK22</f>
        <v>968504.15</v>
      </c>
      <c r="M17" s="516">
        <f t="shared" si="1"/>
        <v>0.41532691255401155</v>
      </c>
      <c r="N17" s="279">
        <f t="shared" si="6"/>
        <v>1363403.85</v>
      </c>
      <c r="O17" s="516">
        <f t="shared" si="2"/>
        <v>0.58467308744598845</v>
      </c>
      <c r="P17" s="251">
        <f>+'P03 2024'!EL8</f>
        <v>3017873.7439999999</v>
      </c>
      <c r="Q17" s="251">
        <f t="shared" ref="Q17:Q23" si="9">SUMIF($S$6:$AL$6,"SI",S17:AL17)</f>
        <v>2198805.22071</v>
      </c>
      <c r="R17" s="516">
        <f t="shared" si="3"/>
        <v>0.72859417166856799</v>
      </c>
      <c r="S17" s="247">
        <v>0</v>
      </c>
      <c r="T17" s="247">
        <v>0</v>
      </c>
      <c r="U17" s="247">
        <v>0</v>
      </c>
      <c r="V17" s="247">
        <f>+'P03 2024'!R4</f>
        <v>9273.8000000000011</v>
      </c>
      <c r="W17" s="247">
        <v>0</v>
      </c>
      <c r="X17" s="251">
        <f>+'P03 2024'!AK6</f>
        <v>32152.994000000002</v>
      </c>
      <c r="Y17" s="251">
        <f>+'P03 2025'!BC5</f>
        <v>27100</v>
      </c>
      <c r="Z17" s="430">
        <f>+'P03 2024'!BD4</f>
        <v>87528</v>
      </c>
      <c r="AA17" s="430">
        <f>'P03 2025'!BU6</f>
        <v>130800</v>
      </c>
      <c r="AB17" s="281">
        <f>+'P03 2024'!BW4</f>
        <v>976387.34400000004</v>
      </c>
      <c r="AC17" s="281">
        <f>+'P03 2025'!CM3</f>
        <v>704604.15</v>
      </c>
      <c r="AD17" s="1081">
        <f>+'P03 2024'!CP6</f>
        <v>131500.4</v>
      </c>
      <c r="AE17" s="1081">
        <f>+'P03 2025'!DE6</f>
        <v>78000</v>
      </c>
      <c r="AF17" s="281">
        <f>+'P03 2024'!DH3</f>
        <v>800644.09811000002</v>
      </c>
      <c r="AG17" s="281">
        <v>0</v>
      </c>
      <c r="AH17" s="281">
        <f>+'P03 2024'!EB4</f>
        <v>161318.5846</v>
      </c>
      <c r="AI17" s="281">
        <f>+'P03 2024'!EV4</f>
        <v>119335.91499999999</v>
      </c>
      <c r="AJ17" s="281">
        <f>'P03 2024'!FP4</f>
        <v>70000.024999999994</v>
      </c>
      <c r="AK17" s="281">
        <f>+'P03 2024'!GI7</f>
        <v>43500</v>
      </c>
      <c r="AL17" s="281">
        <f>+'P03 2024'!HA3</f>
        <v>688120.55</v>
      </c>
      <c r="AM17" s="1080"/>
      <c r="AN17" s="899"/>
      <c r="AO17" s="1078"/>
      <c r="AP17" s="1078"/>
      <c r="AQ17" s="1078"/>
      <c r="AR17" s="1078"/>
      <c r="AS17" s="1078"/>
      <c r="AT17" s="1078"/>
      <c r="AU17" s="1078"/>
      <c r="AV17" s="1078"/>
    </row>
    <row r="18" spans="2:50" s="150" customFormat="1" ht="15" hidden="1" customHeight="1" x14ac:dyDescent="0.2">
      <c r="B18" s="375"/>
      <c r="C18" s="393"/>
      <c r="D18" s="254"/>
      <c r="E18" s="301">
        <v>2</v>
      </c>
      <c r="F18" s="147" t="s">
        <v>642</v>
      </c>
      <c r="G18" s="384" t="s">
        <v>268</v>
      </c>
      <c r="H18" s="175">
        <f>+'P03 2025'!H8+'P03 2025'!H9</f>
        <v>245912</v>
      </c>
      <c r="I18" s="175">
        <f>+'P03 2025'!EJ11+'P03 2025'!EJ12</f>
        <v>235912</v>
      </c>
      <c r="J18" s="175">
        <f ca="1">SUMIF(S$6:$AL$6,"ok",S18:AK18)</f>
        <v>144097.84100000001</v>
      </c>
      <c r="K18" s="516">
        <f t="shared" ca="1" si="0"/>
        <v>0.61081183237817493</v>
      </c>
      <c r="L18" s="175">
        <f>+'P03 2025'!EK24+'P03 2025'!EK23</f>
        <v>217542.12899999999</v>
      </c>
      <c r="M18" s="516">
        <f t="shared" si="1"/>
        <v>0.92213252823086567</v>
      </c>
      <c r="N18" s="279">
        <f t="shared" si="6"/>
        <v>18369.871000000014</v>
      </c>
      <c r="O18" s="516">
        <f t="shared" si="2"/>
        <v>7.7867471769134305E-2</v>
      </c>
      <c r="P18" s="251">
        <f>+'P03 2024'!EL11</f>
        <v>267389.70400000003</v>
      </c>
      <c r="Q18" s="251">
        <f t="shared" si="9"/>
        <v>118941.42303799999</v>
      </c>
      <c r="R18" s="516">
        <f t="shared" si="3"/>
        <v>0.44482424438451817</v>
      </c>
      <c r="S18" s="247">
        <f>+'P03 2025'!J13++'P03 2025'!J15</f>
        <v>17447.985000000001</v>
      </c>
      <c r="T18" s="247">
        <f>+'P03 2024'!J13</f>
        <v>13269.456326</v>
      </c>
      <c r="U18" s="247">
        <f>+'P03 2025'!Q3+'P03 2025'!Q4</f>
        <v>17447.983</v>
      </c>
      <c r="V18" s="247">
        <f>+'P03 2024'!R5</f>
        <v>13269.456326</v>
      </c>
      <c r="W18" s="247">
        <f>+'P03 2025'!AJ3+'P03 2025'!AJ6</f>
        <v>17484.847000000002</v>
      </c>
      <c r="X18" s="251">
        <f>+'P03 2024'!AK5</f>
        <v>13269.456326</v>
      </c>
      <c r="Y18" s="251">
        <f>+'P03 2025'!BC6++'P03 2025'!BC8</f>
        <v>18298.404999999999</v>
      </c>
      <c r="Z18" s="430">
        <f>+'P03 2024'!BD5</f>
        <v>17937.616325999999</v>
      </c>
      <c r="AA18" s="430">
        <f>'P03 2025'!BU3+'P03 2025'!BU4</f>
        <v>18298.404999999999</v>
      </c>
      <c r="AB18" s="281">
        <f>+'P03 2024'!BW5</f>
        <v>15457.656326</v>
      </c>
      <c r="AC18" s="281">
        <f>+'P03 2025'!CM4+'P03 2025'!CM5</f>
        <v>18361.072</v>
      </c>
      <c r="AD18" s="1081">
        <f>+'P03 2024'!CP4</f>
        <v>10494.556141999999</v>
      </c>
      <c r="AE18" s="1081">
        <f>+'P03 2025'!DE7+'P03 2025'!DE8</f>
        <v>18398.072</v>
      </c>
      <c r="AF18" s="281">
        <f>+'P03 2024'!DH4</f>
        <v>17794.916509999999</v>
      </c>
      <c r="AG18" s="281">
        <f>+'P03 2025'!DZ4++'P03 2025'!DZ6</f>
        <v>18361.072</v>
      </c>
      <c r="AH18" s="281">
        <f>+'P03 2024'!EB5</f>
        <v>17448.308756000002</v>
      </c>
      <c r="AI18" s="281">
        <f>+'P03 2024'!EV3</f>
        <v>20349.382000000001</v>
      </c>
      <c r="AJ18" s="281">
        <f>'P03 2024'!FP3</f>
        <v>16830.311000000002</v>
      </c>
      <c r="AK18" s="281">
        <f>+'P03 2024'!GI4</f>
        <v>16830.311000000002</v>
      </c>
      <c r="AL18" s="281">
        <f>+'P03 2024'!HA7</f>
        <v>17086.321</v>
      </c>
      <c r="AM18" s="1080"/>
      <c r="AN18" s="899"/>
      <c r="AO18" s="1078"/>
      <c r="AP18" s="1078"/>
      <c r="AQ18" s="1078"/>
      <c r="AR18" s="1078"/>
      <c r="AS18" s="1078"/>
      <c r="AT18" s="1078"/>
      <c r="AU18" s="1078"/>
      <c r="AV18" s="1078"/>
    </row>
    <row r="19" spans="2:50" s="150" customFormat="1" ht="15" hidden="1" customHeight="1" x14ac:dyDescent="0.2">
      <c r="B19" s="375"/>
      <c r="C19" s="393"/>
      <c r="D19" s="254"/>
      <c r="E19" s="301">
        <v>3</v>
      </c>
      <c r="F19" s="147" t="s">
        <v>643</v>
      </c>
      <c r="G19" s="384" t="s">
        <v>269</v>
      </c>
      <c r="H19" s="175">
        <f>+'P03 2025'!H11</f>
        <v>3000</v>
      </c>
      <c r="I19" s="175">
        <f>+'P03 2025'!EJ14+'P03 2025'!EJ15</f>
        <v>3000</v>
      </c>
      <c r="J19" s="175">
        <f ca="1">SUMIF(S$6:$AL$6,"ok",S19:AK19)</f>
        <v>1618.88</v>
      </c>
      <c r="K19" s="516">
        <f t="shared" ca="1" si="0"/>
        <v>0.5396266666666667</v>
      </c>
      <c r="L19" s="175">
        <f>'P03 2025'!EK17+'P03 2025'!EK21</f>
        <v>2713.6640000000002</v>
      </c>
      <c r="M19" s="516">
        <f t="shared" si="1"/>
        <v>0.90455466666666673</v>
      </c>
      <c r="N19" s="279">
        <f t="shared" si="6"/>
        <v>286.33599999999979</v>
      </c>
      <c r="O19" s="516">
        <f t="shared" si="2"/>
        <v>9.5445333333333257E-2</v>
      </c>
      <c r="P19" s="251">
        <f>+'P03 2024'!EL12</f>
        <v>5210</v>
      </c>
      <c r="Q19" s="251">
        <f t="shared" si="9"/>
        <v>145.139138</v>
      </c>
      <c r="R19" s="516">
        <f t="shared" si="3"/>
        <v>2.7857800000000002E-2</v>
      </c>
      <c r="S19" s="247">
        <v>0</v>
      </c>
      <c r="T19" s="247">
        <v>0</v>
      </c>
      <c r="U19" s="247">
        <v>0</v>
      </c>
      <c r="V19" s="247">
        <v>0</v>
      </c>
      <c r="W19" s="247">
        <f>+'P03 2025'!AJ5</f>
        <v>25.651</v>
      </c>
      <c r="X19" s="251">
        <v>0</v>
      </c>
      <c r="Y19" s="251">
        <v>0</v>
      </c>
      <c r="Z19" s="430">
        <v>0</v>
      </c>
      <c r="AA19" s="430">
        <v>0</v>
      </c>
      <c r="AB19" s="281">
        <v>0</v>
      </c>
      <c r="AC19" s="281">
        <v>0</v>
      </c>
      <c r="AD19" s="281">
        <f>+'P03 2024'!CP5</f>
        <v>145.139138</v>
      </c>
      <c r="AE19" s="281">
        <f>+'P03 2025'!DE3++'P03 2025'!DE4</f>
        <v>1147.9010000000001</v>
      </c>
      <c r="AF19" s="281">
        <v>0</v>
      </c>
      <c r="AG19" s="281">
        <f>+'P03 2025'!DZ3</f>
        <v>445.32799999999997</v>
      </c>
      <c r="AH19" s="281">
        <v>0</v>
      </c>
      <c r="AI19" s="281">
        <v>0</v>
      </c>
      <c r="AJ19" s="281">
        <v>0</v>
      </c>
      <c r="AK19" s="281">
        <f>+'P03 2024'!GI5</f>
        <v>198.48599999999999</v>
      </c>
      <c r="AL19" s="281">
        <v>0</v>
      </c>
      <c r="AM19" s="1080"/>
      <c r="AN19" s="1080"/>
      <c r="AO19" s="1078"/>
      <c r="AP19" s="1078"/>
      <c r="AQ19" s="1078"/>
      <c r="AR19" s="1078"/>
      <c r="AS19" s="1078"/>
      <c r="AT19" s="1078"/>
      <c r="AU19" s="1078"/>
      <c r="AV19" s="1078"/>
    </row>
    <row r="20" spans="2:50" s="150" customFormat="1" ht="15" hidden="1" customHeight="1" x14ac:dyDescent="0.2">
      <c r="B20" s="375"/>
      <c r="C20" s="393"/>
      <c r="D20" s="254"/>
      <c r="E20" s="301">
        <v>4</v>
      </c>
      <c r="F20" s="147" t="s">
        <v>644</v>
      </c>
      <c r="G20" s="384" t="s">
        <v>270</v>
      </c>
      <c r="H20" s="175">
        <f>+'P03 2025'!H10</f>
        <v>12000</v>
      </c>
      <c r="I20" s="175">
        <f>+'P03 2025'!EJ13</f>
        <v>22000</v>
      </c>
      <c r="J20" s="175">
        <f ca="1">SUMIF(S$6:$AL$6,"ok",S20:AK20)</f>
        <v>7958.0619999999999</v>
      </c>
      <c r="K20" s="516">
        <f t="shared" ca="1" si="0"/>
        <v>0.36173009090909092</v>
      </c>
      <c r="L20" s="175">
        <f>'P03 2025'!EK18</f>
        <v>13463.370999999999</v>
      </c>
      <c r="M20" s="516">
        <f t="shared" si="1"/>
        <v>0.61197140909090908</v>
      </c>
      <c r="N20" s="279">
        <f t="shared" si="6"/>
        <v>8536.6290000000008</v>
      </c>
      <c r="O20" s="516">
        <f t="shared" si="2"/>
        <v>0.38802859090909092</v>
      </c>
      <c r="P20" s="251">
        <f>+'P03 2024'!EL13</f>
        <v>3126</v>
      </c>
      <c r="Q20" s="251">
        <f t="shared" si="9"/>
        <v>510.58000000000004</v>
      </c>
      <c r="R20" s="516">
        <f t="shared" si="3"/>
        <v>0.16333333333333336</v>
      </c>
      <c r="S20" s="247">
        <v>0</v>
      </c>
      <c r="T20" s="247">
        <v>0</v>
      </c>
      <c r="U20" s="247">
        <f>+'P03 2025'!Q5</f>
        <v>560.07399999999996</v>
      </c>
      <c r="V20" s="247">
        <v>0</v>
      </c>
      <c r="W20" s="247">
        <v>0</v>
      </c>
      <c r="X20" s="251">
        <v>0</v>
      </c>
      <c r="Y20" s="251">
        <v>0</v>
      </c>
      <c r="Z20" s="430">
        <v>0</v>
      </c>
      <c r="AA20" s="430">
        <v>0</v>
      </c>
      <c r="AB20" s="281">
        <v>0</v>
      </c>
      <c r="AC20" s="281">
        <v>0</v>
      </c>
      <c r="AD20" s="281">
        <f>+'P03 2024'!CP7</f>
        <v>510.58000000000004</v>
      </c>
      <c r="AE20" s="281">
        <f>+'P03 2025'!DE5</f>
        <v>2902.9740000000002</v>
      </c>
      <c r="AF20" s="281">
        <v>0</v>
      </c>
      <c r="AG20" s="281">
        <f>+'P03 2025'!DZ5</f>
        <v>4495.0140000000001</v>
      </c>
      <c r="AH20" s="281">
        <v>0</v>
      </c>
      <c r="AI20" s="281">
        <v>0</v>
      </c>
      <c r="AJ20" s="281">
        <v>0</v>
      </c>
      <c r="AK20" s="281">
        <f>+'P03 2024'!GI6</f>
        <v>1896.6220000000001</v>
      </c>
      <c r="AL20" s="281">
        <f>+'P03 2024'!HA5</f>
        <v>2560.88</v>
      </c>
      <c r="AM20" s="1080"/>
      <c r="AN20" s="1080"/>
      <c r="AO20" s="1078"/>
      <c r="AP20" s="1078"/>
      <c r="AQ20" s="1078"/>
      <c r="AR20" s="1078"/>
      <c r="AS20" s="1078"/>
      <c r="AT20" s="1078"/>
      <c r="AU20" s="1078"/>
      <c r="AV20" s="1078"/>
    </row>
    <row r="21" spans="2:50" s="150" customFormat="1" ht="15" hidden="1" customHeight="1" x14ac:dyDescent="0.2">
      <c r="B21" s="375"/>
      <c r="C21" s="393"/>
      <c r="D21" s="254"/>
      <c r="E21" s="301">
        <v>5</v>
      </c>
      <c r="F21" s="147" t="s">
        <v>645</v>
      </c>
      <c r="G21" s="384" t="s">
        <v>328</v>
      </c>
      <c r="H21" s="175">
        <f>+'P03 2025'!H7</f>
        <v>600000</v>
      </c>
      <c r="I21" s="175">
        <f>+'P03 2025'!EJ10</f>
        <v>600000</v>
      </c>
      <c r="J21" s="175">
        <f ca="1">SUMIF(S$6:$AL$6,"ok",S21:AK21)</f>
        <v>69802.535000000003</v>
      </c>
      <c r="K21" s="516">
        <f t="shared" ca="1" si="0"/>
        <v>0.11633755833333334</v>
      </c>
      <c r="L21" s="175">
        <f>'P03 2025'!EK19</f>
        <v>219666.367</v>
      </c>
      <c r="M21" s="516">
        <f t="shared" si="1"/>
        <v>0.36611061166666664</v>
      </c>
      <c r="N21" s="279">
        <f t="shared" si="6"/>
        <v>380333.63300000003</v>
      </c>
      <c r="O21" s="516">
        <f t="shared" si="2"/>
        <v>0.63388938833333341</v>
      </c>
      <c r="P21" s="251">
        <f>+'P03 2024'!EL10</f>
        <v>312600</v>
      </c>
      <c r="Q21" s="251">
        <f>SUMIF($S$6:$AL$6,"SI",S21:AL21)</f>
        <v>90698.728892000014</v>
      </c>
      <c r="R21" s="516">
        <f t="shared" si="3"/>
        <v>0.29014308666666672</v>
      </c>
      <c r="S21" s="247">
        <v>0</v>
      </c>
      <c r="T21" s="247">
        <f>+'P03 2024'!J11</f>
        <v>58681.272000000004</v>
      </c>
      <c r="U21" s="247">
        <f>+'P03 2025'!Q6</f>
        <v>3223.453</v>
      </c>
      <c r="V21" s="247">
        <v>0</v>
      </c>
      <c r="W21" s="247">
        <f>+'P03 2025'!AJ4</f>
        <v>2786.0549999999998</v>
      </c>
      <c r="X21" s="251">
        <v>0</v>
      </c>
      <c r="Y21" s="251">
        <f>+'P03 2025'!BC7</f>
        <v>3793.027</v>
      </c>
      <c r="Z21" s="430">
        <v>0</v>
      </c>
      <c r="AA21" s="430">
        <f>'P03 2025'!BU5</f>
        <v>60000</v>
      </c>
      <c r="AB21" s="281">
        <v>0</v>
      </c>
      <c r="AC21" s="281">
        <v>0</v>
      </c>
      <c r="AD21" s="281">
        <v>0</v>
      </c>
      <c r="AE21" s="281">
        <v>0</v>
      </c>
      <c r="AF21" s="281">
        <f>+'P03 2024'!DH5</f>
        <v>28840.511428000002</v>
      </c>
      <c r="AG21" s="281">
        <v>0</v>
      </c>
      <c r="AH21" s="281">
        <f>+'P03 2024'!EB3</f>
        <v>3176.9454639999999</v>
      </c>
      <c r="AI21" s="281">
        <v>0</v>
      </c>
      <c r="AJ21" s="281">
        <v>0</v>
      </c>
      <c r="AK21" s="281">
        <v>0</v>
      </c>
      <c r="AL21" s="281">
        <f>+'P03 2024'!HA6</f>
        <v>110302.648</v>
      </c>
      <c r="AM21" s="1080"/>
      <c r="AN21" s="1080"/>
      <c r="AO21" s="1078"/>
      <c r="AP21" s="1078"/>
      <c r="AQ21" s="1078"/>
      <c r="AR21" s="1078"/>
      <c r="AS21" s="1078"/>
      <c r="AT21" s="1078"/>
      <c r="AU21" s="1078"/>
      <c r="AV21" s="1078"/>
    </row>
    <row r="22" spans="2:50" s="150" customFormat="1" ht="15" hidden="1" customHeight="1" x14ac:dyDescent="0.2">
      <c r="B22" s="375"/>
      <c r="C22" s="393"/>
      <c r="D22" s="254"/>
      <c r="E22" s="301">
        <v>6</v>
      </c>
      <c r="F22" s="147" t="s">
        <v>646</v>
      </c>
      <c r="G22" s="384" t="s">
        <v>329</v>
      </c>
      <c r="H22" s="175">
        <f>+'P03 2025'!H6</f>
        <v>611893</v>
      </c>
      <c r="I22" s="175">
        <f>+'P03 2025'!EJ9</f>
        <v>611893</v>
      </c>
      <c r="J22" s="175">
        <f ca="1">SUMIF(S$6:$AL$6,"ok",S22:AK22)</f>
        <v>0</v>
      </c>
      <c r="K22" s="516">
        <f t="shared" ca="1" si="0"/>
        <v>0</v>
      </c>
      <c r="L22" s="175">
        <v>0</v>
      </c>
      <c r="M22" s="516">
        <f t="shared" si="1"/>
        <v>0</v>
      </c>
      <c r="N22" s="279">
        <f t="shared" si="6"/>
        <v>611893</v>
      </c>
      <c r="O22" s="516">
        <f t="shared" si="2"/>
        <v>1</v>
      </c>
      <c r="P22" s="251">
        <f>+'P03 2024'!EL9</f>
        <v>611892.61800000002</v>
      </c>
      <c r="Q22" s="251">
        <f t="shared" si="9"/>
        <v>51086.581017999997</v>
      </c>
      <c r="R22" s="516">
        <f t="shared" si="3"/>
        <v>8.3489454710172689E-2</v>
      </c>
      <c r="S22" s="247">
        <v>0</v>
      </c>
      <c r="T22" s="247">
        <f>+'P03 2024'!J12</f>
        <v>51086.581017999997</v>
      </c>
      <c r="U22" s="247">
        <v>0</v>
      </c>
      <c r="V22" s="247">
        <v>0</v>
      </c>
      <c r="W22" s="247">
        <v>0</v>
      </c>
      <c r="X22" s="251">
        <v>0</v>
      </c>
      <c r="Y22" s="251">
        <v>0</v>
      </c>
      <c r="Z22" s="430">
        <v>0</v>
      </c>
      <c r="AA22" s="430">
        <v>0</v>
      </c>
      <c r="AB22" s="281">
        <v>0</v>
      </c>
      <c r="AC22" s="281">
        <v>0</v>
      </c>
      <c r="AD22" s="281">
        <v>0</v>
      </c>
      <c r="AE22" s="281">
        <v>0</v>
      </c>
      <c r="AF22" s="281">
        <v>0</v>
      </c>
      <c r="AG22" s="281">
        <v>0</v>
      </c>
      <c r="AH22" s="281">
        <v>0</v>
      </c>
      <c r="AI22" s="281">
        <v>0</v>
      </c>
      <c r="AJ22" s="281">
        <v>0</v>
      </c>
      <c r="AK22" s="281">
        <v>0</v>
      </c>
      <c r="AL22" s="281">
        <f>+'P03 2024'!HA4</f>
        <v>536145.16</v>
      </c>
      <c r="AM22" s="1080"/>
      <c r="AN22" s="1080"/>
      <c r="AO22" s="1078"/>
      <c r="AP22" s="1078"/>
      <c r="AQ22" s="1078"/>
      <c r="AR22" s="1078"/>
      <c r="AS22" s="1078"/>
      <c r="AT22" s="1078"/>
      <c r="AU22" s="1078"/>
      <c r="AV22" s="1078"/>
    </row>
    <row r="23" spans="2:50" s="150" customFormat="1" ht="15" hidden="1" customHeight="1" x14ac:dyDescent="0.2">
      <c r="B23" s="375"/>
      <c r="C23" s="393"/>
      <c r="D23" s="254">
        <v>407</v>
      </c>
      <c r="E23" s="301"/>
      <c r="F23" s="147" t="s">
        <v>893</v>
      </c>
      <c r="G23" s="384" t="s">
        <v>918</v>
      </c>
      <c r="H23" s="175">
        <v>0</v>
      </c>
      <c r="I23" s="175">
        <v>0</v>
      </c>
      <c r="J23" s="175">
        <f ca="1">SUMIF(S$6:$AL$6,"ok",S23:AK23)</f>
        <v>0</v>
      </c>
      <c r="K23" s="516" t="str">
        <f t="shared" ca="1" si="0"/>
        <v>0.00%</v>
      </c>
      <c r="L23" s="175">
        <v>0</v>
      </c>
      <c r="M23" s="516">
        <f t="shared" si="1"/>
        <v>0</v>
      </c>
      <c r="N23" s="279">
        <f t="shared" si="6"/>
        <v>0</v>
      </c>
      <c r="O23" s="516">
        <f t="shared" si="2"/>
        <v>0</v>
      </c>
      <c r="P23" s="251">
        <f>+'P03 2024'!EL21</f>
        <v>483694.31599999999</v>
      </c>
      <c r="Q23" s="251">
        <f t="shared" si="9"/>
        <v>156828.642028</v>
      </c>
      <c r="R23" s="516">
        <f t="shared" si="3"/>
        <v>0.32423089716026354</v>
      </c>
      <c r="S23" s="247">
        <v>0</v>
      </c>
      <c r="T23" s="247">
        <v>0</v>
      </c>
      <c r="U23" s="247">
        <v>0</v>
      </c>
      <c r="V23" s="247">
        <v>0</v>
      </c>
      <c r="W23" s="247">
        <v>0</v>
      </c>
      <c r="X23" s="251">
        <v>0</v>
      </c>
      <c r="Y23" s="251">
        <v>0</v>
      </c>
      <c r="Z23" s="430">
        <v>0</v>
      </c>
      <c r="AA23" s="430">
        <v>0</v>
      </c>
      <c r="AB23" s="281">
        <f>+'P03 2024'!BW6</f>
        <v>32697.960000000003</v>
      </c>
      <c r="AC23" s="281">
        <v>0</v>
      </c>
      <c r="AD23" s="281">
        <f>+'P03 2024'!CP8</f>
        <v>18016.18</v>
      </c>
      <c r="AE23" s="281">
        <v>0</v>
      </c>
      <c r="AF23" s="281">
        <f>+'P03 2024'!DH6</f>
        <v>66503.914027999999</v>
      </c>
      <c r="AG23" s="281">
        <v>0</v>
      </c>
      <c r="AH23" s="281">
        <f>+'P03 2024'!EB6</f>
        <v>39610.588000000003</v>
      </c>
      <c r="AI23" s="281">
        <v>0</v>
      </c>
      <c r="AJ23" s="281">
        <f>'P03 2024'!FP5</f>
        <v>76854.497000000003</v>
      </c>
      <c r="AK23" s="281">
        <f>+'P03 2024'!GI8</f>
        <v>41778.750999999997</v>
      </c>
      <c r="AL23" s="281">
        <f>+'P03 2024'!HA8</f>
        <v>38000</v>
      </c>
      <c r="AM23" s="1080"/>
      <c r="AN23" s="1080"/>
      <c r="AO23" s="1078"/>
      <c r="AP23" s="1078"/>
      <c r="AQ23" s="1078"/>
      <c r="AR23" s="1078"/>
      <c r="AS23" s="1078"/>
      <c r="AT23" s="1078"/>
      <c r="AU23" s="1078"/>
      <c r="AV23" s="1078"/>
    </row>
    <row r="24" spans="2:50" s="150" customFormat="1" ht="15" customHeight="1" x14ac:dyDescent="0.2">
      <c r="B24" s="375"/>
      <c r="C24" s="393">
        <v>9</v>
      </c>
      <c r="D24" s="254"/>
      <c r="E24" s="301"/>
      <c r="F24" s="147"/>
      <c r="G24" s="384" t="s">
        <v>1006</v>
      </c>
      <c r="H24" s="175">
        <f>+H25</f>
        <v>471602</v>
      </c>
      <c r="I24" s="175">
        <f>+I25</f>
        <v>471602</v>
      </c>
      <c r="J24" s="175">
        <f ca="1">SUMIF(S$6:$AL$6,"ok",S24:AK24)</f>
        <v>296256.60900000005</v>
      </c>
      <c r="K24" s="516">
        <f t="shared" ca="1" si="0"/>
        <v>0.62819201148426018</v>
      </c>
      <c r="L24" s="175">
        <f>+L25</f>
        <v>466971.29300000006</v>
      </c>
      <c r="M24" s="516">
        <f t="shared" si="1"/>
        <v>0.99018090042026974</v>
      </c>
      <c r="N24" s="279">
        <f t="shared" si="6"/>
        <v>4630.7069999999367</v>
      </c>
      <c r="O24" s="516">
        <f t="shared" si="2"/>
        <v>9.8190995797302321E-3</v>
      </c>
      <c r="P24" s="251">
        <f>+P25</f>
        <v>0</v>
      </c>
      <c r="Q24" s="251">
        <f>+Q25</f>
        <v>0</v>
      </c>
      <c r="R24" s="516" t="str">
        <f t="shared" si="3"/>
        <v>0.00%</v>
      </c>
      <c r="S24" s="247">
        <f>+S25</f>
        <v>36000</v>
      </c>
      <c r="T24" s="247">
        <v>0</v>
      </c>
      <c r="U24" s="247">
        <f>+U25</f>
        <v>36000</v>
      </c>
      <c r="V24" s="247">
        <v>0</v>
      </c>
      <c r="W24" s="251">
        <f>+W25</f>
        <v>36031.607000000004</v>
      </c>
      <c r="X24" s="251">
        <v>0</v>
      </c>
      <c r="Y24" s="430">
        <f>+Y25</f>
        <v>42000</v>
      </c>
      <c r="Z24" s="430">
        <v>0</v>
      </c>
      <c r="AA24" s="430">
        <f>AA25</f>
        <v>36031.607000000004</v>
      </c>
      <c r="AB24" s="430">
        <v>0</v>
      </c>
      <c r="AC24" s="430">
        <f>+AC25</f>
        <v>34381.71</v>
      </c>
      <c r="AD24" s="430">
        <v>0</v>
      </c>
      <c r="AE24" s="430">
        <f>+AE25</f>
        <v>39779.876000000004</v>
      </c>
      <c r="AF24" s="430">
        <v>0</v>
      </c>
      <c r="AG24" s="430">
        <f>+AG25</f>
        <v>36031.809000000001</v>
      </c>
      <c r="AH24" s="430">
        <v>0</v>
      </c>
      <c r="AI24" s="430">
        <v>0</v>
      </c>
      <c r="AJ24" s="430">
        <v>0</v>
      </c>
      <c r="AK24" s="430">
        <v>0</v>
      </c>
      <c r="AL24" s="430">
        <v>0</v>
      </c>
      <c r="AM24" s="1080"/>
      <c r="AN24" s="1080"/>
      <c r="AO24" s="1078"/>
      <c r="AP24" s="1078"/>
      <c r="AQ24" s="1078"/>
      <c r="AR24" s="1078"/>
      <c r="AS24" s="1078"/>
      <c r="AT24" s="1078"/>
      <c r="AU24" s="1078"/>
      <c r="AV24" s="1078"/>
    </row>
    <row r="25" spans="2:50" s="150" customFormat="1" ht="15" customHeight="1" x14ac:dyDescent="0.2">
      <c r="B25" s="375"/>
      <c r="C25" s="393"/>
      <c r="D25" s="254">
        <v>407</v>
      </c>
      <c r="E25" s="301"/>
      <c r="F25" s="147"/>
      <c r="G25" s="384" t="s">
        <v>918</v>
      </c>
      <c r="H25" s="175">
        <f>+'P03 2025'!H17</f>
        <v>471602</v>
      </c>
      <c r="I25" s="175">
        <f>+I26+I27+I28</f>
        <v>471602</v>
      </c>
      <c r="J25" s="175">
        <f ca="1">SUMIF(S$6:$AL$6,"ok",S25:AK25)</f>
        <v>296256.60900000005</v>
      </c>
      <c r="K25" s="516">
        <f t="shared" ca="1" si="0"/>
        <v>0.62819201148426018</v>
      </c>
      <c r="L25" s="175">
        <f>+L26+L27+L28</f>
        <v>466971.29300000006</v>
      </c>
      <c r="M25" s="516">
        <f t="shared" si="1"/>
        <v>0.99018090042026974</v>
      </c>
      <c r="N25" s="279">
        <f t="shared" si="6"/>
        <v>4630.7069999999367</v>
      </c>
      <c r="O25" s="516">
        <f t="shared" si="2"/>
        <v>9.8190995797302321E-3</v>
      </c>
      <c r="P25" s="251">
        <v>0</v>
      </c>
      <c r="Q25" s="251">
        <v>0</v>
      </c>
      <c r="R25" s="516" t="str">
        <f t="shared" si="3"/>
        <v>0.00%</v>
      </c>
      <c r="S25" s="247">
        <f>+S26+S27</f>
        <v>36000</v>
      </c>
      <c r="T25" s="247">
        <v>0</v>
      </c>
      <c r="U25" s="247">
        <f>+U26+U27</f>
        <v>36000</v>
      </c>
      <c r="V25" s="247">
        <v>0</v>
      </c>
      <c r="W25" s="251">
        <f>+W26+W27</f>
        <v>36031.607000000004</v>
      </c>
      <c r="X25" s="251">
        <f>+X26+X27</f>
        <v>0</v>
      </c>
      <c r="Y25" s="251">
        <f>+Y26+Y27</f>
        <v>42000</v>
      </c>
      <c r="Z25" s="430">
        <v>0</v>
      </c>
      <c r="AA25" s="430">
        <f>SUM(AA26:AA27)</f>
        <v>36031.607000000004</v>
      </c>
      <c r="AB25" s="430">
        <v>0</v>
      </c>
      <c r="AC25" s="430">
        <f>+AC26+AC27+AC28</f>
        <v>34381.71</v>
      </c>
      <c r="AD25" s="430">
        <v>0</v>
      </c>
      <c r="AE25" s="430">
        <f>+AE26+AE27+AE28</f>
        <v>39779.876000000004</v>
      </c>
      <c r="AF25" s="430">
        <v>0</v>
      </c>
      <c r="AG25" s="430">
        <f>+AG26+AG27+AG28</f>
        <v>36031.809000000001</v>
      </c>
      <c r="AH25" s="430">
        <v>0</v>
      </c>
      <c r="AI25" s="430">
        <v>0</v>
      </c>
      <c r="AJ25" s="430">
        <v>0</v>
      </c>
      <c r="AK25" s="430">
        <v>0</v>
      </c>
      <c r="AL25" s="430">
        <v>0</v>
      </c>
      <c r="AM25" s="1080"/>
      <c r="AN25" s="1080"/>
      <c r="AO25" s="1078"/>
      <c r="AP25" s="1078"/>
      <c r="AQ25" s="1078"/>
      <c r="AR25" s="1078"/>
      <c r="AS25" s="1078"/>
      <c r="AT25" s="1078"/>
      <c r="AU25" s="1078"/>
      <c r="AV25" s="1078"/>
      <c r="AW25" s="1079"/>
    </row>
    <row r="26" spans="2:50" s="150" customFormat="1" ht="15" hidden="1" customHeight="1" x14ac:dyDescent="0.2">
      <c r="B26" s="375"/>
      <c r="C26" s="393"/>
      <c r="D26" s="254"/>
      <c r="E26" s="301"/>
      <c r="F26" s="147"/>
      <c r="G26" s="384" t="s">
        <v>1029</v>
      </c>
      <c r="H26" s="175">
        <v>0</v>
      </c>
      <c r="I26" s="175">
        <f>'P03 2025'!EJ25</f>
        <v>467641.59999999998</v>
      </c>
      <c r="J26" s="175">
        <f ca="1">SUMIF(S$6:$AL$6,"ok",S26:AK26)</f>
        <v>295666.66700000002</v>
      </c>
      <c r="K26" s="516">
        <f t="shared" ca="1" si="0"/>
        <v>0.6322505675286374</v>
      </c>
      <c r="L26" s="175">
        <f>+'P03 2025'!EK32</f>
        <v>465666.66700000002</v>
      </c>
      <c r="M26" s="516">
        <f t="shared" si="1"/>
        <v>0.99577682353323582</v>
      </c>
      <c r="N26" s="279">
        <f t="shared" si="6"/>
        <v>1974.9329999999609</v>
      </c>
      <c r="O26" s="516">
        <f t="shared" si="2"/>
        <v>4.2231764667642075E-3</v>
      </c>
      <c r="P26" s="251">
        <v>0</v>
      </c>
      <c r="Q26" s="251">
        <v>0</v>
      </c>
      <c r="R26" s="516" t="str">
        <f t="shared" si="3"/>
        <v>0.00%</v>
      </c>
      <c r="S26" s="247">
        <f>+'P03 2025'!J20</f>
        <v>36000</v>
      </c>
      <c r="T26" s="247">
        <v>0</v>
      </c>
      <c r="U26" s="247">
        <f>+'P03 2025'!J20</f>
        <v>36000</v>
      </c>
      <c r="V26" s="247">
        <v>0</v>
      </c>
      <c r="W26" s="247">
        <f>+'P03 2025'!AJ8</f>
        <v>36000</v>
      </c>
      <c r="X26" s="251">
        <v>0</v>
      </c>
      <c r="Y26" s="251">
        <f>+'P03 2025'!BC9</f>
        <v>42000</v>
      </c>
      <c r="Z26" s="430">
        <v>0</v>
      </c>
      <c r="AA26" s="430">
        <f>'P03 2025'!BU8</f>
        <v>36000</v>
      </c>
      <c r="AB26" s="430">
        <v>0</v>
      </c>
      <c r="AC26" s="430">
        <f>+'P03 2025'!CM7</f>
        <v>34000</v>
      </c>
      <c r="AD26" s="430">
        <v>0</v>
      </c>
      <c r="AE26" s="430">
        <f>+'P03 2025'!DE9</f>
        <v>39666.667000000001</v>
      </c>
      <c r="AF26" s="430">
        <v>0</v>
      </c>
      <c r="AG26" s="430">
        <f>+'P03 2025'!DZ7</f>
        <v>36000</v>
      </c>
      <c r="AH26" s="430">
        <v>0</v>
      </c>
      <c r="AI26" s="430">
        <v>0</v>
      </c>
      <c r="AJ26" s="430">
        <v>0</v>
      </c>
      <c r="AK26" s="430">
        <v>0</v>
      </c>
      <c r="AL26" s="430">
        <v>0</v>
      </c>
      <c r="AM26" s="1080"/>
      <c r="AN26" s="1080"/>
      <c r="AO26" s="1078"/>
      <c r="AP26" s="1078"/>
      <c r="AQ26" s="1078"/>
      <c r="AR26" s="1078"/>
      <c r="AS26" s="1078"/>
      <c r="AT26" s="1078"/>
      <c r="AU26" s="1078"/>
      <c r="AV26" s="1078"/>
    </row>
    <row r="27" spans="2:50" s="150" customFormat="1" ht="15" hidden="1" customHeight="1" x14ac:dyDescent="0.2">
      <c r="B27" s="375"/>
      <c r="C27" s="393"/>
      <c r="D27" s="254"/>
      <c r="E27" s="301"/>
      <c r="F27" s="147"/>
      <c r="G27" s="384" t="s">
        <v>1051</v>
      </c>
      <c r="H27" s="175">
        <v>0</v>
      </c>
      <c r="I27" s="175">
        <f>+'P03 2025'!EJ26</f>
        <v>3602</v>
      </c>
      <c r="J27" s="175">
        <f ca="1">SUMIF(S$6:$AL$6,"ok",S27:AK27)</f>
        <v>476.733</v>
      </c>
      <c r="K27" s="516">
        <f t="shared" ca="1" si="0"/>
        <v>0.13235230427540257</v>
      </c>
      <c r="L27" s="175">
        <f>'P03 2025'!EK28</f>
        <v>970.37800000000004</v>
      </c>
      <c r="M27" s="516">
        <f t="shared" si="1"/>
        <v>0.26939977790116604</v>
      </c>
      <c r="N27" s="279">
        <f t="shared" si="6"/>
        <v>2631.6219999999998</v>
      </c>
      <c r="O27" s="516">
        <f t="shared" si="2"/>
        <v>0.73060022209883391</v>
      </c>
      <c r="P27" s="251">
        <v>0</v>
      </c>
      <c r="Q27" s="251">
        <v>0</v>
      </c>
      <c r="R27" s="516" t="str">
        <f t="shared" si="3"/>
        <v>0.00%</v>
      </c>
      <c r="S27" s="247">
        <v>0</v>
      </c>
      <c r="T27" s="247">
        <v>0</v>
      </c>
      <c r="U27" s="247"/>
      <c r="V27" s="247">
        <v>0</v>
      </c>
      <c r="W27" s="247">
        <f>+'P03 2025'!AJ7</f>
        <v>31.606999999999999</v>
      </c>
      <c r="X27" s="251">
        <v>0</v>
      </c>
      <c r="Y27" s="251">
        <v>0</v>
      </c>
      <c r="Z27" s="430">
        <v>0</v>
      </c>
      <c r="AA27" s="430">
        <f>'P03 2025'!BU7</f>
        <v>31.606999999999999</v>
      </c>
      <c r="AB27" s="430">
        <v>0</v>
      </c>
      <c r="AC27" s="430">
        <f>+'P03 2025'!CM6</f>
        <v>381.71</v>
      </c>
      <c r="AD27" s="430">
        <v>0</v>
      </c>
      <c r="AE27" s="430">
        <v>0</v>
      </c>
      <c r="AF27" s="430">
        <v>0</v>
      </c>
      <c r="AG27" s="430">
        <f>+'P03 2025'!DZ8</f>
        <v>31.809000000000001</v>
      </c>
      <c r="AH27" s="430">
        <v>0</v>
      </c>
      <c r="AI27" s="430">
        <v>0</v>
      </c>
      <c r="AJ27" s="430">
        <v>0</v>
      </c>
      <c r="AK27" s="430">
        <v>0</v>
      </c>
      <c r="AL27" s="430">
        <v>0</v>
      </c>
      <c r="AM27" s="1080"/>
      <c r="AN27" s="1080"/>
      <c r="AO27" s="1078"/>
      <c r="AP27" s="1078"/>
      <c r="AQ27" s="1078"/>
      <c r="AR27" s="1078"/>
      <c r="AS27" s="1078"/>
      <c r="AT27" s="1078"/>
      <c r="AU27" s="1078"/>
      <c r="AV27" s="1078"/>
    </row>
    <row r="28" spans="2:50" s="150" customFormat="1" ht="15" hidden="1" customHeight="1" x14ac:dyDescent="0.2">
      <c r="B28" s="375"/>
      <c r="C28" s="393"/>
      <c r="D28" s="254"/>
      <c r="E28" s="301"/>
      <c r="F28" s="147"/>
      <c r="G28" s="384" t="s">
        <v>1078</v>
      </c>
      <c r="H28" s="175">
        <v>0</v>
      </c>
      <c r="I28" s="175">
        <f>'P03 2025'!EJ27</f>
        <v>358.4</v>
      </c>
      <c r="J28" s="175">
        <f ca="1">SUMIF(S$6:$AL$6,"ok",S28:AK28)</f>
        <v>113.209</v>
      </c>
      <c r="K28" s="516">
        <f t="shared" ca="1" si="0"/>
        <v>0.31587332589285716</v>
      </c>
      <c r="L28" s="175">
        <f>'P03 2025'!EK30</f>
        <v>334.24799999999999</v>
      </c>
      <c r="M28" s="516">
        <f t="shared" si="1"/>
        <v>0.93261160714285718</v>
      </c>
      <c r="N28" s="279">
        <f t="shared" si="6"/>
        <v>24.151999999999987</v>
      </c>
      <c r="O28" s="516">
        <f t="shared" si="2"/>
        <v>6.738839285714282E-2</v>
      </c>
      <c r="P28" s="251">
        <v>0</v>
      </c>
      <c r="Q28" s="251">
        <v>0</v>
      </c>
      <c r="R28" s="516" t="str">
        <f t="shared" si="3"/>
        <v>0.00%</v>
      </c>
      <c r="S28" s="247"/>
      <c r="T28" s="247"/>
      <c r="U28" s="247"/>
      <c r="V28" s="247"/>
      <c r="W28" s="247"/>
      <c r="X28" s="251"/>
      <c r="Y28" s="251"/>
      <c r="Z28" s="430"/>
      <c r="AA28" s="430">
        <v>0</v>
      </c>
      <c r="AB28" s="430">
        <v>0</v>
      </c>
      <c r="AC28" s="430">
        <v>0</v>
      </c>
      <c r="AD28" s="430">
        <v>0</v>
      </c>
      <c r="AE28" s="430">
        <f>+'P03 2025'!DE10</f>
        <v>113.209</v>
      </c>
      <c r="AF28" s="430">
        <v>0</v>
      </c>
      <c r="AG28" s="430">
        <v>0</v>
      </c>
      <c r="AH28" s="430"/>
      <c r="AI28" s="430"/>
      <c r="AJ28" s="430"/>
      <c r="AK28" s="430"/>
      <c r="AL28" s="430"/>
      <c r="AM28" s="1080"/>
      <c r="AN28" s="1080"/>
      <c r="AO28" s="1078"/>
      <c r="AP28" s="1078"/>
      <c r="AQ28" s="1078"/>
      <c r="AR28" s="1078"/>
      <c r="AS28" s="1078"/>
      <c r="AT28" s="1078"/>
      <c r="AU28" s="1078"/>
      <c r="AV28" s="1078"/>
    </row>
    <row r="29" spans="2:50" s="74" customFormat="1" ht="15" customHeight="1" x14ac:dyDescent="0.2">
      <c r="B29" s="508">
        <v>25</v>
      </c>
      <c r="C29" s="172" t="s">
        <v>2</v>
      </c>
      <c r="D29" s="38"/>
      <c r="E29" s="92"/>
      <c r="F29" s="93"/>
      <c r="G29" s="403" t="s">
        <v>992</v>
      </c>
      <c r="H29" s="86">
        <f>+H30</f>
        <v>9.9960000000000004</v>
      </c>
      <c r="I29" s="86">
        <f>+I30</f>
        <v>9.9960000000000004</v>
      </c>
      <c r="J29" s="88">
        <f ca="1">SUMIF(S$6:$AL13,"ok",S29:AK29)</f>
        <v>3637.1770000000001</v>
      </c>
      <c r="K29" s="514">
        <v>1</v>
      </c>
      <c r="L29" s="88">
        <f>+L30</f>
        <v>3637.1770000000001</v>
      </c>
      <c r="M29" s="514">
        <v>1</v>
      </c>
      <c r="N29" s="55">
        <f t="shared" si="6"/>
        <v>-3627.181</v>
      </c>
      <c r="O29" s="514">
        <v>1</v>
      </c>
      <c r="P29" s="87">
        <f>+P30</f>
        <v>10.5242</v>
      </c>
      <c r="Q29" s="87">
        <f>+Q30</f>
        <v>0</v>
      </c>
      <c r="R29" s="514">
        <f t="shared" si="3"/>
        <v>0</v>
      </c>
      <c r="S29" s="146">
        <f>+S30</f>
        <v>0</v>
      </c>
      <c r="T29" s="146">
        <f>+T30</f>
        <v>0</v>
      </c>
      <c r="U29" s="87">
        <v>0</v>
      </c>
      <c r="V29" s="87">
        <v>0</v>
      </c>
      <c r="W29" s="87">
        <v>0</v>
      </c>
      <c r="X29" s="87">
        <v>0</v>
      </c>
      <c r="Y29" s="87">
        <f>+Y30</f>
        <v>0</v>
      </c>
      <c r="Z29" s="86">
        <v>0</v>
      </c>
      <c r="AA29" s="86">
        <f>AA30</f>
        <v>3637.1770000000001</v>
      </c>
      <c r="AB29" s="155">
        <f>+AB30</f>
        <v>0</v>
      </c>
      <c r="AC29" s="155">
        <v>0</v>
      </c>
      <c r="AD29" s="155">
        <v>0</v>
      </c>
      <c r="AE29" s="428">
        <f>+AE30</f>
        <v>0</v>
      </c>
      <c r="AF29" s="428">
        <f>+AF30</f>
        <v>0</v>
      </c>
      <c r="AG29" s="428">
        <v>0</v>
      </c>
      <c r="AH29" s="428">
        <v>0</v>
      </c>
      <c r="AI29" s="428">
        <v>0</v>
      </c>
      <c r="AJ29" s="428">
        <f>SUM(AJ30:AJ32)</f>
        <v>0</v>
      </c>
      <c r="AK29" s="428">
        <f>+AK30</f>
        <v>5814755.9890000001</v>
      </c>
      <c r="AL29" s="428">
        <f>+AL30</f>
        <v>565224.28500000003</v>
      </c>
      <c r="AN29" s="245"/>
      <c r="AO29" s="10"/>
      <c r="AP29" s="10"/>
      <c r="AQ29" s="10"/>
      <c r="AR29" s="10"/>
      <c r="AS29" s="10"/>
      <c r="AT29" s="10"/>
      <c r="AU29" s="10"/>
      <c r="AV29" s="10"/>
      <c r="AW29" s="98"/>
      <c r="AX29" s="98"/>
    </row>
    <row r="30" spans="2:50" s="150" customFormat="1" ht="15.6" customHeight="1" x14ac:dyDescent="0.2">
      <c r="B30" s="375"/>
      <c r="C30" s="393">
        <v>99</v>
      </c>
      <c r="D30" s="254"/>
      <c r="E30" s="301"/>
      <c r="F30" s="147" t="s">
        <v>647</v>
      </c>
      <c r="G30" s="422" t="s">
        <v>510</v>
      </c>
      <c r="H30" s="175">
        <f>+H32</f>
        <v>9.9960000000000004</v>
      </c>
      <c r="I30" s="279">
        <f>+I32</f>
        <v>9.9960000000000004</v>
      </c>
      <c r="J30" s="175">
        <f ca="1">SUMIF(S$6:$AL14,"ok",S30:AK30)</f>
        <v>3637.1770000000001</v>
      </c>
      <c r="K30" s="516">
        <v>1</v>
      </c>
      <c r="L30" s="280">
        <f>+L31+L32</f>
        <v>3637.1770000000001</v>
      </c>
      <c r="M30" s="516">
        <v>1</v>
      </c>
      <c r="N30" s="279">
        <f t="shared" si="6"/>
        <v>-3627.181</v>
      </c>
      <c r="O30" s="516">
        <v>10</v>
      </c>
      <c r="P30" s="251">
        <f>+P32</f>
        <v>10.5242</v>
      </c>
      <c r="Q30" s="251">
        <f>SUMIF($S$6:$AL$6,"SI",S30:AL30)</f>
        <v>0</v>
      </c>
      <c r="R30" s="516">
        <f t="shared" si="3"/>
        <v>0</v>
      </c>
      <c r="S30" s="247">
        <v>0</v>
      </c>
      <c r="T30" s="247">
        <v>0</v>
      </c>
      <c r="U30" s="247">
        <f>+U32</f>
        <v>0</v>
      </c>
      <c r="V30" s="247">
        <v>0</v>
      </c>
      <c r="W30" s="247">
        <v>0</v>
      </c>
      <c r="X30" s="251">
        <v>0</v>
      </c>
      <c r="Y30" s="251">
        <f>+Y32</f>
        <v>0</v>
      </c>
      <c r="Z30" s="430">
        <v>0</v>
      </c>
      <c r="AA30" s="430">
        <f>SUM(AA31:AA32)</f>
        <v>3637.1770000000001</v>
      </c>
      <c r="AB30" s="281">
        <v>0</v>
      </c>
      <c r="AC30" s="281">
        <v>0</v>
      </c>
      <c r="AD30" s="281">
        <v>0</v>
      </c>
      <c r="AE30" s="281">
        <v>0</v>
      </c>
      <c r="AF30" s="281">
        <v>0</v>
      </c>
      <c r="AG30" s="281">
        <v>0</v>
      </c>
      <c r="AH30" s="281">
        <v>0</v>
      </c>
      <c r="AI30" s="281">
        <v>0</v>
      </c>
      <c r="AJ30" s="281">
        <v>0</v>
      </c>
      <c r="AK30" s="281">
        <f>+'P03 2024'!GI9</f>
        <v>5814755.9890000001</v>
      </c>
      <c r="AL30" s="281">
        <f>+'P03 2024'!HA9</f>
        <v>565224.28500000003</v>
      </c>
      <c r="AM30" s="1087"/>
      <c r="AN30" s="899"/>
      <c r="AO30" s="1078"/>
      <c r="AP30" s="1078"/>
      <c r="AQ30" s="1078"/>
      <c r="AR30" s="1078"/>
      <c r="AS30" s="1078"/>
      <c r="AT30" s="1078"/>
      <c r="AU30" s="1078"/>
      <c r="AV30" s="1078"/>
    </row>
    <row r="31" spans="2:50" s="150" customFormat="1" ht="15" hidden="1" customHeight="1" x14ac:dyDescent="0.2">
      <c r="B31" s="375"/>
      <c r="C31" s="393"/>
      <c r="D31" s="254"/>
      <c r="E31" s="301"/>
      <c r="F31" s="147" t="s">
        <v>886</v>
      </c>
      <c r="G31" s="422" t="s">
        <v>885</v>
      </c>
      <c r="H31" s="175">
        <v>0</v>
      </c>
      <c r="I31" s="279">
        <v>0</v>
      </c>
      <c r="J31" s="175">
        <f ca="1">SUMIF(S$6:$AL$6,"ok",S31:AK31)</f>
        <v>3637.1770000000001</v>
      </c>
      <c r="K31" s="516" t="str">
        <f t="shared" ca="1" si="0"/>
        <v>0.00%</v>
      </c>
      <c r="L31" s="280">
        <f>'P03 2025'!EK35</f>
        <v>3637.1770000000001</v>
      </c>
      <c r="M31" s="516">
        <f t="shared" si="1"/>
        <v>0</v>
      </c>
      <c r="N31" s="279">
        <f t="shared" si="6"/>
        <v>-3637.1770000000001</v>
      </c>
      <c r="O31" s="516">
        <f t="shared" si="2"/>
        <v>0</v>
      </c>
      <c r="P31" s="251">
        <v>0</v>
      </c>
      <c r="Q31" s="251">
        <v>0</v>
      </c>
      <c r="R31" s="516" t="str">
        <f t="shared" si="3"/>
        <v>0.00%</v>
      </c>
      <c r="S31" s="247"/>
      <c r="T31" s="247"/>
      <c r="U31" s="247"/>
      <c r="V31" s="247"/>
      <c r="W31" s="247"/>
      <c r="X31" s="251"/>
      <c r="Y31" s="251"/>
      <c r="Z31" s="430"/>
      <c r="AA31" s="430">
        <f>'P03 2025'!BU9</f>
        <v>3637.1770000000001</v>
      </c>
      <c r="AB31" s="281">
        <v>0</v>
      </c>
      <c r="AC31" s="281">
        <v>0</v>
      </c>
      <c r="AD31" s="281">
        <v>0</v>
      </c>
      <c r="AE31" s="281">
        <v>0</v>
      </c>
      <c r="AF31" s="281">
        <v>0</v>
      </c>
      <c r="AG31" s="281">
        <v>0</v>
      </c>
      <c r="AH31" s="281">
        <v>0</v>
      </c>
      <c r="AI31" s="281"/>
      <c r="AJ31" s="281"/>
      <c r="AK31" s="281"/>
      <c r="AL31" s="281"/>
      <c r="AM31" s="1087"/>
      <c r="AN31" s="899"/>
      <c r="AO31" s="1078"/>
      <c r="AP31" s="1078"/>
      <c r="AQ31" s="1078"/>
      <c r="AR31" s="1078"/>
      <c r="AS31" s="1078"/>
      <c r="AT31" s="1078"/>
      <c r="AU31" s="1078"/>
      <c r="AV31" s="1078"/>
    </row>
    <row r="32" spans="2:50" s="150" customFormat="1" ht="16.5" hidden="1" customHeight="1" x14ac:dyDescent="0.2">
      <c r="B32" s="375"/>
      <c r="C32" s="393"/>
      <c r="D32" s="254"/>
      <c r="E32" s="301"/>
      <c r="F32" s="147" t="s">
        <v>854</v>
      </c>
      <c r="G32" s="422" t="s">
        <v>51</v>
      </c>
      <c r="H32" s="175">
        <f>+'P03 2025'!H25</f>
        <v>9.9960000000000004</v>
      </c>
      <c r="I32" s="279">
        <f>+'P03 2025'!EJ38</f>
        <v>9.9960000000000004</v>
      </c>
      <c r="J32" s="175">
        <f ca="1">SUMIF(S$6:$AL$6,"ok",S32:AK32)</f>
        <v>0</v>
      </c>
      <c r="K32" s="516">
        <f t="shared" ca="1" si="0"/>
        <v>0</v>
      </c>
      <c r="L32" s="280">
        <v>0</v>
      </c>
      <c r="M32" s="516">
        <f t="shared" si="1"/>
        <v>0</v>
      </c>
      <c r="N32" s="279">
        <f t="shared" si="6"/>
        <v>9.9960000000000004</v>
      </c>
      <c r="O32" s="516">
        <f t="shared" si="2"/>
        <v>1</v>
      </c>
      <c r="P32" s="251">
        <f>+'P03 2024'!EL23</f>
        <v>10.5242</v>
      </c>
      <c r="Q32" s="251">
        <f>SUMIF($S$6:$AL$6,"SI",S32:AL32)</f>
        <v>0</v>
      </c>
      <c r="R32" s="516">
        <f t="shared" si="3"/>
        <v>0</v>
      </c>
      <c r="S32" s="247">
        <v>0</v>
      </c>
      <c r="T32" s="247">
        <v>0</v>
      </c>
      <c r="U32" s="247">
        <v>0</v>
      </c>
      <c r="V32" s="247">
        <v>0</v>
      </c>
      <c r="W32" s="247">
        <v>0</v>
      </c>
      <c r="X32" s="406">
        <v>0</v>
      </c>
      <c r="Y32" s="406">
        <v>0</v>
      </c>
      <c r="Z32" s="406">
        <v>0</v>
      </c>
      <c r="AA32" s="406">
        <v>0</v>
      </c>
      <c r="AB32" s="406">
        <v>0</v>
      </c>
      <c r="AC32" s="406">
        <v>0</v>
      </c>
      <c r="AD32" s="406">
        <v>0</v>
      </c>
      <c r="AE32" s="406">
        <v>0</v>
      </c>
      <c r="AF32" s="406">
        <v>0</v>
      </c>
      <c r="AG32" s="406">
        <v>0</v>
      </c>
      <c r="AH32" s="406">
        <v>0</v>
      </c>
      <c r="AI32" s="406">
        <v>0</v>
      </c>
      <c r="AJ32" s="406">
        <v>0</v>
      </c>
      <c r="AK32" s="406">
        <v>0</v>
      </c>
      <c r="AL32" s="406">
        <f>+'P03 2024'!HA9</f>
        <v>565224.28500000003</v>
      </c>
      <c r="AM32" s="1080"/>
      <c r="AN32" s="899"/>
      <c r="AO32" s="1078"/>
      <c r="AP32" s="1078"/>
      <c r="AQ32" s="1078"/>
      <c r="AR32" s="1078"/>
      <c r="AS32" s="1078"/>
      <c r="AT32" s="1078"/>
      <c r="AU32" s="1078"/>
      <c r="AV32" s="1078"/>
    </row>
    <row r="33" spans="2:49" s="74" customFormat="1" ht="15" hidden="1" customHeight="1" x14ac:dyDescent="0.2">
      <c r="B33" s="508">
        <v>26</v>
      </c>
      <c r="C33" s="172" t="s">
        <v>2</v>
      </c>
      <c r="D33" s="38"/>
      <c r="E33" s="92"/>
      <c r="F33" s="93"/>
      <c r="G33" s="403" t="s">
        <v>280</v>
      </c>
      <c r="H33" s="86">
        <f>+H34</f>
        <v>0</v>
      </c>
      <c r="I33" s="86">
        <f>+I34</f>
        <v>0</v>
      </c>
      <c r="J33" s="88">
        <f ca="1">SUMIF(S$6:$AL14,"ok",S33:AK33)</f>
        <v>0</v>
      </c>
      <c r="K33" s="514" t="str">
        <f t="shared" ca="1" si="0"/>
        <v>0.00%</v>
      </c>
      <c r="L33" s="86">
        <f>++L34</f>
        <v>0</v>
      </c>
      <c r="M33" s="514">
        <f t="shared" si="1"/>
        <v>0</v>
      </c>
      <c r="N33" s="55">
        <f t="shared" si="6"/>
        <v>0</v>
      </c>
      <c r="O33" s="514">
        <f t="shared" si="2"/>
        <v>0</v>
      </c>
      <c r="P33" s="87">
        <f>+P34</f>
        <v>0</v>
      </c>
      <c r="Q33" s="87">
        <f ca="1">+Q34</f>
        <v>0</v>
      </c>
      <c r="R33" s="514" t="str">
        <f t="shared" ca="1" si="3"/>
        <v>0.00%</v>
      </c>
      <c r="S33" s="146">
        <v>0</v>
      </c>
      <c r="T33" s="146">
        <f>+T34</f>
        <v>0</v>
      </c>
      <c r="U33" s="146">
        <f>+U34</f>
        <v>0</v>
      </c>
      <c r="V33" s="87">
        <v>0</v>
      </c>
      <c r="W33" s="87">
        <v>0</v>
      </c>
      <c r="X33" s="87">
        <v>0</v>
      </c>
      <c r="Y33" s="87">
        <f>+Y34</f>
        <v>0</v>
      </c>
      <c r="Z33" s="86">
        <v>0</v>
      </c>
      <c r="AA33" s="86">
        <f>AA34</f>
        <v>0</v>
      </c>
      <c r="AB33" s="155">
        <v>0</v>
      </c>
      <c r="AC33" s="155">
        <v>0</v>
      </c>
      <c r="AD33" s="155">
        <v>0</v>
      </c>
      <c r="AE33" s="155">
        <v>0</v>
      </c>
      <c r="AF33" s="428">
        <v>0</v>
      </c>
      <c r="AG33" s="428">
        <v>0</v>
      </c>
      <c r="AH33" s="428">
        <v>0</v>
      </c>
      <c r="AI33" s="428">
        <v>0</v>
      </c>
      <c r="AJ33" s="428">
        <f>AJ34</f>
        <v>0</v>
      </c>
      <c r="AK33" s="428">
        <f>+AK34</f>
        <v>0</v>
      </c>
      <c r="AL33" s="428">
        <v>0</v>
      </c>
      <c r="AN33" s="901"/>
      <c r="AO33" s="10"/>
      <c r="AP33" s="10"/>
      <c r="AQ33" s="10"/>
      <c r="AR33" s="10"/>
      <c r="AS33" s="10"/>
      <c r="AT33" s="10"/>
      <c r="AU33" s="10"/>
      <c r="AV33" s="10"/>
      <c r="AW33" s="242"/>
    </row>
    <row r="34" spans="2:49" s="150" customFormat="1" ht="15" hidden="1" customHeight="1" x14ac:dyDescent="0.2">
      <c r="B34" s="375" t="s">
        <v>2</v>
      </c>
      <c r="C34" s="393">
        <v>1</v>
      </c>
      <c r="D34" s="254"/>
      <c r="E34" s="255"/>
      <c r="F34" s="147" t="s">
        <v>309</v>
      </c>
      <c r="G34" s="384" t="s">
        <v>281</v>
      </c>
      <c r="H34" s="175">
        <v>0</v>
      </c>
      <c r="I34" s="175">
        <v>0</v>
      </c>
      <c r="J34" s="175">
        <f ca="1">SUMIF(S$6:$AL$6,"ok",S34:AK34)</f>
        <v>0</v>
      </c>
      <c r="K34" s="516" t="str">
        <f t="shared" ca="1" si="0"/>
        <v>0.00%</v>
      </c>
      <c r="L34" s="279">
        <v>0</v>
      </c>
      <c r="M34" s="516">
        <f t="shared" si="1"/>
        <v>0</v>
      </c>
      <c r="N34" s="279">
        <f t="shared" si="6"/>
        <v>0</v>
      </c>
      <c r="O34" s="516">
        <f t="shared" si="2"/>
        <v>0</v>
      </c>
      <c r="P34" s="251">
        <v>0</v>
      </c>
      <c r="Q34" s="175">
        <f ca="1">SUMIF(S$6:$AL13,"SI",AB34:AL34)</f>
        <v>0</v>
      </c>
      <c r="R34" s="516" t="str">
        <f t="shared" ca="1" si="3"/>
        <v>0.00%</v>
      </c>
      <c r="S34" s="247">
        <v>0</v>
      </c>
      <c r="T34" s="247">
        <v>0</v>
      </c>
      <c r="U34" s="247">
        <v>0</v>
      </c>
      <c r="V34" s="247">
        <v>0</v>
      </c>
      <c r="W34" s="247">
        <v>0</v>
      </c>
      <c r="X34" s="251">
        <v>0</v>
      </c>
      <c r="Y34" s="251">
        <v>0</v>
      </c>
      <c r="Z34" s="430">
        <v>0</v>
      </c>
      <c r="AA34" s="430">
        <v>0</v>
      </c>
      <c r="AB34" s="281">
        <v>0</v>
      </c>
      <c r="AC34" s="281">
        <v>0</v>
      </c>
      <c r="AD34" s="281">
        <v>0</v>
      </c>
      <c r="AE34" s="281">
        <v>0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0</v>
      </c>
      <c r="AN34" s="899"/>
      <c r="AO34" s="1078"/>
      <c r="AP34" s="1078"/>
      <c r="AQ34" s="1078"/>
      <c r="AR34" s="1078"/>
      <c r="AS34" s="1078"/>
      <c r="AT34" s="1078"/>
      <c r="AU34" s="1078"/>
      <c r="AV34" s="1078"/>
    </row>
    <row r="35" spans="2:49" s="74" customFormat="1" ht="15" hidden="1" customHeight="1" x14ac:dyDescent="0.2">
      <c r="B35" s="510">
        <v>30</v>
      </c>
      <c r="C35" s="391"/>
      <c r="D35" s="232"/>
      <c r="E35" s="93"/>
      <c r="F35" s="93"/>
      <c r="G35" s="403" t="s">
        <v>609</v>
      </c>
      <c r="H35" s="87">
        <f>+H36</f>
        <v>0</v>
      </c>
      <c r="I35" s="87">
        <f>+I36</f>
        <v>0</v>
      </c>
      <c r="J35" s="88">
        <f ca="1">SUMIF(S$6:$AL15,"ok",S35:AK35)</f>
        <v>0</v>
      </c>
      <c r="K35" s="514" t="str">
        <f t="shared" ca="1" si="0"/>
        <v>0.00%</v>
      </c>
      <c r="L35" s="56">
        <f>+L36</f>
        <v>0</v>
      </c>
      <c r="M35" s="514">
        <f t="shared" si="1"/>
        <v>0</v>
      </c>
      <c r="N35" s="55">
        <f t="shared" si="6"/>
        <v>0</v>
      </c>
      <c r="O35" s="514">
        <f t="shared" si="2"/>
        <v>0</v>
      </c>
      <c r="P35" s="87">
        <f>+P36</f>
        <v>0</v>
      </c>
      <c r="Q35" s="87">
        <f>+Q36</f>
        <v>0</v>
      </c>
      <c r="R35" s="514" t="str">
        <f t="shared" si="3"/>
        <v>0.00%</v>
      </c>
      <c r="S35" s="146">
        <v>0</v>
      </c>
      <c r="T35" s="146">
        <f>+T36</f>
        <v>0</v>
      </c>
      <c r="U35" s="146">
        <f>+U36</f>
        <v>0</v>
      </c>
      <c r="V35" s="146">
        <v>0</v>
      </c>
      <c r="W35" s="146">
        <v>0</v>
      </c>
      <c r="X35" s="87">
        <v>0</v>
      </c>
      <c r="Y35" s="87">
        <f>+Y36</f>
        <v>0</v>
      </c>
      <c r="Z35" s="418">
        <v>0</v>
      </c>
      <c r="AA35" s="418">
        <f>AA36</f>
        <v>0</v>
      </c>
      <c r="AB35" s="314">
        <v>0</v>
      </c>
      <c r="AC35" s="314">
        <v>0</v>
      </c>
      <c r="AD35" s="314">
        <v>0</v>
      </c>
      <c r="AE35" s="314">
        <v>0</v>
      </c>
      <c r="AF35" s="428">
        <v>0</v>
      </c>
      <c r="AG35" s="428">
        <v>0</v>
      </c>
      <c r="AH35" s="428">
        <v>0</v>
      </c>
      <c r="AI35" s="428">
        <v>0</v>
      </c>
      <c r="AJ35" s="428">
        <f>AJ36</f>
        <v>0</v>
      </c>
      <c r="AK35" s="428">
        <f>+AK36</f>
        <v>0</v>
      </c>
      <c r="AL35" s="428">
        <v>0</v>
      </c>
      <c r="AN35" s="901"/>
      <c r="AO35" s="10"/>
      <c r="AP35" s="10"/>
      <c r="AQ35" s="10"/>
      <c r="AR35" s="10"/>
      <c r="AS35" s="10"/>
      <c r="AT35" s="10"/>
      <c r="AU35" s="10"/>
      <c r="AV35" s="10"/>
    </row>
    <row r="36" spans="2:49" s="150" customFormat="1" ht="15" hidden="1" customHeight="1" x14ac:dyDescent="0.2">
      <c r="B36" s="375"/>
      <c r="C36" s="393">
        <v>10</v>
      </c>
      <c r="D36" s="254"/>
      <c r="E36" s="255"/>
      <c r="F36" s="147"/>
      <c r="G36" s="384" t="s">
        <v>610</v>
      </c>
      <c r="H36" s="175">
        <v>0</v>
      </c>
      <c r="I36" s="175">
        <v>0</v>
      </c>
      <c r="J36" s="175">
        <f ca="1">SUMIF(S$6:$AL16,"ok",S36:AK36)</f>
        <v>0</v>
      </c>
      <c r="K36" s="516" t="str">
        <f t="shared" ca="1" si="0"/>
        <v>0.00%</v>
      </c>
      <c r="L36" s="279">
        <v>0</v>
      </c>
      <c r="M36" s="516">
        <f t="shared" si="1"/>
        <v>0</v>
      </c>
      <c r="N36" s="279">
        <f t="shared" si="6"/>
        <v>0</v>
      </c>
      <c r="O36" s="516">
        <f t="shared" si="2"/>
        <v>0</v>
      </c>
      <c r="P36" s="251">
        <v>0</v>
      </c>
      <c r="Q36" s="175">
        <v>0</v>
      </c>
      <c r="R36" s="516" t="str">
        <f t="shared" si="3"/>
        <v>0.00%</v>
      </c>
      <c r="S36" s="247">
        <v>0</v>
      </c>
      <c r="T36" s="247">
        <v>0</v>
      </c>
      <c r="U36" s="247">
        <v>0</v>
      </c>
      <c r="V36" s="247">
        <v>0</v>
      </c>
      <c r="W36" s="247">
        <v>0</v>
      </c>
      <c r="X36" s="251">
        <v>0</v>
      </c>
      <c r="Y36" s="251">
        <v>0</v>
      </c>
      <c r="Z36" s="430">
        <v>0</v>
      </c>
      <c r="AA36" s="430">
        <v>0</v>
      </c>
      <c r="AB36" s="281">
        <v>0</v>
      </c>
      <c r="AC36" s="281">
        <v>0</v>
      </c>
      <c r="AD36" s="281">
        <v>0</v>
      </c>
      <c r="AE36" s="281">
        <v>0</v>
      </c>
      <c r="AF36" s="281">
        <v>0</v>
      </c>
      <c r="AG36" s="281">
        <v>0</v>
      </c>
      <c r="AH36" s="281">
        <v>0</v>
      </c>
      <c r="AI36" s="281">
        <v>0</v>
      </c>
      <c r="AJ36" s="281">
        <v>0</v>
      </c>
      <c r="AK36" s="281">
        <v>0</v>
      </c>
      <c r="AL36" s="281">
        <v>0</v>
      </c>
      <c r="AN36" s="899"/>
      <c r="AO36" s="1078"/>
      <c r="AP36" s="1078"/>
      <c r="AQ36" s="1078"/>
      <c r="AR36" s="1078"/>
      <c r="AS36" s="1078"/>
      <c r="AT36" s="1078"/>
      <c r="AU36" s="1078"/>
      <c r="AV36" s="1078"/>
    </row>
    <row r="37" spans="2:49" s="74" customFormat="1" ht="15" customHeight="1" x14ac:dyDescent="0.2">
      <c r="B37" s="508">
        <v>32</v>
      </c>
      <c r="C37" s="172"/>
      <c r="D37" s="38"/>
      <c r="E37" s="92"/>
      <c r="F37" s="93"/>
      <c r="G37" s="403" t="s">
        <v>142</v>
      </c>
      <c r="H37" s="86">
        <f>+H38</f>
        <v>8610052</v>
      </c>
      <c r="I37" s="86">
        <f>+I38</f>
        <v>8610052</v>
      </c>
      <c r="J37" s="88">
        <f ca="1">SUMIF(S$6:$AL17,"ok",S37:AK37)</f>
        <v>2121979.6460000002</v>
      </c>
      <c r="K37" s="514">
        <f t="shared" ca="1" si="0"/>
        <v>0.24645375498312905</v>
      </c>
      <c r="L37" s="55">
        <f>+L38+L39</f>
        <v>2121979.6460000002</v>
      </c>
      <c r="M37" s="514">
        <f t="shared" si="1"/>
        <v>0.24645375498312905</v>
      </c>
      <c r="N37" s="55">
        <f t="shared" si="6"/>
        <v>6488072.3540000003</v>
      </c>
      <c r="O37" s="514">
        <f t="shared" si="2"/>
        <v>0.75354624501687106</v>
      </c>
      <c r="P37" s="87">
        <f>+P38</f>
        <v>7888444.3280000007</v>
      </c>
      <c r="Q37" s="87">
        <f>+Q38</f>
        <v>4254173.1134500001</v>
      </c>
      <c r="R37" s="514">
        <f t="shared" si="3"/>
        <v>0.53929177117341498</v>
      </c>
      <c r="S37" s="146">
        <f>+S38+S39</f>
        <v>0</v>
      </c>
      <c r="T37" s="146">
        <f>+T38+T39</f>
        <v>0</v>
      </c>
      <c r="U37" s="146">
        <v>0</v>
      </c>
      <c r="V37" s="87">
        <f>+V38</f>
        <v>0</v>
      </c>
      <c r="W37" s="87">
        <v>0</v>
      </c>
      <c r="X37" s="87">
        <v>0</v>
      </c>
      <c r="Y37" s="87">
        <f>+Y38</f>
        <v>1755065.125</v>
      </c>
      <c r="Z37" s="418">
        <v>0</v>
      </c>
      <c r="AA37" s="418">
        <f>SUM(AA38:AA39)</f>
        <v>0</v>
      </c>
      <c r="AB37" s="428">
        <f>+AB38</f>
        <v>2888133.3382680002</v>
      </c>
      <c r="AC37" s="428">
        <f>+AC38</f>
        <v>0</v>
      </c>
      <c r="AD37" s="428">
        <v>0</v>
      </c>
      <c r="AE37" s="428">
        <f>+AE38</f>
        <v>0</v>
      </c>
      <c r="AF37" s="434">
        <f>+AF38+AF39</f>
        <v>1366039.7751820001</v>
      </c>
      <c r="AG37" s="434">
        <f>+AG38</f>
        <v>366914.52100000001</v>
      </c>
      <c r="AH37" s="434">
        <f>+AH38</f>
        <v>0</v>
      </c>
      <c r="AI37" s="428">
        <f>+AI38</f>
        <v>0</v>
      </c>
      <c r="AJ37" s="428">
        <f>SUM(AJ38:AJ39)</f>
        <v>366914.522</v>
      </c>
      <c r="AK37" s="428">
        <f>+AK38</f>
        <v>0</v>
      </c>
      <c r="AL37" s="428">
        <f>+AL38</f>
        <v>1986270.51</v>
      </c>
      <c r="AN37" s="901"/>
      <c r="AO37" s="10"/>
      <c r="AP37" s="10"/>
      <c r="AQ37" s="10"/>
      <c r="AR37" s="10"/>
      <c r="AS37" s="10"/>
      <c r="AT37" s="10"/>
      <c r="AU37" s="10"/>
      <c r="AV37" s="10"/>
    </row>
    <row r="38" spans="2:49" s="150" customFormat="1" ht="15" customHeight="1" x14ac:dyDescent="0.2">
      <c r="B38" s="375" t="s">
        <v>2</v>
      </c>
      <c r="C38" s="393"/>
      <c r="D38" s="1091" t="s">
        <v>899</v>
      </c>
      <c r="E38" s="255"/>
      <c r="F38" s="147" t="s">
        <v>219</v>
      </c>
      <c r="G38" s="384" t="s">
        <v>143</v>
      </c>
      <c r="H38" s="175">
        <f>+'P03 2025'!H26</f>
        <v>8610052</v>
      </c>
      <c r="I38" s="175">
        <f>+'P03 2025'!EJ39</f>
        <v>8610052</v>
      </c>
      <c r="J38" s="175">
        <f ca="1">SUMIF(S$6:$AL18,"ok",S38:AK38)</f>
        <v>2121979.6460000002</v>
      </c>
      <c r="K38" s="516">
        <f t="shared" ca="1" si="0"/>
        <v>0.24645375498312905</v>
      </c>
      <c r="L38" s="280">
        <f>+'P03 2025'!EK40</f>
        <v>2121979.6460000002</v>
      </c>
      <c r="M38" s="516">
        <f t="shared" si="1"/>
        <v>0.24645375498312905</v>
      </c>
      <c r="N38" s="279">
        <f t="shared" si="6"/>
        <v>6488072.3540000003</v>
      </c>
      <c r="O38" s="516">
        <f t="shared" si="2"/>
        <v>0.75354624501687106</v>
      </c>
      <c r="P38" s="251">
        <f>+'P03 2024'!EL24</f>
        <v>7888444.3280000007</v>
      </c>
      <c r="Q38" s="251">
        <f>SUMIF($S$6:$AL$6,"SI",S38:AL38)</f>
        <v>4254173.1134500001</v>
      </c>
      <c r="R38" s="516">
        <f t="shared" si="3"/>
        <v>0.53929177117341498</v>
      </c>
      <c r="S38" s="247">
        <f>+S39</f>
        <v>0</v>
      </c>
      <c r="T38" s="247">
        <f>+T39</f>
        <v>0</v>
      </c>
      <c r="U38" s="247">
        <v>0</v>
      </c>
      <c r="V38" s="247">
        <v>0</v>
      </c>
      <c r="W38" s="247">
        <v>0</v>
      </c>
      <c r="X38" s="251">
        <v>0</v>
      </c>
      <c r="Y38" s="251">
        <f>+Y39</f>
        <v>1755065.125</v>
      </c>
      <c r="Z38" s="430">
        <v>0</v>
      </c>
      <c r="AA38" s="430">
        <v>0</v>
      </c>
      <c r="AB38" s="430">
        <f>+'P03 2024'!BW7</f>
        <v>2888133.3382680002</v>
      </c>
      <c r="AC38" s="430">
        <f>+AC39</f>
        <v>0</v>
      </c>
      <c r="AD38" s="281">
        <v>0</v>
      </c>
      <c r="AE38" s="281">
        <v>0</v>
      </c>
      <c r="AF38" s="281">
        <f>+'P03 2024'!DH7</f>
        <v>1366039.7751820001</v>
      </c>
      <c r="AG38" s="281">
        <f>+AG39</f>
        <v>366914.52100000001</v>
      </c>
      <c r="AH38" s="430">
        <v>0</v>
      </c>
      <c r="AI38" s="430">
        <v>0</v>
      </c>
      <c r="AJ38" s="430">
        <f>'P03 2024'!FP6</f>
        <v>366914.522</v>
      </c>
      <c r="AK38" s="281">
        <f>+AK39</f>
        <v>0</v>
      </c>
      <c r="AL38" s="281">
        <f>+'P03 2024'!HA10</f>
        <v>1986270.51</v>
      </c>
      <c r="AM38" s="1080"/>
      <c r="AN38" s="899"/>
      <c r="AO38" s="1078"/>
      <c r="AP38" s="1078"/>
      <c r="AQ38" s="1078"/>
      <c r="AR38" s="1078"/>
      <c r="AS38" s="1078"/>
      <c r="AT38" s="1078"/>
      <c r="AU38" s="1078"/>
      <c r="AV38" s="1078"/>
    </row>
    <row r="39" spans="2:49" s="150" customFormat="1" ht="15" hidden="1" customHeight="1" x14ac:dyDescent="0.2">
      <c r="B39" s="375"/>
      <c r="C39" s="393"/>
      <c r="D39" s="254"/>
      <c r="E39" s="255"/>
      <c r="F39" s="147" t="s">
        <v>707</v>
      </c>
      <c r="G39" s="384" t="s">
        <v>608</v>
      </c>
      <c r="H39" s="175">
        <v>0</v>
      </c>
      <c r="I39" s="175">
        <v>0</v>
      </c>
      <c r="J39" s="175">
        <v>0</v>
      </c>
      <c r="K39" s="516" t="str">
        <f t="shared" si="0"/>
        <v>0.00%</v>
      </c>
      <c r="L39" s="280">
        <v>0</v>
      </c>
      <c r="M39" s="516">
        <f t="shared" si="1"/>
        <v>0</v>
      </c>
      <c r="N39" s="279">
        <f t="shared" si="6"/>
        <v>0</v>
      </c>
      <c r="O39" s="516">
        <f t="shared" si="2"/>
        <v>0</v>
      </c>
      <c r="P39" s="251">
        <v>0</v>
      </c>
      <c r="Q39" s="251">
        <f>SUMIF($S$6:$AL$6,"SI",S39:AL39)</f>
        <v>0</v>
      </c>
      <c r="R39" s="516" t="str">
        <f t="shared" si="3"/>
        <v>0.00%</v>
      </c>
      <c r="S39" s="247">
        <v>0</v>
      </c>
      <c r="T39" s="247">
        <v>0</v>
      </c>
      <c r="U39" s="247">
        <v>0</v>
      </c>
      <c r="V39" s="247">
        <v>0</v>
      </c>
      <c r="W39" s="247">
        <v>0</v>
      </c>
      <c r="X39" s="251">
        <v>0</v>
      </c>
      <c r="Y39" s="251">
        <f>+'P03 2025'!BC10</f>
        <v>1755065.125</v>
      </c>
      <c r="Z39" s="430">
        <v>0</v>
      </c>
      <c r="AA39" s="430">
        <v>0</v>
      </c>
      <c r="AB39" s="430">
        <v>0</v>
      </c>
      <c r="AC39" s="430">
        <v>0</v>
      </c>
      <c r="AD39" s="281">
        <v>0</v>
      </c>
      <c r="AE39" s="281">
        <v>0</v>
      </c>
      <c r="AF39" s="281">
        <v>0</v>
      </c>
      <c r="AG39" s="281">
        <f>+'P03 2025'!DZ9</f>
        <v>366914.52100000001</v>
      </c>
      <c r="AH39" s="430">
        <v>0</v>
      </c>
      <c r="AI39" s="430">
        <v>0</v>
      </c>
      <c r="AJ39" s="281"/>
      <c r="AK39" s="281">
        <v>0</v>
      </c>
      <c r="AL39" s="281"/>
      <c r="AN39" s="899"/>
      <c r="AO39" s="1078"/>
      <c r="AP39" s="1078"/>
      <c r="AQ39" s="1078"/>
      <c r="AR39" s="1078"/>
      <c r="AS39" s="1078"/>
      <c r="AT39" s="1078"/>
      <c r="AU39" s="1078"/>
      <c r="AV39" s="1078"/>
    </row>
    <row r="40" spans="2:49" s="74" customFormat="1" ht="15" customHeight="1" x14ac:dyDescent="0.2">
      <c r="B40" s="508" t="s">
        <v>4</v>
      </c>
      <c r="C40" s="172" t="s">
        <v>2</v>
      </c>
      <c r="D40" s="38"/>
      <c r="E40" s="92"/>
      <c r="F40" s="93"/>
      <c r="G40" s="403" t="s">
        <v>147</v>
      </c>
      <c r="H40" s="86">
        <f>+H41+H44</f>
        <v>192637071</v>
      </c>
      <c r="I40" s="86">
        <f>+I41+I44</f>
        <v>199261678</v>
      </c>
      <c r="J40" s="86">
        <f ca="1">SUMIF(S$6:$AL20,"ok",S40:AK40)</f>
        <v>92109940.399999991</v>
      </c>
      <c r="K40" s="514">
        <f t="shared" ca="1" si="0"/>
        <v>0.46225617150529058</v>
      </c>
      <c r="L40" s="86">
        <f>+L41+L44</f>
        <v>96607130.879999995</v>
      </c>
      <c r="M40" s="514">
        <f t="shared" si="1"/>
        <v>0.4848254408456803</v>
      </c>
      <c r="N40" s="55">
        <f t="shared" si="6"/>
        <v>102654547.12</v>
      </c>
      <c r="O40" s="514">
        <f t="shared" si="2"/>
        <v>0.51517455915431976</v>
      </c>
      <c r="P40" s="87">
        <f>+P44+P41</f>
        <v>238202308.68799999</v>
      </c>
      <c r="Q40" s="87">
        <f>+Q44+Q41</f>
        <v>118606275.01139799</v>
      </c>
      <c r="R40" s="514">
        <f t="shared" si="3"/>
        <v>0.4979224410740275</v>
      </c>
      <c r="S40" s="530">
        <f t="shared" ref="S40:Z40" si="10">+S41+S44</f>
        <v>11043670.968</v>
      </c>
      <c r="T40" s="146">
        <f t="shared" si="10"/>
        <v>7769092.0443619993</v>
      </c>
      <c r="U40" s="87">
        <f t="shared" si="10"/>
        <v>2518737.926</v>
      </c>
      <c r="V40" s="87">
        <f t="shared" si="10"/>
        <v>17087691.209883999</v>
      </c>
      <c r="W40" s="86">
        <f t="shared" si="10"/>
        <v>5359935.436999999</v>
      </c>
      <c r="X40" s="86">
        <f t="shared" si="10"/>
        <v>5985049.1176280007</v>
      </c>
      <c r="Y40" s="435">
        <f t="shared" si="10"/>
        <v>5545507.4749999996</v>
      </c>
      <c r="Z40" s="435">
        <f t="shared" si="10"/>
        <v>16167438.093924003</v>
      </c>
      <c r="AA40" s="435">
        <f>AA41+AA44</f>
        <v>5618265.0199999996</v>
      </c>
      <c r="AB40" s="428">
        <f>+AB44+AB41</f>
        <v>11699950.852205999</v>
      </c>
      <c r="AC40" s="428">
        <f>+AC44+AC41</f>
        <v>5842127.5769999996</v>
      </c>
      <c r="AD40" s="428">
        <f>+AD44+AD41</f>
        <v>9295628.8767560013</v>
      </c>
      <c r="AE40" s="428">
        <f>+AE44+AE41</f>
        <v>46356813.338</v>
      </c>
      <c r="AF40" s="428">
        <f>+AF44+AF41</f>
        <v>30576580.228757996</v>
      </c>
      <c r="AG40" s="428">
        <f t="shared" ref="AG40:AI40" si="11">+AG44</f>
        <v>9824882.6589999981</v>
      </c>
      <c r="AH40" s="428">
        <f t="shared" si="11"/>
        <v>20024844.58788</v>
      </c>
      <c r="AI40" s="428">
        <f t="shared" si="11"/>
        <v>16822878.07</v>
      </c>
      <c r="AJ40" s="428">
        <f>AJ41+AJ44</f>
        <v>30345913.094999999</v>
      </c>
      <c r="AK40" s="428">
        <f>+AK44+AK41</f>
        <v>18582770.261999998</v>
      </c>
      <c r="AL40" s="428">
        <f>+AL41+AL44</f>
        <v>48791918.306000002</v>
      </c>
      <c r="AN40" s="901"/>
      <c r="AO40" s="10"/>
      <c r="AP40" s="10"/>
      <c r="AQ40" s="10"/>
      <c r="AR40" s="10"/>
      <c r="AS40" s="10"/>
      <c r="AT40" s="10"/>
      <c r="AU40" s="10"/>
      <c r="AV40" s="10"/>
    </row>
    <row r="41" spans="2:49" s="74" customFormat="1" ht="15" hidden="1" customHeight="1" x14ac:dyDescent="0.2">
      <c r="B41" s="508"/>
      <c r="C41" s="172" t="s">
        <v>420</v>
      </c>
      <c r="D41" s="38"/>
      <c r="E41" s="92"/>
      <c r="F41" s="93"/>
      <c r="G41" s="403" t="s">
        <v>86</v>
      </c>
      <c r="H41" s="86">
        <f>+H42+H43</f>
        <v>0</v>
      </c>
      <c r="I41" s="86">
        <f>+I42+I43</f>
        <v>0</v>
      </c>
      <c r="J41" s="86">
        <f ca="1">SUMIF(S$6:$AL21,"ok",S41:AK41)</f>
        <v>0</v>
      </c>
      <c r="K41" s="514" t="str">
        <f t="shared" ca="1" si="0"/>
        <v>0.00%</v>
      </c>
      <c r="L41" s="86">
        <f>+L42+L43</f>
        <v>0</v>
      </c>
      <c r="M41" s="514">
        <f t="shared" si="1"/>
        <v>0</v>
      </c>
      <c r="N41" s="55">
        <f t="shared" si="6"/>
        <v>0</v>
      </c>
      <c r="O41" s="514">
        <f t="shared" si="2"/>
        <v>0</v>
      </c>
      <c r="P41" s="87">
        <v>0</v>
      </c>
      <c r="Q41" s="87">
        <f>+Q43+Q42</f>
        <v>0</v>
      </c>
      <c r="R41" s="514" t="str">
        <f t="shared" si="3"/>
        <v>0.00%</v>
      </c>
      <c r="S41" s="146">
        <f>SUM(S42:S43)</f>
        <v>0</v>
      </c>
      <c r="T41" s="146">
        <f>SUM(T42:T43)</f>
        <v>0</v>
      </c>
      <c r="U41" s="87">
        <f>+U42+U43</f>
        <v>0</v>
      </c>
      <c r="V41" s="87">
        <f>+V42+V43</f>
        <v>0</v>
      </c>
      <c r="W41" s="87">
        <v>0</v>
      </c>
      <c r="X41" s="418">
        <v>0</v>
      </c>
      <c r="Y41" s="418">
        <f>+Y42+Y43</f>
        <v>0</v>
      </c>
      <c r="Z41" s="418">
        <v>0</v>
      </c>
      <c r="AA41" s="418">
        <f>SUM(AA42:AA43)</f>
        <v>0</v>
      </c>
      <c r="AB41" s="86">
        <v>0</v>
      </c>
      <c r="AC41" s="86">
        <f>+AC42+AC43</f>
        <v>0</v>
      </c>
      <c r="AD41" s="155">
        <v>0</v>
      </c>
      <c r="AE41" s="155">
        <f>+AE42+AE43</f>
        <v>0</v>
      </c>
      <c r="AF41" s="428">
        <v>0</v>
      </c>
      <c r="AG41" s="428">
        <v>0</v>
      </c>
      <c r="AH41" s="428">
        <v>0</v>
      </c>
      <c r="AI41" s="428">
        <f>+AI42+AI43</f>
        <v>0</v>
      </c>
      <c r="AJ41" s="428">
        <f>SUM(AJ42:AJ43)</f>
        <v>0</v>
      </c>
      <c r="AK41" s="428">
        <f>+AK43</f>
        <v>0</v>
      </c>
      <c r="AL41" s="428">
        <f>+AL42</f>
        <v>0</v>
      </c>
      <c r="AN41" s="901"/>
      <c r="AO41" s="10"/>
      <c r="AP41" s="10"/>
      <c r="AQ41" s="10"/>
      <c r="AR41" s="10"/>
      <c r="AS41" s="10"/>
      <c r="AT41" s="10"/>
      <c r="AU41" s="10"/>
      <c r="AV41" s="10"/>
    </row>
    <row r="42" spans="2:49" s="150" customFormat="1" ht="15" hidden="1" customHeight="1" x14ac:dyDescent="0.2">
      <c r="B42" s="375"/>
      <c r="C42" s="393"/>
      <c r="D42" s="254"/>
      <c r="E42" s="255"/>
      <c r="F42" s="976" t="s">
        <v>761</v>
      </c>
      <c r="G42" s="384" t="s">
        <v>479</v>
      </c>
      <c r="H42" s="977">
        <v>0</v>
      </c>
      <c r="I42" s="175">
        <v>0</v>
      </c>
      <c r="J42" s="252">
        <f ca="1">SUMIF(S$6:$AL22,"ok",S42:AK42)</f>
        <v>0</v>
      </c>
      <c r="K42" s="516" t="str">
        <f t="shared" ca="1" si="0"/>
        <v>0.00%</v>
      </c>
      <c r="L42" s="977">
        <v>0</v>
      </c>
      <c r="M42" s="516">
        <f t="shared" si="1"/>
        <v>0</v>
      </c>
      <c r="N42" s="279">
        <f t="shared" si="6"/>
        <v>0</v>
      </c>
      <c r="O42" s="516">
        <f t="shared" si="2"/>
        <v>0</v>
      </c>
      <c r="P42" s="251">
        <v>0</v>
      </c>
      <c r="Q42" s="978">
        <f>SUMIF($S$6:$AL$6,"SI",S42:AL42)</f>
        <v>0</v>
      </c>
      <c r="R42" s="516" t="str">
        <f t="shared" si="3"/>
        <v>0.00%</v>
      </c>
      <c r="S42" s="247">
        <v>0</v>
      </c>
      <c r="T42" s="247">
        <v>0</v>
      </c>
      <c r="U42" s="247">
        <v>0</v>
      </c>
      <c r="V42" s="247">
        <v>0</v>
      </c>
      <c r="W42" s="247">
        <v>0</v>
      </c>
      <c r="X42" s="251">
        <v>0</v>
      </c>
      <c r="Y42" s="251">
        <v>0</v>
      </c>
      <c r="Z42" s="430">
        <v>0</v>
      </c>
      <c r="AA42" s="430">
        <v>0</v>
      </c>
      <c r="AB42" s="175">
        <v>0</v>
      </c>
      <c r="AC42" s="175">
        <v>0</v>
      </c>
      <c r="AD42" s="175">
        <v>0</v>
      </c>
      <c r="AE42" s="175">
        <v>0</v>
      </c>
      <c r="AF42" s="281">
        <v>0</v>
      </c>
      <c r="AG42" s="985">
        <v>0</v>
      </c>
      <c r="AH42" s="281">
        <v>0</v>
      </c>
      <c r="AI42" s="281">
        <v>0</v>
      </c>
      <c r="AJ42" s="281">
        <v>0</v>
      </c>
      <c r="AK42" s="281">
        <v>0</v>
      </c>
      <c r="AL42" s="281">
        <v>0</v>
      </c>
      <c r="AN42" s="899"/>
      <c r="AO42" s="1078"/>
      <c r="AP42" s="1078"/>
      <c r="AQ42" s="1078"/>
      <c r="AR42" s="1078"/>
      <c r="AS42" s="1078"/>
      <c r="AT42" s="1078"/>
      <c r="AU42" s="1078"/>
      <c r="AV42" s="1078"/>
    </row>
    <row r="43" spans="2:49" s="979" customFormat="1" ht="15" hidden="1" customHeight="1" x14ac:dyDescent="0.2">
      <c r="B43" s="980"/>
      <c r="C43" s="981"/>
      <c r="D43" s="982"/>
      <c r="E43" s="983"/>
      <c r="F43" s="976" t="s">
        <v>760</v>
      </c>
      <c r="G43" s="384" t="s">
        <v>629</v>
      </c>
      <c r="H43" s="977">
        <v>0</v>
      </c>
      <c r="I43" s="175">
        <v>0</v>
      </c>
      <c r="J43" s="252">
        <f ca="1">SUMIF(S$6:$AL29,"ok",S43:AK43)</f>
        <v>0</v>
      </c>
      <c r="K43" s="516" t="str">
        <f t="shared" ca="1" si="0"/>
        <v>0.00%</v>
      </c>
      <c r="L43" s="977">
        <v>0</v>
      </c>
      <c r="M43" s="516">
        <f t="shared" si="1"/>
        <v>0</v>
      </c>
      <c r="N43" s="279">
        <f t="shared" si="6"/>
        <v>0</v>
      </c>
      <c r="O43" s="516">
        <f t="shared" si="2"/>
        <v>0</v>
      </c>
      <c r="P43" s="251">
        <v>0</v>
      </c>
      <c r="Q43" s="978">
        <f>SUMIF($S$6:$AL$6,"SI",S43:AL43)</f>
        <v>0</v>
      </c>
      <c r="R43" s="516" t="str">
        <f t="shared" si="3"/>
        <v>0.00%</v>
      </c>
      <c r="S43" s="247">
        <v>0</v>
      </c>
      <c r="T43" s="247">
        <v>0</v>
      </c>
      <c r="U43" s="247">
        <v>0</v>
      </c>
      <c r="V43" s="247">
        <v>0</v>
      </c>
      <c r="W43" s="247">
        <v>0</v>
      </c>
      <c r="X43" s="978">
        <v>0</v>
      </c>
      <c r="Y43" s="978">
        <v>0</v>
      </c>
      <c r="Z43" s="984">
        <v>0</v>
      </c>
      <c r="AA43" s="984">
        <v>0</v>
      </c>
      <c r="AB43" s="977">
        <v>0</v>
      </c>
      <c r="AC43" s="977">
        <v>0</v>
      </c>
      <c r="AD43" s="977">
        <v>0</v>
      </c>
      <c r="AE43" s="977">
        <v>0</v>
      </c>
      <c r="AF43" s="985">
        <v>0</v>
      </c>
      <c r="AG43" s="979">
        <v>0</v>
      </c>
      <c r="AH43" s="985">
        <v>0</v>
      </c>
      <c r="AI43" s="985">
        <v>0</v>
      </c>
      <c r="AJ43" s="985">
        <v>0</v>
      </c>
      <c r="AK43" s="985">
        <v>0</v>
      </c>
      <c r="AL43" s="985">
        <v>0</v>
      </c>
      <c r="AM43" s="150"/>
      <c r="AN43" s="899"/>
      <c r="AO43" s="1078"/>
      <c r="AP43" s="1078"/>
      <c r="AQ43" s="1078"/>
      <c r="AR43" s="1078"/>
      <c r="AS43" s="1078"/>
      <c r="AT43" s="1078"/>
      <c r="AU43" s="1078"/>
      <c r="AV43" s="1078"/>
    </row>
    <row r="44" spans="2:49" s="150" customFormat="1" ht="15" customHeight="1" x14ac:dyDescent="0.2">
      <c r="B44" s="375"/>
      <c r="C44" s="393">
        <v>3</v>
      </c>
      <c r="D44" s="254"/>
      <c r="E44" s="255"/>
      <c r="F44" s="147"/>
      <c r="G44" s="422" t="s">
        <v>207</v>
      </c>
      <c r="H44" s="175">
        <f>+H45+H50+H57+H58+H59+H60</f>
        <v>192637071</v>
      </c>
      <c r="I44" s="175">
        <f>+I45+I50+I57+I58+I59+I60</f>
        <v>199261678</v>
      </c>
      <c r="J44" s="175">
        <f ca="1">+J58+J59++J45+J50+J57+J60</f>
        <v>92109940.399999976</v>
      </c>
      <c r="K44" s="516">
        <f t="shared" ca="1" si="0"/>
        <v>0.46225617150529053</v>
      </c>
      <c r="L44" s="175">
        <f>+L45+L50+L57+L58+L59+L60</f>
        <v>96607130.879999995</v>
      </c>
      <c r="M44" s="516">
        <f t="shared" si="1"/>
        <v>0.4848254408456803</v>
      </c>
      <c r="N44" s="279">
        <f t="shared" si="6"/>
        <v>102654547.12</v>
      </c>
      <c r="O44" s="516">
        <f t="shared" si="2"/>
        <v>0.51517455915431976</v>
      </c>
      <c r="P44" s="251">
        <f>+P58+P59++P45+P50+P57+P60</f>
        <v>238202308.68799999</v>
      </c>
      <c r="Q44" s="251">
        <f>+Q58+Q59++Q45+Q50+Q57+Q60</f>
        <v>118606275.01139799</v>
      </c>
      <c r="R44" s="516">
        <f t="shared" si="3"/>
        <v>0.4979224410740275</v>
      </c>
      <c r="S44" s="305">
        <f>+S58+S59++S45+S50+S57</f>
        <v>11043670.968</v>
      </c>
      <c r="T44" s="246">
        <f>+T58+T59++T45+T50+T57</f>
        <v>7769092.0443619993</v>
      </c>
      <c r="U44" s="175">
        <f>+U45+U50+U57+U58+U59+U61</f>
        <v>2518737.926</v>
      </c>
      <c r="V44" s="175">
        <f>+V45+V50+V57+V58+V59+V61</f>
        <v>17087691.209883999</v>
      </c>
      <c r="W44" s="175">
        <f>+W45+W50+W57+W58+W59+W60</f>
        <v>5359935.436999999</v>
      </c>
      <c r="X44" s="175">
        <f>+X45+X50+X57+X58+X59+X60</f>
        <v>5985049.1176280007</v>
      </c>
      <c r="Y44" s="175">
        <f t="shared" ref="Y44:AF44" si="12">+Y45+Y50+Y57+Y58+Y59+Y60</f>
        <v>5545507.4749999996</v>
      </c>
      <c r="Z44" s="175">
        <f t="shared" si="12"/>
        <v>16167438.093924003</v>
      </c>
      <c r="AA44" s="175">
        <f>AA45+AA50+AA57+AA58+AA59+AA60</f>
        <v>5618265.0199999996</v>
      </c>
      <c r="AB44" s="175">
        <f t="shared" si="12"/>
        <v>11699950.852205999</v>
      </c>
      <c r="AC44" s="175">
        <f t="shared" si="12"/>
        <v>5842127.5769999996</v>
      </c>
      <c r="AD44" s="175">
        <f t="shared" si="12"/>
        <v>9295628.8767560013</v>
      </c>
      <c r="AE44" s="175">
        <f>+AE45+AE50+AE57+AE58+AE59+AE60</f>
        <v>46356813.338</v>
      </c>
      <c r="AF44" s="175">
        <f t="shared" si="12"/>
        <v>30576580.228757996</v>
      </c>
      <c r="AG44" s="175">
        <f>+AG58+AG59+AG45+AG50+AG57+AG60</f>
        <v>9824882.6589999981</v>
      </c>
      <c r="AH44" s="175">
        <f>+AH58+AH59+AH45+AH50+AH57+AH60</f>
        <v>20024844.58788</v>
      </c>
      <c r="AI44" s="175">
        <f t="shared" ref="AI44:AL44" si="13">+AI58+AI59+AI45+AI50+AI57+AI60</f>
        <v>16822878.07</v>
      </c>
      <c r="AJ44" s="175">
        <f>AJ45+AJ50+AJ57+AJ58+AJ59+AJ60</f>
        <v>30345913.094999999</v>
      </c>
      <c r="AK44" s="175">
        <f t="shared" si="13"/>
        <v>18582770.261999998</v>
      </c>
      <c r="AL44" s="175">
        <f t="shared" si="13"/>
        <v>48791918.306000002</v>
      </c>
      <c r="AN44" s="899"/>
      <c r="AO44" s="1078"/>
      <c r="AP44" s="1078"/>
      <c r="AQ44" s="1078"/>
      <c r="AR44" s="1078"/>
      <c r="AS44" s="1078"/>
      <c r="AT44" s="1078"/>
      <c r="AU44" s="1078"/>
      <c r="AV44" s="1078"/>
    </row>
    <row r="45" spans="2:49" s="150" customFormat="1" ht="15" customHeight="1" x14ac:dyDescent="0.2">
      <c r="B45" s="375"/>
      <c r="C45" s="393"/>
      <c r="D45" s="254">
        <v>5</v>
      </c>
      <c r="E45" s="255"/>
      <c r="F45" s="147" t="s">
        <v>859</v>
      </c>
      <c r="G45" s="422" t="s">
        <v>935</v>
      </c>
      <c r="H45" s="1305">
        <f>SUM(H46:H49)</f>
        <v>95697781</v>
      </c>
      <c r="I45" s="1305">
        <f>SUM(I46:I49)</f>
        <v>103254006</v>
      </c>
      <c r="J45" s="175">
        <f ca="1">SUMIF(S$6:$AL$6,"ok",S45:AK45)</f>
        <v>51937036.001999989</v>
      </c>
      <c r="K45" s="516">
        <f t="shared" ca="1" si="0"/>
        <v>0.503002624440547</v>
      </c>
      <c r="L45" s="175">
        <f>SUM(L46:L49)</f>
        <v>53565848.116999999</v>
      </c>
      <c r="M45" s="516">
        <f t="shared" si="1"/>
        <v>0.51877743239327678</v>
      </c>
      <c r="N45" s="279">
        <f t="shared" si="6"/>
        <v>49688157.883000001</v>
      </c>
      <c r="O45" s="516">
        <f t="shared" si="2"/>
        <v>0.48122256760672316</v>
      </c>
      <c r="P45" s="251">
        <f t="shared" ref="P45:AL45" si="14">SUM(P46:P49)</f>
        <v>124141010.332</v>
      </c>
      <c r="Q45" s="251">
        <f>SUM(Q46:Q49)</f>
        <v>69271833.316328004</v>
      </c>
      <c r="R45" s="516">
        <f t="shared" si="3"/>
        <v>0.55800926004282492</v>
      </c>
      <c r="S45" s="305">
        <f t="shared" si="14"/>
        <v>11026865.968</v>
      </c>
      <c r="T45" s="246">
        <f t="shared" si="14"/>
        <v>7521703.9565399997</v>
      </c>
      <c r="U45" s="175">
        <f>SUM(U46:U49)</f>
        <v>107808.223</v>
      </c>
      <c r="V45" s="175">
        <f>SUM(V46:V49)</f>
        <v>15801701.7499</v>
      </c>
      <c r="W45" s="175">
        <f>SUM(W46:W49)</f>
        <v>4578373.0579999993</v>
      </c>
      <c r="X45" s="175">
        <f>SUM(X46:X49)</f>
        <v>2686029.2689880002</v>
      </c>
      <c r="Y45" s="175">
        <f t="shared" si="14"/>
        <v>4383876.6189999999</v>
      </c>
      <c r="Z45" s="175">
        <f t="shared" si="14"/>
        <v>12439404.940360002</v>
      </c>
      <c r="AA45" s="175">
        <f>SUM(AA46:AA49)</f>
        <v>4306434.0999999996</v>
      </c>
      <c r="AB45" s="175">
        <f>SUM(AB46:AB49)</f>
        <v>6436002.411936</v>
      </c>
      <c r="AC45" s="175">
        <f>SUM(AC46:AC49)</f>
        <v>3824768.716</v>
      </c>
      <c r="AD45" s="175">
        <f t="shared" si="14"/>
        <v>4000183.6461540004</v>
      </c>
      <c r="AE45" s="175">
        <f>+AE46+AE47+AE48+AE49</f>
        <v>14423150.085000001</v>
      </c>
      <c r="AF45" s="175">
        <f t="shared" si="14"/>
        <v>9205802.5175579991</v>
      </c>
      <c r="AG45" s="175">
        <f>SUM(AG46:AG49)</f>
        <v>9285759.2329999991</v>
      </c>
      <c r="AH45" s="175">
        <f>SUM(AH46:AH49)</f>
        <v>11181004.824891999</v>
      </c>
      <c r="AI45" s="175">
        <f t="shared" si="14"/>
        <v>12575431.784</v>
      </c>
      <c r="AJ45" s="175">
        <f>SUM(AJ46:AJ49)</f>
        <v>18434625.588</v>
      </c>
      <c r="AK45" s="175">
        <f t="shared" si="14"/>
        <v>9391847.1039999984</v>
      </c>
      <c r="AL45" s="175">
        <f t="shared" si="14"/>
        <v>12102469.643999999</v>
      </c>
      <c r="AN45" s="899"/>
      <c r="AO45" s="1078"/>
      <c r="AP45" s="1078"/>
      <c r="AQ45" s="1078"/>
      <c r="AR45" s="1078"/>
      <c r="AS45" s="1078"/>
      <c r="AT45" s="1078"/>
      <c r="AU45" s="1078"/>
      <c r="AV45" s="1078"/>
    </row>
    <row r="46" spans="2:49" s="150" customFormat="1" ht="15" hidden="1" customHeight="1" x14ac:dyDescent="0.2">
      <c r="B46" s="375"/>
      <c r="C46" s="393"/>
      <c r="D46" s="254"/>
      <c r="E46" s="627">
        <v>1</v>
      </c>
      <c r="F46" s="147" t="s">
        <v>801</v>
      </c>
      <c r="G46" s="384" t="s">
        <v>615</v>
      </c>
      <c r="H46" s="175">
        <f>+'P03 2025'!H27</f>
        <v>44226748</v>
      </c>
      <c r="I46" s="175">
        <f>'P03 2025'!EJ41</f>
        <v>41426748</v>
      </c>
      <c r="J46" s="175">
        <f ca="1">SUMIF(S$6:$AL$6,"ok",S46:AK46)</f>
        <v>16107289.925999999</v>
      </c>
      <c r="K46" s="516">
        <f t="shared" ca="1" si="0"/>
        <v>0.38881376655488381</v>
      </c>
      <c r="L46" s="280">
        <f>'P03 2025'!EK42</f>
        <v>17736102.041000001</v>
      </c>
      <c r="M46" s="516">
        <f t="shared" si="1"/>
        <v>0.42813165158414079</v>
      </c>
      <c r="N46" s="279">
        <f t="shared" si="6"/>
        <v>23690645.958999999</v>
      </c>
      <c r="O46" s="516">
        <f t="shared" si="2"/>
        <v>0.57186834841585921</v>
      </c>
      <c r="P46" s="251">
        <f>+'P03 2024'!EL26</f>
        <v>34978731.00908</v>
      </c>
      <c r="Q46" s="251">
        <f>SUMIF($S$6:$AL$6,"SI",S46:AL46)</f>
        <v>8626669.2990039997</v>
      </c>
      <c r="R46" s="516">
        <f t="shared" si="3"/>
        <v>0.24662613680195072</v>
      </c>
      <c r="S46" s="247">
        <v>0</v>
      </c>
      <c r="T46" s="247">
        <v>0</v>
      </c>
      <c r="U46" s="247">
        <v>0</v>
      </c>
      <c r="V46" s="247">
        <v>0</v>
      </c>
      <c r="W46" s="247">
        <v>0</v>
      </c>
      <c r="X46" s="251">
        <f>+'P03 2024'!AK7</f>
        <v>10419.956236000002</v>
      </c>
      <c r="Y46" s="251">
        <f>+'P03 2025'!BC11</f>
        <v>195967.90599999999</v>
      </c>
      <c r="Z46" s="430">
        <f>+'P03 2024'!BD6</f>
        <v>131218.77866000001</v>
      </c>
      <c r="AA46" s="430">
        <f>'P03 2025'!BU10</f>
        <v>856339.28099999996</v>
      </c>
      <c r="AB46" s="281">
        <f>+'P03 2024'!BW8</f>
        <v>349578.20528200001</v>
      </c>
      <c r="AC46" s="281">
        <f>+'P03 2025'!CM8</f>
        <v>1651079.3559999999</v>
      </c>
      <c r="AD46" s="281">
        <f>+'P03 2024'!CP9</f>
        <v>276807.64907000004</v>
      </c>
      <c r="AE46" s="281">
        <f>+'P03 2025'!DE11</f>
        <v>5093546.1960000005</v>
      </c>
      <c r="AF46" s="281">
        <f>+'P03 2024'!DH8</f>
        <v>3577048.9842940005</v>
      </c>
      <c r="AG46" s="281">
        <f>+'P03 2025'!DZ10</f>
        <v>8310357.1869999999</v>
      </c>
      <c r="AH46" s="281">
        <f>+'P03 2024'!EB7</f>
        <v>4281595.7254619999</v>
      </c>
      <c r="AI46" s="281">
        <f>+'P03 2024'!EV5</f>
        <v>4106314.7349999999</v>
      </c>
      <c r="AJ46" s="281">
        <f>'P03 2024'!FP7</f>
        <v>3856496.9410000001</v>
      </c>
      <c r="AK46" s="281">
        <f>+'P03 2024'!GI10</f>
        <v>8242748.5089999996</v>
      </c>
      <c r="AL46" s="281">
        <f>+'P03 2024'!HA11</f>
        <v>9757328.9309999999</v>
      </c>
      <c r="AN46" s="899"/>
      <c r="AO46" s="1078"/>
      <c r="AP46" s="1078"/>
      <c r="AQ46" s="1078"/>
      <c r="AR46" s="1078"/>
      <c r="AS46" s="1078"/>
      <c r="AT46" s="1078"/>
      <c r="AU46" s="1078"/>
      <c r="AV46" s="1078"/>
    </row>
    <row r="47" spans="2:49" s="150" customFormat="1" ht="15" hidden="1" customHeight="1" x14ac:dyDescent="0.2">
      <c r="B47" s="375"/>
      <c r="C47" s="393"/>
      <c r="D47" s="254"/>
      <c r="E47" s="627">
        <v>2</v>
      </c>
      <c r="F47" s="147" t="s">
        <v>802</v>
      </c>
      <c r="G47" s="384" t="s">
        <v>616</v>
      </c>
      <c r="H47" s="175">
        <f>+'P03 2025'!H28+9631854</f>
        <v>33521770</v>
      </c>
      <c r="I47" s="175">
        <f>'P03 2025'!EJ43</f>
        <v>42577995</v>
      </c>
      <c r="J47" s="175">
        <f ca="1">SUMIF(S$6:$AL$6,"ok",S47:AK47)</f>
        <v>16768198.232000001</v>
      </c>
      <c r="K47" s="516">
        <f t="shared" ca="1" si="0"/>
        <v>0.39382310585550118</v>
      </c>
      <c r="L47" s="280">
        <f>'P03 2025'!EK44</f>
        <v>16768198.232000001</v>
      </c>
      <c r="M47" s="516">
        <f t="shared" si="1"/>
        <v>0.39382310585550118</v>
      </c>
      <c r="N47" s="279">
        <f t="shared" si="6"/>
        <v>25809796.767999999</v>
      </c>
      <c r="O47" s="516">
        <f t="shared" si="2"/>
        <v>0.60617689414449882</v>
      </c>
      <c r="P47" s="251">
        <f>+'P03 2024'!EL28</f>
        <v>69472378.218083993</v>
      </c>
      <c r="Q47" s="251">
        <f>SUMIF($S$6:$AL$6,"SI",S47:AL47)</f>
        <v>45329766.394337997</v>
      </c>
      <c r="R47" s="516">
        <f t="shared" si="3"/>
        <v>0.65248617590204272</v>
      </c>
      <c r="S47" s="247">
        <v>0</v>
      </c>
      <c r="T47" s="247">
        <f>+'P03 2024'!J20</f>
        <v>2023496.123078</v>
      </c>
      <c r="U47" s="247">
        <f>+'P03 2025'!Q8</f>
        <v>107808.223</v>
      </c>
      <c r="V47" s="523">
        <f>+'P03 2024'!R6</f>
        <v>15801701.7499</v>
      </c>
      <c r="W47" s="523">
        <f>+'P03 2025'!AJ9</f>
        <v>4509803.0429999996</v>
      </c>
      <c r="X47" s="251">
        <f>+'P03 2024'!AK8</f>
        <v>2598046.4589120001</v>
      </c>
      <c r="Y47" s="251">
        <f>+'P03 2025'!BC12</f>
        <v>4112908.7140000002</v>
      </c>
      <c r="Z47" s="430">
        <f>+'P03 2024'!BD7</f>
        <v>7101808.4006540002</v>
      </c>
      <c r="AA47" s="430">
        <f>'P03 2025'!BU11</f>
        <v>3450094.8190000001</v>
      </c>
      <c r="AB47" s="281">
        <f>+'P03 2024'!BW9</f>
        <v>5634396.0862199999</v>
      </c>
      <c r="AC47" s="281">
        <f>+'P03 2025'!CM9</f>
        <v>2173689.36</v>
      </c>
      <c r="AD47" s="281">
        <f>+'P03 2024'!CP10</f>
        <v>3723375.9970840001</v>
      </c>
      <c r="AE47" s="281">
        <f>+'P03 2025'!DE12</f>
        <v>1438492.027</v>
      </c>
      <c r="AF47" s="281">
        <f>+'P03 2024'!DH9</f>
        <v>3769356.68328</v>
      </c>
      <c r="AG47" s="281">
        <f>+'P03 2025'!DZ11</f>
        <v>975402.04599999997</v>
      </c>
      <c r="AH47" s="281">
        <f>+'P03 2024'!EB8</f>
        <v>4677584.8952099998</v>
      </c>
      <c r="AI47" s="281">
        <f>+'P03 2024'!EV6</f>
        <v>8394117.0500000007</v>
      </c>
      <c r="AJ47" s="281">
        <f>'P03 2024'!FP8</f>
        <v>10621237.710999999</v>
      </c>
      <c r="AK47" s="281">
        <f>+'P03 2024'!GI11</f>
        <v>1036561.973</v>
      </c>
      <c r="AL47" s="281">
        <f>+'P03 2024'!HA12</f>
        <v>2345140.713</v>
      </c>
      <c r="AN47" s="899"/>
      <c r="AO47" s="1078"/>
      <c r="AP47" s="1078"/>
      <c r="AQ47" s="1078"/>
      <c r="AR47" s="1078"/>
      <c r="AS47" s="1078"/>
      <c r="AT47" s="1078"/>
      <c r="AU47" s="1078"/>
      <c r="AV47" s="1078"/>
    </row>
    <row r="48" spans="2:49" s="150" customFormat="1" ht="15" hidden="1" customHeight="1" x14ac:dyDescent="0.2">
      <c r="B48" s="375"/>
      <c r="C48" s="393"/>
      <c r="D48" s="254"/>
      <c r="E48" s="627">
        <v>3</v>
      </c>
      <c r="F48" s="147" t="s">
        <v>803</v>
      </c>
      <c r="G48" s="384" t="s">
        <v>617</v>
      </c>
      <c r="H48" s="175">
        <f>+'P03 2025'!H29</f>
        <v>17949263</v>
      </c>
      <c r="I48" s="175">
        <f>'P03 2025'!EJ45</f>
        <v>18949263</v>
      </c>
      <c r="J48" s="175">
        <f ca="1">SUMIF(S$6:$AL$6,"ok",S48:AK48)</f>
        <v>18917977.829999998</v>
      </c>
      <c r="K48" s="516">
        <f t="shared" ca="1" si="0"/>
        <v>0.99834900333590804</v>
      </c>
      <c r="L48" s="280">
        <f>+'P03 2025'!EK46</f>
        <v>18917977.829999998</v>
      </c>
      <c r="M48" s="516">
        <f t="shared" si="1"/>
        <v>0.99834900333590804</v>
      </c>
      <c r="N48" s="279">
        <f t="shared" si="6"/>
        <v>31285.170000001788</v>
      </c>
      <c r="O48" s="516">
        <f t="shared" si="2"/>
        <v>1.6509966640919907E-3</v>
      </c>
      <c r="P48" s="251">
        <f>+'P03 2024'!EL30</f>
        <v>19115747.642836001</v>
      </c>
      <c r="Q48" s="251">
        <f>SUMIF($S$6:$AL$6,"SI",S48:AL48)</f>
        <v>14837623.715494001</v>
      </c>
      <c r="R48" s="516">
        <f t="shared" si="3"/>
        <v>0.77619897441231867</v>
      </c>
      <c r="S48" s="628">
        <f>+'P03 2025'!J31</f>
        <v>11026865.968</v>
      </c>
      <c r="T48" s="247">
        <f>+'P03 2024'!J22</f>
        <v>5498207.8334619999</v>
      </c>
      <c r="U48" s="247">
        <v>0</v>
      </c>
      <c r="V48" s="523">
        <v>0</v>
      </c>
      <c r="W48" s="523">
        <v>0</v>
      </c>
      <c r="X48" s="251">
        <v>0</v>
      </c>
      <c r="Y48" s="251">
        <v>0</v>
      </c>
      <c r="Z48" s="430">
        <f>+'P03 2024'!BD8</f>
        <v>5050526.3305840008</v>
      </c>
      <c r="AA48" s="430">
        <v>0</v>
      </c>
      <c r="AB48" s="430">
        <f>+'P03 2024'!BW10</f>
        <v>217693.89080200001</v>
      </c>
      <c r="AC48" s="430">
        <v>0</v>
      </c>
      <c r="AD48" s="281">
        <v>0</v>
      </c>
      <c r="AE48" s="281">
        <f>+'P03 2025'!DE13</f>
        <v>7891111.8619999997</v>
      </c>
      <c r="AF48" s="281">
        <f>+'P03 2024'!DH10</f>
        <v>1849371.456426</v>
      </c>
      <c r="AG48" s="281">
        <v>0</v>
      </c>
      <c r="AH48" s="281">
        <f>+'P03 2024'!EB9</f>
        <v>2221824.2042200002</v>
      </c>
      <c r="AI48" s="281">
        <v>0</v>
      </c>
      <c r="AJ48" s="1089">
        <f>'P03 2024'!FP9</f>
        <v>3807290.8620000002</v>
      </c>
      <c r="AK48" s="281">
        <f>+'P03 2024'!GI12</f>
        <v>47812.76</v>
      </c>
      <c r="AL48" s="281">
        <v>0</v>
      </c>
      <c r="AN48" s="899"/>
      <c r="AO48" s="1078"/>
      <c r="AP48" s="1078"/>
      <c r="AQ48" s="1078"/>
      <c r="AR48" s="1078"/>
      <c r="AS48" s="1078"/>
      <c r="AT48" s="1078"/>
      <c r="AU48" s="1078"/>
      <c r="AV48" s="1078"/>
    </row>
    <row r="49" spans="2:48" s="150" customFormat="1" ht="15" hidden="1" customHeight="1" x14ac:dyDescent="0.2">
      <c r="B49" s="375"/>
      <c r="C49" s="393"/>
      <c r="D49" s="254"/>
      <c r="E49" s="627">
        <v>8</v>
      </c>
      <c r="F49" s="147" t="s">
        <v>804</v>
      </c>
      <c r="G49" s="384" t="s">
        <v>890</v>
      </c>
      <c r="H49" s="175">
        <f>+'P03 2025'!H32</f>
        <v>0</v>
      </c>
      <c r="I49" s="175">
        <f>'P03 2025'!EJ48</f>
        <v>300000</v>
      </c>
      <c r="J49" s="175">
        <f ca="1">SUMIF(S$6:$AL$6,"ok",S49:AK49)</f>
        <v>143570.014</v>
      </c>
      <c r="K49" s="516">
        <f t="shared" ca="1" si="0"/>
        <v>0.47856671333333334</v>
      </c>
      <c r="L49" s="280">
        <f>+'P03 2025'!EK49</f>
        <v>143570.014</v>
      </c>
      <c r="M49" s="516">
        <f t="shared" si="1"/>
        <v>0.47856671333333334</v>
      </c>
      <c r="N49" s="279">
        <f t="shared" si="6"/>
        <v>156429.986</v>
      </c>
      <c r="O49" s="516">
        <f t="shared" si="2"/>
        <v>0.52143328666666666</v>
      </c>
      <c r="P49" s="251">
        <f>+'P03 2024'!EL32</f>
        <v>574153.46200000006</v>
      </c>
      <c r="Q49" s="251">
        <f>SUMIF($S$6:$AL$6,"SI",S49:AL49)</f>
        <v>477773.90749200003</v>
      </c>
      <c r="R49" s="516">
        <f t="shared" si="3"/>
        <v>0.83213624773371131</v>
      </c>
      <c r="S49" s="247">
        <v>0</v>
      </c>
      <c r="T49" s="247">
        <v>0</v>
      </c>
      <c r="U49" s="247">
        <v>0</v>
      </c>
      <c r="V49" s="247">
        <v>0</v>
      </c>
      <c r="W49" s="247">
        <f>+'P03 2025'!AJ10</f>
        <v>68570.014999999999</v>
      </c>
      <c r="X49" s="251">
        <f>+'P03 2024'!AK9</f>
        <v>77562.853840000011</v>
      </c>
      <c r="Y49" s="251">
        <f>+'P03 2025'!BC13</f>
        <v>74999.998999999996</v>
      </c>
      <c r="Z49" s="430">
        <f>+'P03 2024'!BD9</f>
        <v>155851.43046200002</v>
      </c>
      <c r="AA49" s="430">
        <v>0</v>
      </c>
      <c r="AB49" s="430">
        <f>+'P03 2024'!BW11</f>
        <v>234334.229632</v>
      </c>
      <c r="AC49" s="430">
        <v>0</v>
      </c>
      <c r="AD49" s="281">
        <v>0</v>
      </c>
      <c r="AE49" s="281">
        <v>0</v>
      </c>
      <c r="AF49" s="281">
        <f>+'P03 2024'!DH11</f>
        <v>10025.393558000002</v>
      </c>
      <c r="AG49" s="281">
        <v>0</v>
      </c>
      <c r="AH49" s="281">
        <v>0</v>
      </c>
      <c r="AI49" s="281">
        <f>+'P03 2024'!EV7</f>
        <v>74999.998999999996</v>
      </c>
      <c r="AJ49" s="281">
        <f>'P03 2024'!FP10</f>
        <v>149600.07399999999</v>
      </c>
      <c r="AK49" s="281">
        <f>+'P03 2024'!GI13</f>
        <v>64723.862000000001</v>
      </c>
      <c r="AL49" s="281">
        <v>0</v>
      </c>
      <c r="AN49" s="899"/>
      <c r="AO49" s="1078"/>
      <c r="AP49" s="1078"/>
      <c r="AQ49" s="1078"/>
      <c r="AR49" s="1078"/>
      <c r="AS49" s="1078"/>
      <c r="AT49" s="1078"/>
      <c r="AU49" s="1078"/>
      <c r="AV49" s="1078"/>
    </row>
    <row r="50" spans="2:48" s="150" customFormat="1" ht="15" customHeight="1" x14ac:dyDescent="0.2">
      <c r="B50" s="375"/>
      <c r="C50" s="393"/>
      <c r="D50" s="254">
        <v>6</v>
      </c>
      <c r="E50" s="255"/>
      <c r="F50" s="147" t="s">
        <v>858</v>
      </c>
      <c r="G50" s="422" t="s">
        <v>936</v>
      </c>
      <c r="H50" s="175">
        <f>SUM(H51:H56)</f>
        <v>56114193</v>
      </c>
      <c r="I50" s="175">
        <f>SUM(I51:I56)</f>
        <v>42013645</v>
      </c>
      <c r="J50" s="175">
        <f ca="1">SUMIF(S$6:$AL$6,"ok",S50:AK50)</f>
        <v>6765819.1389999995</v>
      </c>
      <c r="K50" s="516">
        <f t="shared" ca="1" si="0"/>
        <v>0.16103861350282747</v>
      </c>
      <c r="L50" s="175">
        <f>SUM(L51:L56)</f>
        <v>8051281.2100000009</v>
      </c>
      <c r="M50" s="516">
        <f t="shared" si="1"/>
        <v>0.19163491313357842</v>
      </c>
      <c r="N50" s="279">
        <f t="shared" si="6"/>
        <v>33962363.789999999</v>
      </c>
      <c r="O50" s="516">
        <f t="shared" si="2"/>
        <v>0.80836508686642161</v>
      </c>
      <c r="P50" s="251">
        <f t="shared" ref="P50:AL50" si="15">SUM(P51:P56)</f>
        <v>72715563.620000005</v>
      </c>
      <c r="Q50" s="251">
        <f>SUM(Q51:Q56)</f>
        <v>23481650.108658001</v>
      </c>
      <c r="R50" s="516">
        <f t="shared" si="3"/>
        <v>0.32292467994017593</v>
      </c>
      <c r="S50" s="305">
        <f t="shared" ref="S50:X50" si="16">SUM(S51:S56)</f>
        <v>16805</v>
      </c>
      <c r="T50" s="246">
        <f t="shared" si="16"/>
        <v>247388.087822</v>
      </c>
      <c r="U50" s="175">
        <f t="shared" si="16"/>
        <v>10000</v>
      </c>
      <c r="V50" s="175">
        <f t="shared" si="16"/>
        <v>1130311.0630000001</v>
      </c>
      <c r="W50" s="175">
        <f t="shared" si="16"/>
        <v>781562.37899999996</v>
      </c>
      <c r="X50" s="175">
        <f t="shared" si="16"/>
        <v>2909608.1361300005</v>
      </c>
      <c r="Y50" s="175">
        <f t="shared" si="15"/>
        <v>1161630.8559999999</v>
      </c>
      <c r="Z50" s="175">
        <f t="shared" si="15"/>
        <v>2569345.7932620002</v>
      </c>
      <c r="AA50" s="175">
        <f>SUM(AA51:AA56)</f>
        <v>1261830.92</v>
      </c>
      <c r="AB50" s="175">
        <f>SUM(AB51:AB56)</f>
        <v>3892686.8988239998</v>
      </c>
      <c r="AC50" s="175">
        <f t="shared" si="15"/>
        <v>1861570.8059999999</v>
      </c>
      <c r="AD50" s="175">
        <f t="shared" si="15"/>
        <v>3530546.0393620003</v>
      </c>
      <c r="AE50" s="175">
        <f>+AE51+AE52+AE53+AE54+AE55+AE56</f>
        <v>1487913.3759999999</v>
      </c>
      <c r="AF50" s="175">
        <f t="shared" si="15"/>
        <v>2983296.4150860002</v>
      </c>
      <c r="AG50" s="175">
        <f t="shared" si="15"/>
        <v>184505.802</v>
      </c>
      <c r="AH50" s="175">
        <f t="shared" si="15"/>
        <v>6218467.6751720002</v>
      </c>
      <c r="AI50" s="175">
        <f t="shared" si="15"/>
        <v>4227155.2359999996</v>
      </c>
      <c r="AJ50" s="175">
        <f>SUM(AJ51:AJ56)</f>
        <v>11051996.388</v>
      </c>
      <c r="AK50" s="175">
        <f t="shared" si="15"/>
        <v>3682382.145</v>
      </c>
      <c r="AL50" s="175">
        <f t="shared" si="15"/>
        <v>28284974.567000002</v>
      </c>
      <c r="AN50" s="899"/>
      <c r="AO50" s="1078"/>
      <c r="AP50" s="1078"/>
      <c r="AQ50" s="1078"/>
      <c r="AR50" s="1078"/>
      <c r="AS50" s="1078"/>
      <c r="AT50" s="1078"/>
      <c r="AU50" s="1078"/>
      <c r="AV50" s="1078"/>
    </row>
    <row r="51" spans="2:48" s="150" customFormat="1" ht="15" hidden="1" customHeight="1" x14ac:dyDescent="0.2">
      <c r="B51" s="375"/>
      <c r="C51" s="393"/>
      <c r="D51" s="254"/>
      <c r="E51" s="627">
        <v>1</v>
      </c>
      <c r="F51" s="147" t="s">
        <v>805</v>
      </c>
      <c r="G51" s="384" t="s">
        <v>618</v>
      </c>
      <c r="H51" s="175">
        <f>+'P03 2025'!H33</f>
        <v>6527670</v>
      </c>
      <c r="I51" s="175">
        <f>+'P03 2025'!EJ50</f>
        <v>7550100</v>
      </c>
      <c r="J51" s="175">
        <f ca="1">SUMIF(S$6:$AL$6,"ok",S51:AK51)</f>
        <v>3082502.8729999997</v>
      </c>
      <c r="K51" s="516">
        <f t="shared" ca="1" si="0"/>
        <v>0.40827311863419025</v>
      </c>
      <c r="L51" s="280">
        <f>'P03 2025'!EK51</f>
        <v>3213902.8730000001</v>
      </c>
      <c r="M51" s="516">
        <f t="shared" si="1"/>
        <v>0.42567686163097179</v>
      </c>
      <c r="N51" s="279">
        <f t="shared" si="6"/>
        <v>4336197.1270000003</v>
      </c>
      <c r="O51" s="516">
        <f t="shared" si="2"/>
        <v>0.57432313836902826</v>
      </c>
      <c r="P51" s="251">
        <f>+'P03 2024'!EL34</f>
        <v>6199843.2693520002</v>
      </c>
      <c r="Q51" s="251">
        <f t="shared" ref="Q51:Q60" si="17">SUMIF($S$6:$AL$6,"SI",S51:AL51)</f>
        <v>4634655.9571359996</v>
      </c>
      <c r="R51" s="516">
        <f t="shared" si="3"/>
        <v>0.7475440516451004</v>
      </c>
      <c r="S51" s="628">
        <f>+'P03 2025'!J34</f>
        <v>16805</v>
      </c>
      <c r="T51" s="247">
        <f>+'P03 2024'!J25</f>
        <v>23952.975000000002</v>
      </c>
      <c r="U51" s="247">
        <v>0</v>
      </c>
      <c r="V51" s="523">
        <f>+'P03 2024'!R7</f>
        <v>105690.06</v>
      </c>
      <c r="W51" s="523">
        <f>+'P03 2025'!AJ11</f>
        <v>663960</v>
      </c>
      <c r="X51" s="251">
        <f>+'P03 2024'!AK10</f>
        <v>601329.46074600006</v>
      </c>
      <c r="Y51" s="251">
        <f>+'P03 2025'!BC14</f>
        <v>695844</v>
      </c>
      <c r="Z51" s="430">
        <f>+'P03 2024'!BD10</f>
        <v>1109053.9472739999</v>
      </c>
      <c r="AA51" s="430">
        <f>'P03 2025'!BU12</f>
        <v>752795.39899999998</v>
      </c>
      <c r="AB51" s="430">
        <f>+'P03 2024'!BW12</f>
        <v>1177031.4920880001</v>
      </c>
      <c r="AC51" s="430">
        <f>+'P03 2025'!CM10</f>
        <v>318732.21999999997</v>
      </c>
      <c r="AD51" s="281">
        <f>+'P03 2024'!CP11</f>
        <v>1251229.2454820001</v>
      </c>
      <c r="AE51" s="281">
        <f>+'P03 2025'!DE14</f>
        <v>588766.25399999996</v>
      </c>
      <c r="AF51" s="281">
        <f>+'P03 2024'!DH12</f>
        <v>282516.273162</v>
      </c>
      <c r="AG51" s="281">
        <f>+'P03 2025'!DZ12</f>
        <v>45600</v>
      </c>
      <c r="AH51" s="281">
        <f>+'P03 2024'!EB10</f>
        <v>83852.503384000011</v>
      </c>
      <c r="AI51" s="281">
        <f>+'P03 2024'!EV8</f>
        <v>188566</v>
      </c>
      <c r="AJ51" s="281">
        <f>'P03 2024'!FP11</f>
        <v>709783.40099999995</v>
      </c>
      <c r="AK51" s="281">
        <f>+'P03 2024'!GI14</f>
        <v>188559.03700000001</v>
      </c>
      <c r="AL51" s="281">
        <f>+'P03 2024'!HA13</f>
        <v>2048812.5460000001</v>
      </c>
      <c r="AN51" s="899"/>
      <c r="AO51" s="1078"/>
      <c r="AP51" s="1078"/>
      <c r="AQ51" s="1078"/>
      <c r="AR51" s="1078"/>
      <c r="AS51" s="1078"/>
      <c r="AT51" s="1078"/>
      <c r="AU51" s="1078"/>
      <c r="AV51" s="1078"/>
    </row>
    <row r="52" spans="2:48" s="150" customFormat="1" ht="15" hidden="1" customHeight="1" x14ac:dyDescent="0.2">
      <c r="B52" s="375"/>
      <c r="C52" s="393"/>
      <c r="D52" s="254"/>
      <c r="E52" s="627">
        <v>1</v>
      </c>
      <c r="F52" s="147" t="s">
        <v>806</v>
      </c>
      <c r="G52" s="384" t="s">
        <v>619</v>
      </c>
      <c r="H52" s="175">
        <f>+'P03 2025'!H35</f>
        <v>5360526</v>
      </c>
      <c r="I52" s="175">
        <f>+'P03 2025'!EJ52</f>
        <v>0</v>
      </c>
      <c r="J52" s="175">
        <f ca="1">SUMIF(S$6:$AL$6,"ok",S52:AK52)</f>
        <v>0</v>
      </c>
      <c r="K52" s="516" t="str">
        <f t="shared" ca="1" si="0"/>
        <v>0.00%</v>
      </c>
      <c r="L52" s="280">
        <v>0</v>
      </c>
      <c r="M52" s="516">
        <f t="shared" si="1"/>
        <v>0</v>
      </c>
      <c r="N52" s="279">
        <f t="shared" si="6"/>
        <v>0</v>
      </c>
      <c r="O52" s="516">
        <f t="shared" si="2"/>
        <v>0</v>
      </c>
      <c r="P52" s="251">
        <f>+'P03 2024'!EL36</f>
        <v>6540739.3868380003</v>
      </c>
      <c r="Q52" s="251">
        <f t="shared" si="17"/>
        <v>1110805.6982800001</v>
      </c>
      <c r="R52" s="516">
        <f t="shared" si="3"/>
        <v>0.16982876592137064</v>
      </c>
      <c r="S52" s="247">
        <v>0</v>
      </c>
      <c r="T52" s="247">
        <v>0</v>
      </c>
      <c r="U52" s="247">
        <v>0</v>
      </c>
      <c r="V52" s="247">
        <v>0</v>
      </c>
      <c r="W52" s="247">
        <v>0</v>
      </c>
      <c r="X52" s="251">
        <v>0</v>
      </c>
      <c r="Y52" s="251">
        <v>0</v>
      </c>
      <c r="Z52" s="430">
        <f>+'P03 2024'!BD11</f>
        <v>423204.13200000004</v>
      </c>
      <c r="AA52" s="430">
        <v>0</v>
      </c>
      <c r="AB52" s="430">
        <v>0</v>
      </c>
      <c r="AC52" s="430">
        <v>0</v>
      </c>
      <c r="AD52" s="281">
        <f>+'P03 2024'!CP12</f>
        <v>687601.56628000003</v>
      </c>
      <c r="AE52" s="281">
        <v>0</v>
      </c>
      <c r="AF52" s="281">
        <v>0</v>
      </c>
      <c r="AG52" s="281">
        <v>0</v>
      </c>
      <c r="AH52" s="281">
        <v>0</v>
      </c>
      <c r="AI52" s="281">
        <f>+'P03 2024'!EV9</f>
        <v>70686</v>
      </c>
      <c r="AJ52" s="281">
        <f>'P03 2024'!FP12</f>
        <v>4436946.1370000001</v>
      </c>
      <c r="AK52" s="281">
        <f>+'P03 2024'!GI15</f>
        <v>523219.8</v>
      </c>
      <c r="AL52" s="281">
        <v>0</v>
      </c>
      <c r="AN52" s="899"/>
      <c r="AO52" s="1078"/>
      <c r="AP52" s="1078"/>
      <c r="AQ52" s="1078"/>
      <c r="AR52" s="1078"/>
      <c r="AS52" s="1078"/>
      <c r="AT52" s="1078"/>
      <c r="AU52" s="1078"/>
      <c r="AV52" s="1078"/>
    </row>
    <row r="53" spans="2:48" s="150" customFormat="1" ht="15" hidden="1" customHeight="1" x14ac:dyDescent="0.2">
      <c r="B53" s="375"/>
      <c r="C53" s="393"/>
      <c r="D53" s="254"/>
      <c r="E53" s="627">
        <v>1</v>
      </c>
      <c r="F53" s="147" t="s">
        <v>807</v>
      </c>
      <c r="G53" s="384" t="s">
        <v>620</v>
      </c>
      <c r="H53" s="175">
        <f>+'P03 2025'!H36</f>
        <v>2440674</v>
      </c>
      <c r="I53" s="175">
        <f>+'P03 2025'!EJ53</f>
        <v>2490344.1719999998</v>
      </c>
      <c r="J53" s="175">
        <f ca="1">SUMIF(S$6:$AL$6,"ok",S53:AK53)</f>
        <v>308896.55200000003</v>
      </c>
      <c r="K53" s="516">
        <f t="shared" ca="1" si="0"/>
        <v>0.12403769546115574</v>
      </c>
      <c r="L53" s="280">
        <f>'P03 2025'!EK54</f>
        <v>308896.55200000003</v>
      </c>
      <c r="M53" s="516">
        <f t="shared" si="1"/>
        <v>0.12403769546115574</v>
      </c>
      <c r="N53" s="279">
        <f t="shared" si="6"/>
        <v>2181447.6199999996</v>
      </c>
      <c r="O53" s="516">
        <f t="shared" si="2"/>
        <v>0.87596230453884416</v>
      </c>
      <c r="P53" s="251">
        <f>+'P03 2024'!EL38</f>
        <v>2758206.3030420002</v>
      </c>
      <c r="Q53" s="251">
        <f t="shared" si="17"/>
        <v>1909300.25459</v>
      </c>
      <c r="R53" s="516">
        <f t="shared" si="3"/>
        <v>0.69222532501802003</v>
      </c>
      <c r="S53" s="247">
        <v>0</v>
      </c>
      <c r="T53" s="247">
        <v>0</v>
      </c>
      <c r="U53" s="247">
        <f>+'P03 2025'!Q9</f>
        <v>10000</v>
      </c>
      <c r="V53" s="247">
        <v>0</v>
      </c>
      <c r="W53" s="247">
        <f>+'P03 2025'!AJ12</f>
        <v>21277.200000000001</v>
      </c>
      <c r="X53" s="251">
        <f>+'P03 2024'!AK11</f>
        <v>91966.92</v>
      </c>
      <c r="Y53" s="251">
        <v>0</v>
      </c>
      <c r="Z53" s="430">
        <f>+'P03 2024'!BD12</f>
        <v>247950.95434</v>
      </c>
      <c r="AA53" s="430">
        <f>'P03 2025'!BU13</f>
        <v>120075.492</v>
      </c>
      <c r="AB53" s="430">
        <f>+'P03 2024'!BW13</f>
        <v>454296.37</v>
      </c>
      <c r="AC53" s="430">
        <v>0</v>
      </c>
      <c r="AD53" s="281">
        <f>+'P03 2024'!CP13</f>
        <v>116287.2</v>
      </c>
      <c r="AE53" s="281">
        <f>+'P03 2025'!DE15</f>
        <v>157543.85999999999</v>
      </c>
      <c r="AF53" s="281">
        <f>+'P03 2024'!DH13</f>
        <v>385230.65625</v>
      </c>
      <c r="AG53" s="281">
        <v>0</v>
      </c>
      <c r="AH53" s="281">
        <f>+'P03 2024'!EB11</f>
        <v>613568.15399999998</v>
      </c>
      <c r="AI53" s="281">
        <f>+'P03 2024'!EV10</f>
        <v>115920</v>
      </c>
      <c r="AJ53" s="281">
        <f>'P03 2024'!FP13</f>
        <v>399995.39199999999</v>
      </c>
      <c r="AK53" s="281">
        <f>+'P03 2024'!GI16</f>
        <v>9500</v>
      </c>
      <c r="AL53" s="281">
        <f>+'P03 2024'!HA14</f>
        <v>468584.00599999999</v>
      </c>
      <c r="AN53" s="899"/>
      <c r="AO53" s="1078"/>
      <c r="AP53" s="1078"/>
      <c r="AQ53" s="1078"/>
      <c r="AR53" s="1078"/>
      <c r="AS53" s="1078"/>
      <c r="AT53" s="1078"/>
      <c r="AU53" s="1078"/>
      <c r="AV53" s="1078"/>
    </row>
    <row r="54" spans="2:48" s="150" customFormat="1" ht="15" hidden="1" customHeight="1" x14ac:dyDescent="0.2">
      <c r="B54" s="375"/>
      <c r="C54" s="393"/>
      <c r="D54" s="254"/>
      <c r="E54" s="627">
        <v>1</v>
      </c>
      <c r="F54" s="147" t="s">
        <v>808</v>
      </c>
      <c r="G54" s="384" t="s">
        <v>621</v>
      </c>
      <c r="H54" s="175">
        <f>+'P03 2025'!H37</f>
        <v>2266492</v>
      </c>
      <c r="I54" s="175">
        <f>+'P03 2025'!EJ55</f>
        <v>2550000</v>
      </c>
      <c r="J54" s="175">
        <f ca="1">SUMIF(S$6:$AL$6,"ok",S54:AK54)</f>
        <v>520368.78200000001</v>
      </c>
      <c r="K54" s="516">
        <f t="shared" ca="1" si="0"/>
        <v>0.20406618901960785</v>
      </c>
      <c r="L54" s="280">
        <f>'P03 2025'!EK56</f>
        <v>520368.78200000001</v>
      </c>
      <c r="M54" s="516">
        <f t="shared" si="1"/>
        <v>0.20406618901960785</v>
      </c>
      <c r="N54" s="279">
        <f t="shared" si="6"/>
        <v>2029631.2179999999</v>
      </c>
      <c r="O54" s="516">
        <f t="shared" si="2"/>
        <v>0.79593381098039206</v>
      </c>
      <c r="P54" s="251">
        <f>+'P03 2024'!EL40</f>
        <v>1996800.5967840001</v>
      </c>
      <c r="Q54" s="251">
        <f t="shared" si="17"/>
        <v>911731.67642999999</v>
      </c>
      <c r="R54" s="516">
        <f t="shared" si="3"/>
        <v>0.45659625597989778</v>
      </c>
      <c r="S54" s="247">
        <v>0</v>
      </c>
      <c r="T54" s="247">
        <v>0</v>
      </c>
      <c r="U54" s="247">
        <v>0</v>
      </c>
      <c r="V54" s="247">
        <f>+'P03 2024'!R8</f>
        <v>37720.400000000001</v>
      </c>
      <c r="W54" s="247">
        <v>0</v>
      </c>
      <c r="X54" s="251">
        <f>+'P03 2024'!AK12</f>
        <v>71918.84</v>
      </c>
      <c r="Y54" s="251">
        <f>+'P03 2025'!BC15</f>
        <v>284930</v>
      </c>
      <c r="Z54" s="430">
        <f>+'P03 2024'!BD13</f>
        <v>19116.141250000001</v>
      </c>
      <c r="AA54" s="430">
        <f>'P03 2025'!BU14</f>
        <v>100809.35799999999</v>
      </c>
      <c r="AB54" s="430">
        <f>+'P03 2024'!BW14</f>
        <v>15872.36399</v>
      </c>
      <c r="AC54" s="430">
        <f>+'P03 2025'!CM11</f>
        <v>11328.8</v>
      </c>
      <c r="AD54" s="281">
        <f>+'P03 2024'!CP14</f>
        <v>314215.17294000002</v>
      </c>
      <c r="AE54" s="281">
        <f>+'P03 2025'!DE16</f>
        <v>123300.624</v>
      </c>
      <c r="AF54" s="281">
        <v>0</v>
      </c>
      <c r="AG54" s="281">
        <v>0</v>
      </c>
      <c r="AH54" s="281">
        <f>+'P03 2024'!EB12</f>
        <v>452888.75825000001</v>
      </c>
      <c r="AI54" s="281">
        <v>0</v>
      </c>
      <c r="AJ54" s="281">
        <f>'P03 2024'!FP14</f>
        <v>177916.5</v>
      </c>
      <c r="AK54" s="281">
        <f>+'P03 2024'!GI17</f>
        <v>72530.854999999996</v>
      </c>
      <c r="AL54" s="281">
        <f>+'P03 2024'!HA15</f>
        <v>1694736.75</v>
      </c>
      <c r="AN54" s="899"/>
      <c r="AO54" s="1078"/>
      <c r="AP54" s="1078"/>
      <c r="AQ54" s="1078"/>
      <c r="AR54" s="1078"/>
      <c r="AS54" s="1078"/>
      <c r="AT54" s="1078"/>
      <c r="AU54" s="1078"/>
      <c r="AV54" s="1078"/>
    </row>
    <row r="55" spans="2:48" s="150" customFormat="1" ht="15" hidden="1" customHeight="1" x14ac:dyDescent="0.2">
      <c r="B55" s="375"/>
      <c r="C55" s="393"/>
      <c r="D55" s="254"/>
      <c r="E55" s="627">
        <v>1</v>
      </c>
      <c r="F55" s="147" t="s">
        <v>809</v>
      </c>
      <c r="G55" s="384" t="s">
        <v>622</v>
      </c>
      <c r="H55" s="175">
        <f>+'P03 2025'!H38</f>
        <v>8048156</v>
      </c>
      <c r="I55" s="175">
        <f>+'P03 2025'!EJ57</f>
        <v>17401492.500999998</v>
      </c>
      <c r="J55" s="175">
        <f ca="1">SUMIF(S$6:$AL$6,"ok",S55:AK55)</f>
        <v>389231.15099999995</v>
      </c>
      <c r="K55" s="516">
        <f t="shared" ca="1" si="0"/>
        <v>2.2367687770323857E-2</v>
      </c>
      <c r="L55" s="280">
        <f>'P03 2025'!EK58</f>
        <v>1543293.2220000001</v>
      </c>
      <c r="M55" s="516">
        <f t="shared" si="1"/>
        <v>8.8687405514861026E-2</v>
      </c>
      <c r="N55" s="279">
        <f t="shared" si="6"/>
        <v>15858199.278999999</v>
      </c>
      <c r="O55" s="516">
        <f t="shared" si="2"/>
        <v>0.91131259448513902</v>
      </c>
      <c r="P55" s="251">
        <f>+'P03 2024'!EL42</f>
        <v>26520278.757728003</v>
      </c>
      <c r="Q55" s="251">
        <f t="shared" si="17"/>
        <v>1945085.2354540001</v>
      </c>
      <c r="R55" s="516">
        <f t="shared" si="3"/>
        <v>7.3343317889794146E-2</v>
      </c>
      <c r="S55" s="247">
        <v>0</v>
      </c>
      <c r="T55" s="247">
        <v>0</v>
      </c>
      <c r="U55" s="247">
        <v>0</v>
      </c>
      <c r="V55" s="247">
        <v>0</v>
      </c>
      <c r="W55" s="247"/>
      <c r="X55" s="251">
        <v>0</v>
      </c>
      <c r="Y55" s="251">
        <v>0</v>
      </c>
      <c r="Z55" s="430">
        <v>0</v>
      </c>
      <c r="AA55" s="430">
        <v>0</v>
      </c>
      <c r="AB55" s="430">
        <f>+'P03 2024'!BW15</f>
        <v>304910.04000000004</v>
      </c>
      <c r="AC55" s="430">
        <f>+'P03 2025'!CM12</f>
        <v>9325.3490000000002</v>
      </c>
      <c r="AD55" s="281">
        <f>+'P03 2024'!CP15</f>
        <v>93780</v>
      </c>
      <c r="AE55" s="281">
        <f>+'P03 2025'!DE17</f>
        <v>241000</v>
      </c>
      <c r="AF55" s="281">
        <f>+'P03 2024'!DH14</f>
        <v>307799.61957799998</v>
      </c>
      <c r="AG55" s="281">
        <f>+'P03 2025'!DZ13</f>
        <v>138905.802</v>
      </c>
      <c r="AH55" s="281">
        <f>+'P03 2024'!EB13</f>
        <v>1238595.5758760001</v>
      </c>
      <c r="AI55" s="281">
        <f>+'P03 2024'!EV11</f>
        <v>1052982.463</v>
      </c>
      <c r="AJ55" s="281">
        <f>'P03 2024'!FP15</f>
        <v>2615284.1150000002</v>
      </c>
      <c r="AK55" s="281">
        <f>+'P03 2024'!GI18</f>
        <v>760813.52800000005</v>
      </c>
      <c r="AL55" s="281">
        <f>+'P03 2024'!HA16</f>
        <v>3323994.4410000001</v>
      </c>
      <c r="AN55" s="899"/>
      <c r="AO55" s="1078"/>
      <c r="AP55" s="1078"/>
      <c r="AQ55" s="1078"/>
      <c r="AR55" s="1078"/>
      <c r="AS55" s="1078"/>
      <c r="AT55" s="1078"/>
      <c r="AU55" s="1078"/>
      <c r="AV55" s="1078"/>
    </row>
    <row r="56" spans="2:48" s="150" customFormat="1" ht="15" hidden="1" customHeight="1" x14ac:dyDescent="0.2">
      <c r="B56" s="375"/>
      <c r="C56" s="393"/>
      <c r="D56" s="254"/>
      <c r="E56" s="627">
        <v>1</v>
      </c>
      <c r="F56" s="147" t="s">
        <v>891</v>
      </c>
      <c r="G56" s="384" t="s">
        <v>623</v>
      </c>
      <c r="H56" s="175">
        <f>+'P03 2025'!H39</f>
        <v>31470675</v>
      </c>
      <c r="I56" s="175">
        <f>+'P03 2025'!EJ59</f>
        <v>12021708.327</v>
      </c>
      <c r="J56" s="175">
        <f ca="1">SUMIF(S$6:$AL$6,"ok",S56:AK56)</f>
        <v>2464819.781</v>
      </c>
      <c r="K56" s="516">
        <f t="shared" ca="1" si="0"/>
        <v>0.20503074221690856</v>
      </c>
      <c r="L56" s="280">
        <f>'P03 2025'!EK60</f>
        <v>2464819.781</v>
      </c>
      <c r="M56" s="516">
        <f t="shared" si="1"/>
        <v>0.20503074221690856</v>
      </c>
      <c r="N56" s="279">
        <f t="shared" si="6"/>
        <v>9556888.5460000001</v>
      </c>
      <c r="O56" s="516">
        <f t="shared" si="2"/>
        <v>0.79496925778309147</v>
      </c>
      <c r="P56" s="251">
        <f>+'P03 2024'!EL44</f>
        <v>28699695.306256</v>
      </c>
      <c r="Q56" s="251">
        <f t="shared" si="17"/>
        <v>12970071.286768001</v>
      </c>
      <c r="R56" s="516">
        <f t="shared" si="3"/>
        <v>0.45192365801670259</v>
      </c>
      <c r="S56" s="247">
        <v>0</v>
      </c>
      <c r="T56" s="247">
        <f>+'P03 2024'!J31</f>
        <v>223435.112822</v>
      </c>
      <c r="U56" s="247">
        <v>0</v>
      </c>
      <c r="V56" s="523">
        <f>+'P03 2024'!R9</f>
        <v>986900.603</v>
      </c>
      <c r="W56" s="523">
        <f>+'P03 2025'!AJ13</f>
        <v>96325.179000000004</v>
      </c>
      <c r="X56" s="251">
        <f>+'P03 2024'!AK13</f>
        <v>2144392.9153840002</v>
      </c>
      <c r="Y56" s="251">
        <f>+'P03 2025'!BC16</f>
        <v>180856.856</v>
      </c>
      <c r="Z56" s="430">
        <f>+'P03 2024'!BD14</f>
        <v>770020.61839800002</v>
      </c>
      <c r="AA56" s="430">
        <f>'P03 2025'!BU15</f>
        <v>288150.67099999997</v>
      </c>
      <c r="AB56" s="430">
        <f>+'P03 2024'!BW16</f>
        <v>1940576.6327460001</v>
      </c>
      <c r="AC56" s="430">
        <f>+'P03 2025'!CM13</f>
        <v>1522184.4369999999</v>
      </c>
      <c r="AD56" s="281">
        <f>+'P03 2024'!CP16</f>
        <v>1067432.85466</v>
      </c>
      <c r="AE56" s="281">
        <f>+'P03 2025'!DE18</f>
        <v>377302.63799999998</v>
      </c>
      <c r="AF56" s="281">
        <f>+'P03 2024'!DH15</f>
        <v>2007749.866096</v>
      </c>
      <c r="AG56" s="281">
        <v>0</v>
      </c>
      <c r="AH56" s="281">
        <f>+'P03 2024'!EB14</f>
        <v>3829562.6836620001</v>
      </c>
      <c r="AI56" s="281">
        <f>+'P03 2024'!EV12</f>
        <v>2799000.773</v>
      </c>
      <c r="AJ56" s="281">
        <f>'P03 2024'!FP16</f>
        <v>2712070.8429999999</v>
      </c>
      <c r="AK56" s="281">
        <f>+'P03 2024'!GI19</f>
        <v>2127758.9249999998</v>
      </c>
      <c r="AL56" s="281">
        <f>+'P03 2024'!HA17</f>
        <v>20748846.824000001</v>
      </c>
      <c r="AM56" s="1080"/>
      <c r="AN56" s="899"/>
      <c r="AO56" s="1078"/>
      <c r="AP56" s="1078"/>
      <c r="AQ56" s="1078"/>
      <c r="AR56" s="1078"/>
      <c r="AS56" s="1078"/>
      <c r="AT56" s="1078"/>
      <c r="AU56" s="1078"/>
      <c r="AV56" s="1078"/>
    </row>
    <row r="57" spans="2:48" s="150" customFormat="1" ht="15" customHeight="1" x14ac:dyDescent="0.2">
      <c r="B57" s="375"/>
      <c r="C57" s="393"/>
      <c r="D57" s="254">
        <v>100</v>
      </c>
      <c r="E57" s="255"/>
      <c r="F57" s="147" t="s">
        <v>810</v>
      </c>
      <c r="G57" s="422" t="s">
        <v>937</v>
      </c>
      <c r="H57" s="175">
        <f>+'P03 2025'!H40</f>
        <v>9562068</v>
      </c>
      <c r="I57" s="175">
        <f>'P03 2025'!EJ61</f>
        <v>22730998</v>
      </c>
      <c r="J57" s="175">
        <f ca="1">SUMIF(S$6:$AL$6,"ok",S57:AK57)</f>
        <v>14967362.983999999</v>
      </c>
      <c r="K57" s="516">
        <f t="shared" ca="1" si="0"/>
        <v>0.65845604244917</v>
      </c>
      <c r="L57" s="280">
        <f>+'P03 2025'!EK62</f>
        <v>15819164.444</v>
      </c>
      <c r="M57" s="516">
        <f t="shared" si="1"/>
        <v>0.69592916439480568</v>
      </c>
      <c r="N57" s="279">
        <f t="shared" si="6"/>
        <v>6911833.5559999999</v>
      </c>
      <c r="O57" s="516">
        <f t="shared" si="2"/>
        <v>0.30407083560519427</v>
      </c>
      <c r="P57" s="251">
        <f>+'P03 2024'!EL46</f>
        <v>10127864.880000001</v>
      </c>
      <c r="Q57" s="251">
        <f t="shared" si="17"/>
        <v>44272.710652000002</v>
      </c>
      <c r="R57" s="516">
        <f t="shared" si="3"/>
        <v>4.371376511887271E-3</v>
      </c>
      <c r="S57" s="247">
        <v>0</v>
      </c>
      <c r="T57" s="247">
        <v>0</v>
      </c>
      <c r="U57" s="247">
        <f>+'P03 2025'!Q10</f>
        <v>2400929.7030000002</v>
      </c>
      <c r="V57" s="247">
        <v>0</v>
      </c>
      <c r="W57" s="247">
        <v>0</v>
      </c>
      <c r="X57" s="251">
        <v>0</v>
      </c>
      <c r="Y57" s="251">
        <v>0</v>
      </c>
      <c r="Z57" s="430">
        <v>0</v>
      </c>
      <c r="AA57" s="430">
        <v>0</v>
      </c>
      <c r="AB57" s="430">
        <v>0</v>
      </c>
      <c r="AC57" s="430">
        <v>0</v>
      </c>
      <c r="AD57" s="281">
        <v>0</v>
      </c>
      <c r="AE57" s="281">
        <f>+'P03 2025'!DE19</f>
        <v>12566433.280999999</v>
      </c>
      <c r="AF57" s="281">
        <f>+'P03 2024'!DH16</f>
        <v>44272.710652000002</v>
      </c>
      <c r="AG57" s="281">
        <v>0</v>
      </c>
      <c r="AH57" s="281">
        <v>0</v>
      </c>
      <c r="AI57" s="281">
        <v>0</v>
      </c>
      <c r="AJ57" s="281">
        <f>'P03 2024'!FP17</f>
        <v>448453.951</v>
      </c>
      <c r="AK57" s="281">
        <f>+'P03 2024'!GI20</f>
        <v>5467962</v>
      </c>
      <c r="AL57" s="281">
        <f>+'P03 2024'!HA18</f>
        <v>3760735.8429999999</v>
      </c>
      <c r="AM57" s="1080"/>
      <c r="AN57" s="899"/>
      <c r="AO57" s="1078"/>
      <c r="AP57" s="1078"/>
      <c r="AQ57" s="1078"/>
      <c r="AR57" s="1078"/>
      <c r="AS57" s="1078"/>
      <c r="AT57" s="1078"/>
      <c r="AU57" s="1078"/>
      <c r="AV57" s="1078"/>
    </row>
    <row r="58" spans="2:48" s="150" customFormat="1" ht="15" customHeight="1" x14ac:dyDescent="0.2">
      <c r="B58" s="375"/>
      <c r="C58" s="393"/>
      <c r="D58" s="254">
        <v>110</v>
      </c>
      <c r="E58" s="255"/>
      <c r="F58" s="147" t="s">
        <v>217</v>
      </c>
      <c r="G58" s="422" t="s">
        <v>218</v>
      </c>
      <c r="H58" s="175">
        <f>+'P03 2025'!H41</f>
        <v>17361590</v>
      </c>
      <c r="I58" s="175">
        <f>+'P03 2025'!EJ63</f>
        <v>17361590</v>
      </c>
      <c r="J58" s="175">
        <f ca="1">SUMIF(S$6:$AL30,"ok",S58:AK58)</f>
        <v>17361590</v>
      </c>
      <c r="K58" s="516">
        <f t="shared" ca="1" si="0"/>
        <v>1</v>
      </c>
      <c r="L58" s="280">
        <f>'P03 2025'!EK64</f>
        <v>17361590</v>
      </c>
      <c r="M58" s="516">
        <f t="shared" si="1"/>
        <v>1</v>
      </c>
      <c r="N58" s="279">
        <f t="shared" si="6"/>
        <v>0</v>
      </c>
      <c r="O58" s="516">
        <f t="shared" si="2"/>
        <v>0</v>
      </c>
      <c r="P58" s="251">
        <f>+'P03 2024'!EL48</f>
        <v>17806759.881999999</v>
      </c>
      <c r="Q58" s="251">
        <f t="shared" si="17"/>
        <v>17806759.881999999</v>
      </c>
      <c r="R58" s="516">
        <f t="shared" si="3"/>
        <v>1</v>
      </c>
      <c r="S58" s="247">
        <v>0</v>
      </c>
      <c r="T58" s="247">
        <v>0</v>
      </c>
      <c r="U58" s="247">
        <v>0</v>
      </c>
      <c r="V58" s="247">
        <v>0</v>
      </c>
      <c r="W58" s="247">
        <v>0</v>
      </c>
      <c r="X58" s="251">
        <v>0</v>
      </c>
      <c r="Y58" s="251">
        <v>0</v>
      </c>
      <c r="Z58" s="430">
        <v>0</v>
      </c>
      <c r="AA58" s="430">
        <v>0</v>
      </c>
      <c r="AB58" s="430">
        <v>0</v>
      </c>
      <c r="AC58" s="430">
        <v>0</v>
      </c>
      <c r="AD58" s="281">
        <v>0</v>
      </c>
      <c r="AE58" s="281">
        <f>+'P03 2025'!DE20</f>
        <v>17361590</v>
      </c>
      <c r="AF58" s="281">
        <f>+'P03 2024'!DH17</f>
        <v>17806759.881999999</v>
      </c>
      <c r="AG58" s="281">
        <v>0</v>
      </c>
      <c r="AH58" s="281">
        <v>0</v>
      </c>
      <c r="AI58" s="281">
        <v>0</v>
      </c>
      <c r="AJ58" s="281">
        <v>0</v>
      </c>
      <c r="AK58" s="281">
        <v>0</v>
      </c>
      <c r="AL58" s="281">
        <v>0</v>
      </c>
      <c r="AN58" s="899"/>
      <c r="AO58" s="1078"/>
      <c r="AP58" s="1078"/>
      <c r="AQ58" s="1078"/>
      <c r="AR58" s="1078"/>
      <c r="AS58" s="1078"/>
      <c r="AT58" s="1078"/>
      <c r="AU58" s="1078"/>
      <c r="AV58" s="1078"/>
    </row>
    <row r="59" spans="2:48" s="150" customFormat="1" ht="15" customHeight="1" x14ac:dyDescent="0.2">
      <c r="B59" s="375"/>
      <c r="C59" s="393"/>
      <c r="D59" s="254">
        <v>111</v>
      </c>
      <c r="E59" s="255"/>
      <c r="F59" s="147" t="s">
        <v>260</v>
      </c>
      <c r="G59" s="422" t="s">
        <v>916</v>
      </c>
      <c r="H59" s="175">
        <f>+'P03 2025'!H42</f>
        <v>9905707</v>
      </c>
      <c r="I59" s="175">
        <f>+'P03 2025'!EJ65</f>
        <v>9905707</v>
      </c>
      <c r="J59" s="175">
        <f ca="1">SUMIF(S$6:$AL32,"ok",S59:AK59)</f>
        <v>1078132.2750000001</v>
      </c>
      <c r="K59" s="516">
        <f t="shared" ca="1" si="0"/>
        <v>0.10883950787157344</v>
      </c>
      <c r="L59" s="280">
        <f>'P03 2025'!EK66</f>
        <v>1809247.1089999999</v>
      </c>
      <c r="M59" s="516">
        <f t="shared" si="1"/>
        <v>0.1826469437264801</v>
      </c>
      <c r="N59" s="279">
        <f t="shared" si="6"/>
        <v>8096459.8909999998</v>
      </c>
      <c r="O59" s="516">
        <f t="shared" si="2"/>
        <v>0.81735305627351984</v>
      </c>
      <c r="P59" s="251">
        <f>+'P03 2024'!EL50</f>
        <v>9312923.9739999995</v>
      </c>
      <c r="Q59" s="251">
        <f t="shared" si="17"/>
        <v>6707611.6657600002</v>
      </c>
      <c r="R59" s="516">
        <f t="shared" si="3"/>
        <v>0.72024765632001719</v>
      </c>
      <c r="S59" s="247">
        <v>0</v>
      </c>
      <c r="T59" s="247">
        <v>0</v>
      </c>
      <c r="U59" s="247">
        <v>0</v>
      </c>
      <c r="V59" s="247">
        <f>+'P03 2024'!R10</f>
        <v>155678.39698399999</v>
      </c>
      <c r="W59" s="247">
        <v>0</v>
      </c>
      <c r="X59" s="251">
        <f>+'P03 2024'!AK14</f>
        <v>389411.71251000004</v>
      </c>
      <c r="Y59" s="251">
        <v>0</v>
      </c>
      <c r="Z59" s="430">
        <f>+'P03 2024'!BD15</f>
        <v>1158687.3603020001</v>
      </c>
      <c r="AA59" s="430">
        <f>'P03 2025'!BU16</f>
        <v>50000</v>
      </c>
      <c r="AB59" s="430">
        <f>+'P03 2024'!BW17</f>
        <v>1371261.5414460001</v>
      </c>
      <c r="AC59" s="430">
        <f>+'P03 2025'!CM14</f>
        <v>155788.05499999999</v>
      </c>
      <c r="AD59" s="281">
        <f>+'P03 2024'!CP17</f>
        <v>1764899.1912400001</v>
      </c>
      <c r="AE59" s="281">
        <f>+'P03 2025'!DE21</f>
        <v>517726.59600000002</v>
      </c>
      <c r="AF59" s="281">
        <f>+'P03 2024'!DH18</f>
        <v>536448.703462</v>
      </c>
      <c r="AG59" s="281">
        <f>+'P03 2025'!DZ14</f>
        <v>354617.62400000001</v>
      </c>
      <c r="AH59" s="1090">
        <f>+'P03 2024'!EB15</f>
        <v>1331224.7598160002</v>
      </c>
      <c r="AI59" s="281">
        <f>+'P03 2024'!EV13</f>
        <v>20291.05</v>
      </c>
      <c r="AJ59" s="281">
        <f>'P03 2024'!FP18</f>
        <v>65009.525000000001</v>
      </c>
      <c r="AK59" s="281">
        <f>+'P03 2024'!GI21</f>
        <v>40579.012999999999</v>
      </c>
      <c r="AL59" s="281">
        <f>+'P03 2024'!HA19</f>
        <v>2374420.1320000002</v>
      </c>
      <c r="AN59" s="899"/>
      <c r="AO59" s="1078"/>
      <c r="AP59" s="1078"/>
      <c r="AQ59" s="1078"/>
      <c r="AR59" s="1078"/>
      <c r="AS59" s="1078"/>
      <c r="AT59" s="1078"/>
      <c r="AU59" s="1078"/>
      <c r="AV59" s="1078"/>
    </row>
    <row r="60" spans="2:48" s="150" customFormat="1" ht="15" customHeight="1" x14ac:dyDescent="0.2">
      <c r="B60" s="375"/>
      <c r="C60" s="393"/>
      <c r="D60" s="254">
        <v>112</v>
      </c>
      <c r="E60" s="255"/>
      <c r="F60" s="147" t="s">
        <v>841</v>
      </c>
      <c r="G60" s="422" t="s">
        <v>917</v>
      </c>
      <c r="H60" s="175">
        <f>+'P03 2025'!H43</f>
        <v>3995732</v>
      </c>
      <c r="I60" s="175">
        <f>+'P03 2025'!EJ67</f>
        <v>3995732</v>
      </c>
      <c r="J60" s="175">
        <f ca="1">SUMIF(S$6:$AL33,"ok",S60:AK60)</f>
        <v>0</v>
      </c>
      <c r="K60" s="516">
        <f t="shared" ca="1" si="0"/>
        <v>0</v>
      </c>
      <c r="L60" s="280">
        <v>0</v>
      </c>
      <c r="M60" s="516">
        <f t="shared" si="1"/>
        <v>0</v>
      </c>
      <c r="N60" s="279">
        <f t="shared" si="6"/>
        <v>3995732</v>
      </c>
      <c r="O60" s="516">
        <f t="shared" si="2"/>
        <v>1</v>
      </c>
      <c r="P60" s="251">
        <f>+'P03 2024'!EL52</f>
        <v>4098186</v>
      </c>
      <c r="Q60" s="251">
        <f t="shared" si="17"/>
        <v>1294147.328</v>
      </c>
      <c r="R60" s="516">
        <f t="shared" si="3"/>
        <v>0.31578540554284262</v>
      </c>
      <c r="S60" s="247">
        <v>0</v>
      </c>
      <c r="T60" s="247">
        <v>0</v>
      </c>
      <c r="U60" s="247">
        <v>0</v>
      </c>
      <c r="V60" s="247">
        <v>0</v>
      </c>
      <c r="W60" s="247">
        <v>0</v>
      </c>
      <c r="X60" s="251">
        <v>0</v>
      </c>
      <c r="Y60" s="251">
        <v>0</v>
      </c>
      <c r="Z60" s="430">
        <v>0</v>
      </c>
      <c r="AA60" s="430">
        <v>0</v>
      </c>
      <c r="AB60" s="430">
        <v>0</v>
      </c>
      <c r="AC60" s="430">
        <v>0</v>
      </c>
      <c r="AD60" s="281">
        <v>0</v>
      </c>
      <c r="AE60" s="281">
        <v>0</v>
      </c>
      <c r="AF60" s="281">
        <v>0</v>
      </c>
      <c r="AG60" s="281">
        <v>0</v>
      </c>
      <c r="AH60" s="281">
        <f>+'P03 2024'!EB16</f>
        <v>1294147.328</v>
      </c>
      <c r="AI60" s="281">
        <v>0</v>
      </c>
      <c r="AJ60" s="281">
        <f>'P03 2024'!FP19</f>
        <v>345827.64299999998</v>
      </c>
      <c r="AK60" s="281">
        <v>0</v>
      </c>
      <c r="AL60" s="281">
        <f>+'P03 2024'!HA20</f>
        <v>2269318.12</v>
      </c>
      <c r="AN60" s="899"/>
      <c r="AO60" s="1078"/>
      <c r="AP60" s="1078"/>
      <c r="AQ60" s="1078"/>
      <c r="AR60" s="1078"/>
      <c r="AS60" s="1078"/>
      <c r="AT60" s="1078"/>
      <c r="AU60" s="1078"/>
      <c r="AV60" s="1078"/>
    </row>
    <row r="61" spans="2:48" s="74" customFormat="1" ht="15" customHeight="1" x14ac:dyDescent="0.2">
      <c r="B61" s="508">
        <v>34</v>
      </c>
      <c r="C61" s="172"/>
      <c r="D61" s="38"/>
      <c r="E61" s="92"/>
      <c r="F61" s="93"/>
      <c r="G61" s="403" t="s">
        <v>83</v>
      </c>
      <c r="H61" s="86">
        <f>+H62</f>
        <v>10.1</v>
      </c>
      <c r="I61" s="447">
        <f>+I62</f>
        <v>43933737.100000001</v>
      </c>
      <c r="J61" s="88">
        <f ca="1">SUMIF(S$6:$AL$6,"ok",S61:AK61)</f>
        <v>43933736.284999996</v>
      </c>
      <c r="K61" s="514">
        <f t="shared" ca="1" si="0"/>
        <v>0.99999998144933577</v>
      </c>
      <c r="L61" s="86">
        <f>+L62</f>
        <v>43933736.284999996</v>
      </c>
      <c r="M61" s="514">
        <f t="shared" si="1"/>
        <v>0.99999998144933577</v>
      </c>
      <c r="N61" s="55">
        <f t="shared" si="6"/>
        <v>0.81500000506639481</v>
      </c>
      <c r="O61" s="514">
        <f t="shared" si="2"/>
        <v>1.8550664224427991E-8</v>
      </c>
      <c r="P61" s="87">
        <f>+P62</f>
        <v>15917854.688200001</v>
      </c>
      <c r="Q61" s="87">
        <f>+Q62</f>
        <v>15917854.170326</v>
      </c>
      <c r="R61" s="514">
        <f t="shared" si="3"/>
        <v>0.99999996746584197</v>
      </c>
      <c r="S61" s="530">
        <f>+S62</f>
        <v>43933736.284999996</v>
      </c>
      <c r="T61" s="146">
        <f>+T62</f>
        <v>15917854.170326</v>
      </c>
      <c r="U61" s="146">
        <v>0</v>
      </c>
      <c r="V61" s="87">
        <v>0</v>
      </c>
      <c r="W61" s="87">
        <v>0</v>
      </c>
      <c r="X61" s="87">
        <v>0</v>
      </c>
      <c r="Y61" s="87">
        <v>0</v>
      </c>
      <c r="Z61" s="418">
        <v>0</v>
      </c>
      <c r="AA61" s="418">
        <f>AA62</f>
        <v>0</v>
      </c>
      <c r="AB61" s="428">
        <f>+AB62</f>
        <v>0</v>
      </c>
      <c r="AC61" s="428">
        <v>0</v>
      </c>
      <c r="AD61" s="428">
        <v>0</v>
      </c>
      <c r="AE61" s="428">
        <v>0</v>
      </c>
      <c r="AF61" s="428">
        <v>0</v>
      </c>
      <c r="AG61" s="428">
        <v>0</v>
      </c>
      <c r="AH61" s="428">
        <v>0</v>
      </c>
      <c r="AI61" s="428">
        <v>0</v>
      </c>
      <c r="AJ61" s="428"/>
      <c r="AK61" s="428">
        <v>0</v>
      </c>
      <c r="AL61" s="428">
        <v>0</v>
      </c>
      <c r="AM61" s="95"/>
      <c r="AN61" s="901"/>
      <c r="AO61" s="10"/>
      <c r="AP61" s="10"/>
      <c r="AQ61" s="10"/>
      <c r="AR61" s="10"/>
      <c r="AS61" s="10"/>
      <c r="AT61" s="10"/>
      <c r="AU61" s="10"/>
      <c r="AV61" s="10"/>
    </row>
    <row r="62" spans="2:48" s="1082" customFormat="1" ht="15" customHeight="1" x14ac:dyDescent="0.2">
      <c r="B62" s="497"/>
      <c r="C62" s="794">
        <v>7</v>
      </c>
      <c r="D62" s="33"/>
      <c r="E62" s="1019"/>
      <c r="F62" s="1023" t="s">
        <v>201</v>
      </c>
      <c r="G62" s="383" t="s">
        <v>127</v>
      </c>
      <c r="H62" s="998">
        <f>+'P03 2025'!H44</f>
        <v>10.1</v>
      </c>
      <c r="I62" s="998">
        <f>+'P03 2025'!EJ68</f>
        <v>43933737.100000001</v>
      </c>
      <c r="J62" s="998">
        <f ca="1">SUMIF(S$6:$AL$6,"ok",S62:AK62)</f>
        <v>43933736.284999996</v>
      </c>
      <c r="K62" s="902">
        <f t="shared" ca="1" si="0"/>
        <v>0.99999998144933577</v>
      </c>
      <c r="L62" s="1025">
        <f>+'P03 2025'!EK69</f>
        <v>43933736.284999996</v>
      </c>
      <c r="M62" s="902">
        <f t="shared" si="1"/>
        <v>0.99999998144933577</v>
      </c>
      <c r="N62" s="1024">
        <f t="shared" si="6"/>
        <v>0.81500000506639481</v>
      </c>
      <c r="O62" s="902">
        <f t="shared" si="2"/>
        <v>1.8550664224427991E-8</v>
      </c>
      <c r="P62" s="949">
        <f>+'P03 2024'!EL54</f>
        <v>15917854.688200001</v>
      </c>
      <c r="Q62" s="949">
        <f>SUMIF($S$6:$AL$6,"SI",S62:AL62)</f>
        <v>15917854.170326</v>
      </c>
      <c r="R62" s="902">
        <f t="shared" si="3"/>
        <v>0.99999996746584197</v>
      </c>
      <c r="S62" s="1027">
        <f>+'P03 2025'!J45</f>
        <v>43933736.284999996</v>
      </c>
      <c r="T62" s="1015">
        <f>+'P03 2024'!J38</f>
        <v>15917854.170326</v>
      </c>
      <c r="U62" s="1015">
        <v>0</v>
      </c>
      <c r="V62" s="1085">
        <v>0</v>
      </c>
      <c r="W62" s="1085">
        <v>0</v>
      </c>
      <c r="X62" s="949">
        <v>0</v>
      </c>
      <c r="Y62" s="949">
        <v>0</v>
      </c>
      <c r="Z62" s="1026">
        <v>0</v>
      </c>
      <c r="AA62" s="1026">
        <v>0</v>
      </c>
      <c r="AB62" s="1021">
        <v>0</v>
      </c>
      <c r="AC62" s="1021">
        <v>0</v>
      </c>
      <c r="AD62" s="1021">
        <v>0</v>
      </c>
      <c r="AE62" s="1021">
        <v>0</v>
      </c>
      <c r="AF62" s="1021">
        <v>0</v>
      </c>
      <c r="AG62" s="1021">
        <v>0</v>
      </c>
      <c r="AH62" s="1021">
        <v>0</v>
      </c>
      <c r="AI62" s="1021">
        <v>0</v>
      </c>
      <c r="AJ62" s="1021"/>
      <c r="AK62" s="1021">
        <v>0</v>
      </c>
      <c r="AL62" s="1021">
        <v>0</v>
      </c>
      <c r="AN62" s="1083"/>
      <c r="AO62" s="1084"/>
      <c r="AP62" s="1084"/>
      <c r="AQ62" s="1084"/>
      <c r="AR62" s="1084"/>
      <c r="AS62" s="1084"/>
      <c r="AT62" s="1084"/>
      <c r="AU62" s="1084"/>
      <c r="AV62" s="1084"/>
    </row>
    <row r="63" spans="2:48" s="1082" customFormat="1" ht="15" customHeight="1" x14ac:dyDescent="0.2">
      <c r="B63" s="955">
        <v>35</v>
      </c>
      <c r="C63" s="24"/>
      <c r="D63" s="33"/>
      <c r="E63" s="1019"/>
      <c r="F63" s="1023"/>
      <c r="G63" s="990" t="s">
        <v>124</v>
      </c>
      <c r="H63" s="998">
        <v>0</v>
      </c>
      <c r="I63" s="998">
        <v>0</v>
      </c>
      <c r="J63" s="998">
        <f ca="1">SUMIF(S$6:$AL$6,"ok",S63:AK63)</f>
        <v>0</v>
      </c>
      <c r="K63" s="902" t="str">
        <f ca="1">IFERROR(J63/I63,"0,00%")</f>
        <v>0,00%</v>
      </c>
      <c r="L63" s="1024">
        <v>0</v>
      </c>
      <c r="M63" s="902">
        <f t="shared" si="1"/>
        <v>0</v>
      </c>
      <c r="N63" s="1024">
        <f t="shared" si="6"/>
        <v>0</v>
      </c>
      <c r="O63" s="902">
        <f t="shared" si="2"/>
        <v>0</v>
      </c>
      <c r="P63" s="949">
        <v>0</v>
      </c>
      <c r="Q63" s="949">
        <f>SUMIF($S$6:$AL$6,"SI",S63:AL63)</f>
        <v>0</v>
      </c>
      <c r="R63" s="902" t="str">
        <f>IFERROR(Q63/P63,"0,00%")</f>
        <v>0,00%</v>
      </c>
      <c r="S63" s="1015">
        <v>0</v>
      </c>
      <c r="T63" s="1015">
        <v>0</v>
      </c>
      <c r="U63" s="1015">
        <v>0</v>
      </c>
      <c r="V63" s="1015">
        <v>0</v>
      </c>
      <c r="W63" s="1015">
        <v>0</v>
      </c>
      <c r="X63" s="949">
        <v>0</v>
      </c>
      <c r="Y63" s="949">
        <v>0</v>
      </c>
      <c r="Z63" s="1026">
        <v>0</v>
      </c>
      <c r="AA63" s="1026">
        <v>0</v>
      </c>
      <c r="AB63" s="1021">
        <v>0</v>
      </c>
      <c r="AC63" s="1021">
        <v>0</v>
      </c>
      <c r="AD63" s="1021">
        <v>0</v>
      </c>
      <c r="AE63" s="1021">
        <v>0</v>
      </c>
      <c r="AF63" s="1021">
        <v>0</v>
      </c>
      <c r="AG63" s="1021">
        <v>0</v>
      </c>
      <c r="AH63" s="1021">
        <v>0</v>
      </c>
      <c r="AI63" s="1021">
        <v>0</v>
      </c>
      <c r="AJ63" s="1021"/>
      <c r="AK63" s="1021">
        <v>0</v>
      </c>
      <c r="AL63" s="1021">
        <v>0</v>
      </c>
      <c r="AN63" s="1083"/>
      <c r="AO63" s="1084"/>
      <c r="AP63" s="1084"/>
      <c r="AQ63" s="1084"/>
      <c r="AR63" s="1084"/>
      <c r="AS63" s="1084"/>
      <c r="AT63" s="1084"/>
      <c r="AU63" s="1084"/>
      <c r="AV63" s="1084"/>
    </row>
    <row r="64" spans="2:48" ht="12.75" customHeight="1" x14ac:dyDescent="0.2">
      <c r="L64" s="835"/>
      <c r="N64" s="71"/>
      <c r="O64" s="117"/>
      <c r="P64" s="880"/>
      <c r="Q64" s="880"/>
      <c r="R64" s="116"/>
      <c r="S64" s="57"/>
      <c r="T64" s="70"/>
      <c r="U64" s="70"/>
      <c r="V64" s="126"/>
      <c r="W64" s="126"/>
      <c r="X64" s="70"/>
      <c r="Y64" s="70"/>
      <c r="Z64" s="70"/>
      <c r="AA64" s="70"/>
      <c r="AB64" s="10"/>
      <c r="AD64" s="70"/>
      <c r="AE64" s="70"/>
      <c r="AF64" s="70"/>
      <c r="AG64" s="70"/>
      <c r="AH64" s="70"/>
      <c r="AI64" s="70"/>
      <c r="AJ64" s="70"/>
      <c r="AK64" s="70"/>
      <c r="AL64" s="70"/>
      <c r="AM64" s="70"/>
    </row>
    <row r="65" spans="2:47" x14ac:dyDescent="0.2">
      <c r="B65" s="1244" t="s">
        <v>1102</v>
      </c>
      <c r="C65" s="1244"/>
      <c r="D65" s="1244"/>
      <c r="E65" s="1244"/>
      <c r="F65" s="1244"/>
      <c r="G65" s="1244"/>
      <c r="H65" s="1244"/>
      <c r="I65" s="1244"/>
      <c r="J65" s="1244"/>
      <c r="K65" s="1244"/>
      <c r="L65" s="1244"/>
      <c r="M65" s="1244"/>
      <c r="N65" s="1244"/>
      <c r="O65" s="1244"/>
      <c r="P65" s="1244"/>
      <c r="Q65" s="1244"/>
      <c r="R65" s="1244"/>
      <c r="V65" s="128"/>
      <c r="W65" s="128"/>
      <c r="AH65" s="53"/>
      <c r="AM65" s="95"/>
    </row>
    <row r="66" spans="2:47" ht="12.75" customHeight="1" x14ac:dyDescent="0.2">
      <c r="B66" s="1244"/>
      <c r="C66" s="1244"/>
      <c r="D66" s="1244"/>
      <c r="E66" s="1244"/>
      <c r="F66" s="1244"/>
      <c r="G66" s="1244"/>
      <c r="H66" s="1244"/>
      <c r="I66" s="1244"/>
      <c r="J66" s="1244"/>
      <c r="K66" s="1244"/>
      <c r="L66" s="1244"/>
      <c r="M66" s="1244"/>
      <c r="N66" s="1244"/>
      <c r="O66" s="1244"/>
      <c r="P66" s="1244"/>
      <c r="Q66" s="1244"/>
      <c r="R66" s="1244"/>
      <c r="V66" s="128"/>
      <c r="W66" s="128"/>
      <c r="AH66" s="53"/>
      <c r="AM66" s="95"/>
    </row>
    <row r="67" spans="2:47" ht="12.75" customHeight="1" x14ac:dyDescent="0.2">
      <c r="B67" s="1244"/>
      <c r="C67" s="1244"/>
      <c r="D67" s="1244"/>
      <c r="E67" s="1244"/>
      <c r="F67" s="1244"/>
      <c r="G67" s="1244"/>
      <c r="H67" s="1244"/>
      <c r="I67" s="1244"/>
      <c r="J67" s="1244"/>
      <c r="K67" s="1244"/>
      <c r="L67" s="1244"/>
      <c r="M67" s="1244"/>
      <c r="N67" s="1244"/>
      <c r="O67" s="1244"/>
      <c r="P67" s="1244"/>
      <c r="Q67" s="1244"/>
      <c r="R67" s="1244"/>
      <c r="V67" s="128"/>
      <c r="W67" s="128"/>
      <c r="AH67" s="53"/>
      <c r="AM67" s="95"/>
    </row>
    <row r="68" spans="2:47" ht="12.75" customHeight="1" x14ac:dyDescent="0.2">
      <c r="B68" s="1244"/>
      <c r="C68" s="1244"/>
      <c r="D68" s="1244"/>
      <c r="E68" s="1244"/>
      <c r="F68" s="1244"/>
      <c r="G68" s="1244"/>
      <c r="H68" s="1244"/>
      <c r="I68" s="1244"/>
      <c r="J68" s="1244"/>
      <c r="K68" s="1244"/>
      <c r="L68" s="1244"/>
      <c r="M68" s="1244"/>
      <c r="N68" s="1244"/>
      <c r="O68" s="1244"/>
      <c r="P68" s="1244"/>
      <c r="Q68" s="1244"/>
      <c r="R68" s="1244"/>
      <c r="V68" s="128"/>
      <c r="W68" s="128"/>
      <c r="AH68" s="53"/>
      <c r="AM68" s="95"/>
    </row>
    <row r="69" spans="2:47" ht="12.75" customHeight="1" x14ac:dyDescent="0.2">
      <c r="K69" s="115"/>
      <c r="L69" s="9"/>
      <c r="N69" s="71"/>
      <c r="O69" s="117"/>
      <c r="V69" s="128"/>
      <c r="W69" s="128"/>
      <c r="AH69" s="53"/>
      <c r="AM69" s="95"/>
    </row>
    <row r="70" spans="2:47" ht="12.75" customHeight="1" x14ac:dyDescent="0.2">
      <c r="K70" s="115"/>
      <c r="L70" s="9"/>
      <c r="N70" s="71"/>
      <c r="O70" s="117"/>
      <c r="V70" s="128"/>
      <c r="W70" s="128"/>
      <c r="AH70" s="53"/>
      <c r="AM70" s="95"/>
    </row>
    <row r="71" spans="2:47" ht="12.75" customHeight="1" x14ac:dyDescent="0.2">
      <c r="K71" s="115"/>
      <c r="L71" s="9"/>
      <c r="N71" s="71"/>
      <c r="O71" s="117"/>
      <c r="V71" s="128"/>
      <c r="W71" s="128"/>
      <c r="AH71" s="53"/>
      <c r="AM71" s="95"/>
    </row>
    <row r="72" spans="2:47" ht="13.5" customHeight="1" thickBot="1" x14ac:dyDescent="0.25">
      <c r="K72" s="115"/>
      <c r="L72" s="9"/>
      <c r="N72" s="71"/>
      <c r="O72" s="117"/>
      <c r="V72" s="128"/>
      <c r="W72" s="128"/>
      <c r="AH72" s="53"/>
      <c r="AM72" s="95"/>
    </row>
    <row r="73" spans="2:47" ht="15.75" thickBot="1" x14ac:dyDescent="0.25">
      <c r="F73" s="1277" t="s">
        <v>1151</v>
      </c>
      <c r="G73" s="1278"/>
      <c r="H73" s="1278"/>
      <c r="I73" s="1278"/>
      <c r="J73" s="1279"/>
      <c r="N73" s="70"/>
      <c r="O73" s="116"/>
      <c r="V73" s="126"/>
      <c r="W73" s="126"/>
      <c r="AM73" s="95"/>
    </row>
    <row r="74" spans="2:47" ht="13.5" thickBot="1" x14ac:dyDescent="0.25">
      <c r="G74" s="1282" t="s">
        <v>282</v>
      </c>
      <c r="H74" s="1282"/>
      <c r="I74" s="1282"/>
      <c r="J74" s="1282"/>
      <c r="N74" s="70"/>
      <c r="O74" s="116"/>
      <c r="V74" s="126"/>
      <c r="W74" s="126"/>
      <c r="AM74" s="95"/>
    </row>
    <row r="75" spans="2:47" ht="15.75" thickBot="1" x14ac:dyDescent="0.25">
      <c r="F75" s="836" t="s">
        <v>640</v>
      </c>
      <c r="G75" s="1280" t="s">
        <v>811</v>
      </c>
      <c r="H75" s="1281"/>
      <c r="I75" s="125"/>
      <c r="J75" s="125"/>
      <c r="K75" s="205"/>
      <c r="M75" s="557"/>
      <c r="N75" s="70"/>
      <c r="O75" s="116"/>
      <c r="V75" s="126"/>
      <c r="W75" s="126"/>
      <c r="AM75" s="95"/>
    </row>
    <row r="76" spans="2:47" ht="14.45" customHeight="1" x14ac:dyDescent="0.2">
      <c r="F76" s="104"/>
      <c r="G76" s="197" t="s">
        <v>971</v>
      </c>
      <c r="H76" s="195">
        <v>95697781</v>
      </c>
      <c r="I76" s="208"/>
      <c r="J76" s="205"/>
      <c r="M76" s="557"/>
      <c r="N76" s="70"/>
      <c r="O76" s="116"/>
      <c r="V76" s="126"/>
      <c r="W76" s="126"/>
      <c r="AM76" s="95"/>
    </row>
    <row r="77" spans="2:47" x14ac:dyDescent="0.2">
      <c r="F77" s="194"/>
      <c r="G77" s="196" t="s">
        <v>1034</v>
      </c>
      <c r="H77" s="494">
        <v>-9631854</v>
      </c>
      <c r="J77" s="205"/>
      <c r="M77" s="557"/>
      <c r="N77" s="70"/>
      <c r="O77" s="116"/>
      <c r="V77" s="126"/>
      <c r="W77" s="126"/>
      <c r="AM77" s="95"/>
    </row>
    <row r="78" spans="2:47" x14ac:dyDescent="0.2">
      <c r="F78" s="194"/>
      <c r="G78" s="196" t="s">
        <v>1100</v>
      </c>
      <c r="H78" s="800">
        <v>1872639</v>
      </c>
      <c r="J78" s="205"/>
      <c r="M78" s="557"/>
      <c r="N78" s="70"/>
      <c r="O78" s="116"/>
      <c r="V78" s="126"/>
      <c r="W78" s="126"/>
      <c r="AM78" s="95"/>
      <c r="AO78" s="1074"/>
      <c r="AP78" s="74"/>
      <c r="AQ78" s="74"/>
      <c r="AR78" s="74"/>
      <c r="AS78" s="1075"/>
      <c r="AT78" s="1075"/>
      <c r="AU78" s="1075"/>
    </row>
    <row r="79" spans="2:47" ht="15" customHeight="1" thickBot="1" x14ac:dyDescent="0.25">
      <c r="F79" s="105"/>
      <c r="G79" s="764" t="s">
        <v>972</v>
      </c>
      <c r="H79" s="23">
        <f>+I45</f>
        <v>103254006</v>
      </c>
      <c r="J79" s="205"/>
      <c r="M79" s="557"/>
      <c r="N79" s="70"/>
      <c r="O79" s="116"/>
      <c r="V79" s="126"/>
      <c r="W79" s="126"/>
      <c r="AM79" s="95"/>
      <c r="AO79" s="1074"/>
      <c r="AP79" s="74"/>
      <c r="AQ79" s="74"/>
      <c r="AR79" s="74"/>
      <c r="AS79" s="1075"/>
      <c r="AT79" s="1075"/>
      <c r="AU79" s="1075"/>
    </row>
    <row r="80" spans="2:47" ht="13.5" thickBot="1" x14ac:dyDescent="0.25">
      <c r="G80" s="125"/>
      <c r="H80" s="125"/>
      <c r="I80" s="125"/>
      <c r="J80" s="205"/>
      <c r="M80" s="557"/>
      <c r="N80" s="70"/>
      <c r="O80" s="116"/>
      <c r="V80" s="126"/>
      <c r="W80" s="126"/>
      <c r="AM80" s="95"/>
      <c r="AO80" s="901"/>
      <c r="AP80" s="901"/>
      <c r="AQ80" s="901"/>
      <c r="AR80" s="901"/>
      <c r="AS80" s="9"/>
      <c r="AT80" s="9"/>
      <c r="AU80" s="9"/>
    </row>
    <row r="81" spans="4:39" ht="19.5" customHeight="1" thickBot="1" x14ac:dyDescent="0.25">
      <c r="D81" s="15"/>
      <c r="E81" s="11"/>
      <c r="F81" s="836" t="s">
        <v>640</v>
      </c>
      <c r="G81" s="1280" t="s">
        <v>813</v>
      </c>
      <c r="H81" s="1281"/>
      <c r="I81" s="837"/>
      <c r="J81" s="98"/>
      <c r="K81" s="558"/>
      <c r="L81" s="98"/>
      <c r="M81" s="558"/>
      <c r="N81" s="98"/>
      <c r="O81" s="118"/>
      <c r="P81" s="449"/>
      <c r="Q81" s="449"/>
      <c r="R81" s="558"/>
      <c r="S81" s="242"/>
      <c r="T81" s="98"/>
      <c r="U81" s="98"/>
      <c r="V81" s="129"/>
      <c r="W81" s="129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5"/>
    </row>
    <row r="82" spans="4:39" x14ac:dyDescent="0.2">
      <c r="D82" s="15"/>
      <c r="E82" s="11"/>
      <c r="F82" s="104"/>
      <c r="G82" s="206" t="s">
        <v>150</v>
      </c>
      <c r="H82" s="207">
        <f>+H50</f>
        <v>56114193</v>
      </c>
      <c r="I82" s="72"/>
      <c r="N82" s="70"/>
      <c r="O82" s="116"/>
      <c r="R82" s="562"/>
      <c r="S82" s="451"/>
      <c r="T82" s="17"/>
      <c r="U82" s="17"/>
      <c r="V82" s="126"/>
      <c r="W82" s="126"/>
      <c r="X82" s="17"/>
      <c r="Y82" s="17"/>
      <c r="Z82" s="17"/>
      <c r="AA82" s="17"/>
      <c r="AM82" s="95"/>
    </row>
    <row r="83" spans="4:39" x14ac:dyDescent="0.2">
      <c r="D83" s="15"/>
      <c r="E83" s="11"/>
      <c r="F83" s="194"/>
      <c r="G83" s="1213" t="s">
        <v>1136</v>
      </c>
      <c r="H83" s="1214">
        <v>-504839</v>
      </c>
      <c r="I83" s="72"/>
      <c r="N83" s="70"/>
      <c r="O83" s="116"/>
      <c r="R83" s="562"/>
      <c r="S83" s="451"/>
      <c r="T83" s="17"/>
      <c r="U83" s="17"/>
      <c r="V83" s="126"/>
      <c r="W83" s="126"/>
      <c r="X83" s="17"/>
      <c r="Y83" s="17"/>
      <c r="Z83" s="17"/>
      <c r="AA83" s="17"/>
      <c r="AM83" s="95"/>
    </row>
    <row r="84" spans="4:39" x14ac:dyDescent="0.2">
      <c r="D84" s="15"/>
      <c r="E84" s="11"/>
      <c r="F84" s="194"/>
      <c r="G84" s="1215" t="s">
        <v>1158</v>
      </c>
      <c r="H84" s="1214">
        <v>-15000000</v>
      </c>
      <c r="I84" s="72"/>
      <c r="N84" s="70"/>
      <c r="O84" s="116"/>
      <c r="R84" s="562"/>
      <c r="S84" s="451"/>
      <c r="T84" s="17"/>
      <c r="U84" s="17"/>
      <c r="V84" s="126"/>
      <c r="W84" s="126"/>
      <c r="X84" s="17"/>
      <c r="Y84" s="17"/>
      <c r="Z84" s="17"/>
      <c r="AA84" s="17"/>
      <c r="AM84" s="95"/>
    </row>
    <row r="85" spans="4:39" x14ac:dyDescent="0.2">
      <c r="D85" s="15"/>
      <c r="E85" s="11"/>
      <c r="F85" s="194"/>
      <c r="G85" s="1216" t="s">
        <v>1159</v>
      </c>
      <c r="H85" s="1214">
        <v>1404291</v>
      </c>
      <c r="I85" s="72"/>
      <c r="N85" s="70"/>
      <c r="O85" s="116"/>
      <c r="R85" s="562"/>
      <c r="S85" s="451"/>
      <c r="T85" s="17"/>
      <c r="U85" s="17"/>
      <c r="V85" s="126"/>
      <c r="W85" s="126"/>
      <c r="X85" s="17"/>
      <c r="Y85" s="17"/>
      <c r="Z85" s="17"/>
      <c r="AA85" s="17"/>
      <c r="AM85" s="95"/>
    </row>
    <row r="86" spans="4:39" ht="13.5" thickBot="1" x14ac:dyDescent="0.25">
      <c r="D86" s="15"/>
      <c r="E86" s="11"/>
      <c r="F86" s="105"/>
      <c r="G86" s="227" t="s">
        <v>508</v>
      </c>
      <c r="H86" s="228">
        <f>I50</f>
        <v>42013645</v>
      </c>
      <c r="N86" s="70"/>
      <c r="O86" s="116"/>
      <c r="R86" s="562"/>
      <c r="S86" s="451"/>
      <c r="T86" s="17"/>
      <c r="U86" s="17"/>
      <c r="V86" s="126"/>
      <c r="W86" s="126"/>
      <c r="X86" s="17"/>
      <c r="Y86" s="17"/>
      <c r="Z86" s="17"/>
      <c r="AA86" s="17"/>
      <c r="AM86" s="95"/>
    </row>
    <row r="87" spans="4:39" ht="13.5" thickBot="1" x14ac:dyDescent="0.25">
      <c r="D87" s="15"/>
      <c r="E87" s="11"/>
      <c r="F87" s="801"/>
      <c r="G87" s="802"/>
      <c r="H87" s="803"/>
      <c r="N87" s="70"/>
      <c r="O87" s="116"/>
      <c r="R87" s="562"/>
      <c r="S87" s="451"/>
      <c r="T87" s="17"/>
      <c r="U87" s="17"/>
      <c r="V87" s="126"/>
      <c r="W87" s="126"/>
      <c r="X87" s="17"/>
      <c r="Y87" s="17"/>
      <c r="Z87" s="17"/>
      <c r="AA87" s="17"/>
      <c r="AM87" s="95"/>
    </row>
    <row r="88" spans="4:39" ht="15.75" thickBot="1" x14ac:dyDescent="0.25">
      <c r="D88" s="15"/>
      <c r="E88" s="11"/>
      <c r="F88" s="801"/>
      <c r="G88" s="1280" t="s">
        <v>1101</v>
      </c>
      <c r="H88" s="1281"/>
      <c r="N88" s="70"/>
      <c r="O88" s="116"/>
      <c r="R88" s="562"/>
      <c r="S88" s="451"/>
      <c r="T88" s="17"/>
      <c r="U88" s="17"/>
      <c r="V88" s="126"/>
      <c r="W88" s="126"/>
      <c r="X88" s="17"/>
      <c r="Y88" s="17"/>
      <c r="Z88" s="17"/>
      <c r="AA88" s="17"/>
      <c r="AM88" s="95"/>
    </row>
    <row r="89" spans="4:39" x14ac:dyDescent="0.2">
      <c r="D89" s="15"/>
      <c r="E89" s="11"/>
      <c r="F89" s="801"/>
      <c r="G89" s="206" t="s">
        <v>150</v>
      </c>
      <c r="H89" s="207">
        <v>9562068</v>
      </c>
      <c r="N89" s="70"/>
      <c r="O89" s="116"/>
      <c r="R89" s="562"/>
      <c r="S89" s="451"/>
      <c r="T89" s="17"/>
      <c r="U89" s="17"/>
      <c r="V89" s="126"/>
      <c r="W89" s="126"/>
      <c r="X89" s="17"/>
      <c r="Y89" s="17"/>
      <c r="Z89" s="17"/>
      <c r="AA89" s="17"/>
      <c r="AM89" s="95"/>
    </row>
    <row r="90" spans="4:39" x14ac:dyDescent="0.2">
      <c r="D90" s="15"/>
      <c r="E90" s="11"/>
      <c r="F90" s="801"/>
      <c r="G90" s="196" t="s">
        <v>1100</v>
      </c>
      <c r="H90" s="804">
        <v>13168930</v>
      </c>
      <c r="N90" s="70"/>
      <c r="O90" s="116"/>
      <c r="R90" s="562"/>
      <c r="S90" s="451"/>
      <c r="T90" s="17"/>
      <c r="U90" s="17"/>
      <c r="V90" s="126"/>
      <c r="W90" s="126"/>
      <c r="X90" s="17"/>
      <c r="Y90" s="17"/>
      <c r="Z90" s="17"/>
      <c r="AA90" s="17"/>
      <c r="AM90" s="95"/>
    </row>
    <row r="91" spans="4:39" ht="13.5" thickBot="1" x14ac:dyDescent="0.25">
      <c r="D91" s="15"/>
      <c r="E91" s="11"/>
      <c r="F91" s="801"/>
      <c r="G91" s="227" t="s">
        <v>508</v>
      </c>
      <c r="H91" s="228">
        <f>+I57</f>
        <v>22730998</v>
      </c>
      <c r="N91" s="70"/>
      <c r="O91" s="116"/>
      <c r="R91" s="562"/>
      <c r="S91" s="451"/>
      <c r="T91" s="17"/>
      <c r="U91" s="17"/>
      <c r="V91" s="126"/>
      <c r="W91" s="126"/>
      <c r="X91" s="17"/>
      <c r="Y91" s="17"/>
      <c r="Z91" s="17"/>
      <c r="AA91" s="17"/>
      <c r="AM91" s="95"/>
    </row>
    <row r="92" spans="4:39" ht="13.5" thickBot="1" x14ac:dyDescent="0.25">
      <c r="D92" s="15"/>
      <c r="E92" s="11"/>
      <c r="K92" s="560"/>
      <c r="N92" s="70"/>
      <c r="O92" s="116"/>
      <c r="V92" s="126"/>
      <c r="W92" s="126"/>
      <c r="AM92" s="95"/>
    </row>
    <row r="93" spans="4:39" ht="15.75" thickBot="1" x14ac:dyDescent="0.3">
      <c r="F93" s="1274" t="s">
        <v>812</v>
      </c>
      <c r="G93" s="1275"/>
      <c r="H93" s="1275"/>
      <c r="I93" s="1276"/>
      <c r="AM93" s="95"/>
    </row>
    <row r="94" spans="4:39" ht="31.5" customHeight="1" x14ac:dyDescent="0.2">
      <c r="F94" s="531" t="s">
        <v>698</v>
      </c>
      <c r="G94" s="534" t="s">
        <v>690</v>
      </c>
      <c r="H94" s="191" t="s">
        <v>696</v>
      </c>
      <c r="I94" s="140" t="s">
        <v>697</v>
      </c>
      <c r="AM94" s="95"/>
    </row>
    <row r="95" spans="4:39" x14ac:dyDescent="0.2">
      <c r="F95" s="532" t="str">
        <f>+F46</f>
        <v>33.03.005.001</v>
      </c>
      <c r="G95" s="79" t="s">
        <v>615</v>
      </c>
      <c r="H95" s="192">
        <f>+I46</f>
        <v>41426748</v>
      </c>
      <c r="I95" s="141">
        <f ca="1">+J46</f>
        <v>16107289.925999999</v>
      </c>
      <c r="AM95" s="95"/>
    </row>
    <row r="96" spans="4:39" x14ac:dyDescent="0.2">
      <c r="F96" s="532" t="str">
        <f>+F47</f>
        <v>33.03.005.002</v>
      </c>
      <c r="G96" s="79" t="s">
        <v>616</v>
      </c>
      <c r="H96" s="192">
        <f>+I47</f>
        <v>42577995</v>
      </c>
      <c r="I96" s="141">
        <f t="shared" ref="I96:I98" ca="1" si="18">+J47</f>
        <v>16768198.232000001</v>
      </c>
      <c r="AM96" s="95"/>
    </row>
    <row r="97" spans="6:39" x14ac:dyDescent="0.2">
      <c r="F97" s="532" t="str">
        <f>+F48</f>
        <v>33.03.005.003</v>
      </c>
      <c r="G97" s="79" t="s">
        <v>617</v>
      </c>
      <c r="H97" s="192">
        <f>+I48</f>
        <v>18949263</v>
      </c>
      <c r="I97" s="141">
        <f t="shared" ca="1" si="18"/>
        <v>18917977.829999998</v>
      </c>
      <c r="AM97" s="95"/>
    </row>
    <row r="98" spans="6:39" ht="13.5" thickBot="1" x14ac:dyDescent="0.25">
      <c r="F98" s="533" t="str">
        <f>+F49</f>
        <v>33.03.005.008</v>
      </c>
      <c r="G98" s="80" t="str">
        <f>+G49</f>
        <v>Emergencia SPD (PMU)</v>
      </c>
      <c r="H98" s="193">
        <f>+I49</f>
        <v>300000</v>
      </c>
      <c r="I98" s="142">
        <f t="shared" ca="1" si="18"/>
        <v>143570.014</v>
      </c>
      <c r="AM98" s="95"/>
    </row>
    <row r="99" spans="6:39" ht="13.5" thickBot="1" x14ac:dyDescent="0.25">
      <c r="F99" s="1271" t="s">
        <v>405</v>
      </c>
      <c r="G99" s="1273"/>
      <c r="H99" s="904">
        <f>+SUM(H95:H98)</f>
        <v>103254006</v>
      </c>
      <c r="I99" s="153">
        <f ca="1">+SUM(I95:I98)</f>
        <v>51937036.001999997</v>
      </c>
      <c r="AM99" s="95"/>
    </row>
    <row r="100" spans="6:39" ht="35.25" customHeight="1" thickBot="1" x14ac:dyDescent="0.25">
      <c r="F100" s="106" t="s">
        <v>698</v>
      </c>
      <c r="G100" s="77" t="s">
        <v>691</v>
      </c>
      <c r="H100" s="178" t="s">
        <v>696</v>
      </c>
      <c r="I100" s="181" t="s">
        <v>697</v>
      </c>
      <c r="K100" s="561"/>
      <c r="L100" s="58"/>
      <c r="M100" s="559"/>
      <c r="AM100" s="95"/>
    </row>
    <row r="101" spans="6:39" x14ac:dyDescent="0.2">
      <c r="F101" s="107" t="str">
        <f t="shared" ref="F101:F106" si="19">+F51</f>
        <v>33.03.006.001</v>
      </c>
      <c r="G101" s="78" t="s">
        <v>618</v>
      </c>
      <c r="H101" s="179">
        <f t="shared" ref="H101:H106" si="20">+I51</f>
        <v>7550100</v>
      </c>
      <c r="I101" s="182">
        <f t="shared" ref="I101:I106" ca="1" si="21">+J51</f>
        <v>3082502.8729999997</v>
      </c>
      <c r="AM101" s="95"/>
    </row>
    <row r="102" spans="6:39" x14ac:dyDescent="0.2">
      <c r="F102" s="107" t="str">
        <f t="shared" si="19"/>
        <v>33.03.006.002</v>
      </c>
      <c r="G102" s="79" t="s">
        <v>619</v>
      </c>
      <c r="H102" s="179">
        <f t="shared" si="20"/>
        <v>0</v>
      </c>
      <c r="I102" s="182">
        <f t="shared" ca="1" si="21"/>
        <v>0</v>
      </c>
      <c r="AM102" s="95"/>
    </row>
    <row r="103" spans="6:39" x14ac:dyDescent="0.2">
      <c r="F103" s="107" t="str">
        <f t="shared" si="19"/>
        <v>33.03.006.003</v>
      </c>
      <c r="G103" s="79" t="s">
        <v>620</v>
      </c>
      <c r="H103" s="179">
        <f t="shared" si="20"/>
        <v>2490344.1719999998</v>
      </c>
      <c r="I103" s="182">
        <f t="shared" ca="1" si="21"/>
        <v>308896.55200000003</v>
      </c>
      <c r="AM103" s="95"/>
    </row>
    <row r="104" spans="6:39" x14ac:dyDescent="0.2">
      <c r="F104" s="107" t="str">
        <f t="shared" si="19"/>
        <v>33.03.006.004</v>
      </c>
      <c r="G104" s="79" t="s">
        <v>621</v>
      </c>
      <c r="H104" s="179">
        <f t="shared" si="20"/>
        <v>2550000</v>
      </c>
      <c r="I104" s="182">
        <f t="shared" ca="1" si="21"/>
        <v>520368.78200000001</v>
      </c>
      <c r="AM104" s="95"/>
    </row>
    <row r="105" spans="6:39" x14ac:dyDescent="0.2">
      <c r="F105" s="107" t="str">
        <f t="shared" si="19"/>
        <v>33.03.006.005</v>
      </c>
      <c r="G105" s="79" t="s">
        <v>622</v>
      </c>
      <c r="H105" s="179">
        <f t="shared" si="20"/>
        <v>17401492.500999998</v>
      </c>
      <c r="I105" s="182">
        <f t="shared" ca="1" si="21"/>
        <v>389231.15099999995</v>
      </c>
    </row>
    <row r="106" spans="6:39" ht="13.5" thickBot="1" x14ac:dyDescent="0.25">
      <c r="F106" s="190" t="str">
        <f t="shared" si="19"/>
        <v>33.03.006.007</v>
      </c>
      <c r="G106" s="80" t="s">
        <v>623</v>
      </c>
      <c r="H106" s="180">
        <f t="shared" si="20"/>
        <v>12021708.327</v>
      </c>
      <c r="I106" s="183">
        <f t="shared" ca="1" si="21"/>
        <v>2464819.781</v>
      </c>
    </row>
    <row r="107" spans="6:39" ht="13.5" thickBot="1" x14ac:dyDescent="0.25">
      <c r="F107" s="1271" t="s">
        <v>405</v>
      </c>
      <c r="G107" s="1272"/>
      <c r="H107" s="75">
        <f>+SUM(H101:H106)</f>
        <v>42013645</v>
      </c>
      <c r="I107" s="76">
        <f ca="1">+SUM(I101:I106)</f>
        <v>6765819.1390000004</v>
      </c>
    </row>
    <row r="108" spans="6:39" ht="33" customHeight="1" thickBot="1" x14ac:dyDescent="0.25">
      <c r="F108" s="106" t="s">
        <v>698</v>
      </c>
      <c r="G108" s="77" t="s">
        <v>149</v>
      </c>
      <c r="H108" s="81" t="s">
        <v>696</v>
      </c>
      <c r="I108" s="181" t="s">
        <v>697</v>
      </c>
    </row>
    <row r="109" spans="6:39" ht="13.5" thickBot="1" x14ac:dyDescent="0.25">
      <c r="F109" s="807" t="str">
        <f>+F57</f>
        <v>33.03.100</v>
      </c>
      <c r="G109" s="808" t="s">
        <v>624</v>
      </c>
      <c r="H109" s="82">
        <f>+I57</f>
        <v>22730998</v>
      </c>
      <c r="I109" s="182">
        <f ca="1">+J57</f>
        <v>14967362.983999999</v>
      </c>
    </row>
    <row r="110" spans="6:39" ht="13.5" thickBot="1" x14ac:dyDescent="0.25">
      <c r="F110" s="806" t="s">
        <v>405</v>
      </c>
      <c r="G110" s="903" t="s">
        <v>405</v>
      </c>
      <c r="H110" s="83">
        <f>+H109</f>
        <v>22730998</v>
      </c>
      <c r="I110" s="184">
        <f ca="1">+I109</f>
        <v>14967362.983999999</v>
      </c>
    </row>
  </sheetData>
  <mergeCells count="43">
    <mergeCell ref="AG8:AH8"/>
    <mergeCell ref="AG4:AH4"/>
    <mergeCell ref="AG7:AH7"/>
    <mergeCell ref="AC8:AD8"/>
    <mergeCell ref="AA4:AB4"/>
    <mergeCell ref="AA7:AB7"/>
    <mergeCell ref="AC4:AD4"/>
    <mergeCell ref="AC7:AD7"/>
    <mergeCell ref="AE8:AF8"/>
    <mergeCell ref="AE7:AF7"/>
    <mergeCell ref="AE4:AF4"/>
    <mergeCell ref="F107:G107"/>
    <mergeCell ref="F99:G99"/>
    <mergeCell ref="F93:I93"/>
    <mergeCell ref="F73:J73"/>
    <mergeCell ref="G81:H81"/>
    <mergeCell ref="G74:J74"/>
    <mergeCell ref="G75:H75"/>
    <mergeCell ref="G88:H88"/>
    <mergeCell ref="U4:V4"/>
    <mergeCell ref="AA9:AB9"/>
    <mergeCell ref="AA8:AB8"/>
    <mergeCell ref="Y9:Z9"/>
    <mergeCell ref="Y8:Z8"/>
    <mergeCell ref="Y7:Z7"/>
    <mergeCell ref="Y4:Z4"/>
    <mergeCell ref="W9:X9"/>
    <mergeCell ref="W8:X8"/>
    <mergeCell ref="W7:X7"/>
    <mergeCell ref="W4:X4"/>
    <mergeCell ref="U9:V9"/>
    <mergeCell ref="U8:V8"/>
    <mergeCell ref="U7:V7"/>
    <mergeCell ref="B65:R68"/>
    <mergeCell ref="S4:T4"/>
    <mergeCell ref="S7:T7"/>
    <mergeCell ref="S8:T8"/>
    <mergeCell ref="S9:T9"/>
    <mergeCell ref="B4:R4"/>
    <mergeCell ref="B7:R7"/>
    <mergeCell ref="P8:R8"/>
    <mergeCell ref="B8:G10"/>
    <mergeCell ref="H8:O8"/>
  </mergeCells>
  <phoneticPr fontId="17" type="noConversion"/>
  <conditionalFormatting sqref="H30:H32">
    <cfRule type="cellIs" dxfId="18" priority="72" operator="equal">
      <formula>"·¡$S$$P$16"</formula>
    </cfRule>
  </conditionalFormatting>
  <conditionalFormatting sqref="H38:H39">
    <cfRule type="cellIs" dxfId="17" priority="68" operator="equal">
      <formula>"·¡$S$$P$16"</formula>
    </cfRule>
  </conditionalFormatting>
  <conditionalFormatting sqref="H34:I34 H36:I36">
    <cfRule type="cellIs" dxfId="16" priority="29" operator="equal">
      <formula>"·¡$S$$P$16"</formula>
    </cfRule>
  </conditionalFormatting>
  <conditionalFormatting sqref="I16 H16:H28 H46:I49 H51:I56 I57">
    <cfRule type="cellIs" dxfId="15" priority="104" operator="equal">
      <formula>"·¡$S$$P$16"</formula>
    </cfRule>
  </conditionalFormatting>
  <conditionalFormatting sqref="I38">
    <cfRule type="cellIs" dxfId="14" priority="4" operator="equal">
      <formula>"·¡$S$$P$16"</formula>
    </cfRule>
  </conditionalFormatting>
  <conditionalFormatting sqref="J30:J32">
    <cfRule type="cellIs" dxfId="13" priority="1" operator="equal">
      <formula>"·¡$S$$P$16"</formula>
    </cfRule>
  </conditionalFormatting>
  <conditionalFormatting sqref="L16:L28">
    <cfRule type="cellIs" dxfId="12" priority="3" operator="equal">
      <formula>"·¡$S$$P$16"</formula>
    </cfRule>
  </conditionalFormatting>
  <printOptions horizontalCentered="1"/>
  <pageMargins left="1" right="1" top="1" bottom="1" header="0.5" footer="0.5"/>
  <pageSetup paperSize="5" scale="40" fitToWidth="0" orientation="landscape" r:id="rId1"/>
  <ignoredErrors>
    <ignoredError sqref="V64 AI12:AI15 X64 Z64 AH64:AI64 H46 H39:I39 H37:J37 I45 H32:H36 J33:J36 H40:H44 J40:J43 H25 H38 J38 J46:J49 H48:H63 J51:J63 Q11 L24:L25 P12:Q13 Q63 S39:S63 S38:T38 S32:S37 L16 L13 P14:Q14 S26:V27 AB45 S24:U25 S17:S23 S12:T16 S28:AB28 X12:X14 W17 N29 AA32:AA34 AA38:AA40 AA14:AD14 AA13:AC13 AA15 S31:Z31 S29:S30 AA29:AB29 AA61:AA63 AA19:AA20 AA22:AA23 AC15 N34 N35 Z12:AC12 AA42:AA45 AB31 AB24:AB27 N30 N32:N33 N36 N31 N61 AD31 AD24:AD28 AD64 Q15 Q21 L22:L23 N37:N60 N62:N63 N15 N17:N21 N26:N28 AF64 N14 N12 N24:N25 N16 N13 N22:N23 P34 P30 P36 P31:Q31 P61 P26:Q28 P24:Q25 P16" formula="1"/>
    <ignoredError sqref="AI11 AJ12:AJ14 K64:R64 AJ44:AJ60 I63 I40:I43 I33:I36 I44:J44 I61 AI16:AI23 T11 X11 AI29:AI30 P29:Q29 Q22:Q23 AB32:AB44 AB30 AB46:AB64 AD32:AD63 AD29:AD30 P37 P35 Q30 AD15:AD23 Z13:Z23 P50 P33 P39:P43 P63 Q16:Q20 Q32:Q39 T39:T64 T32:T37 AC16:AC63 AA46:AA60 L29:L30 W18:W27 AA35:AA37 AA30:AA31 T29:Z30 AA41 Y24:AA27 AA16:AA18 AA21 AB15:AB23 Y12:Y23 X15:X27 V24:V25 U32:Z63 T17:V23 U12:W16 AD11:AD13 AH63:AI63 L63 L61 L32:L37 AE12:AE63 AF41:AF62 AF32:AF39 AF29:AF30 AF11:AF23 AI32:AI62 AH13:AH15 AH11 AH16 AH32:AH62 AH29:AH30 AH17:AH23 Q41:Q43 Q45:Q62 P45 L39:L44 L52" formula="1" unlockedFormula="1"/>
    <ignoredError sqref="G98 F95:F98 F101:F106 F109 AJ11 AJ15 T65 H95:I110 AK11:AK15 AK32:AL63 AJ61:AJ63 AJ32:AJ43 I64:J64 I29:I30 S11 AJ17:AK23 AL11:AL23 U11:V11 W11 Y11:AC11 AJ29:AL30 AE11 L60 AH24:AH28 AG11 AG13:AG63 L38 L53:L59 L45:L51" unlockedFormula="1"/>
    <ignoredError sqref="C41 D3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17</vt:i4>
      </vt:variant>
    </vt:vector>
  </HeadingPairs>
  <TitlesOfParts>
    <vt:vector size="31" baseType="lpstr">
      <vt:lpstr>GRAFICOS</vt:lpstr>
      <vt:lpstr>CONSOLIDADO</vt:lpstr>
      <vt:lpstr>P01 2024</vt:lpstr>
      <vt:lpstr>Prog 01</vt:lpstr>
      <vt:lpstr>P01 2025</vt:lpstr>
      <vt:lpstr>Prog 02</vt:lpstr>
      <vt:lpstr>P02 2025</vt:lpstr>
      <vt:lpstr>P02 2024</vt:lpstr>
      <vt:lpstr>Prog 03</vt:lpstr>
      <vt:lpstr>P03 2024</vt:lpstr>
      <vt:lpstr>P03 2025</vt:lpstr>
      <vt:lpstr>Prog 05</vt:lpstr>
      <vt:lpstr>P05 2024</vt:lpstr>
      <vt:lpstr>P05 2025</vt:lpstr>
      <vt:lpstr>CONSOLIDADO!Área_de_impresión</vt:lpstr>
      <vt:lpstr>'Prog 01'!Área_de_impresión</vt:lpstr>
      <vt:lpstr>'Prog 02'!Área_de_impresión</vt:lpstr>
      <vt:lpstr>'Prog 03'!Área_de_impresión</vt:lpstr>
      <vt:lpstr>'Prog 05'!Área_de_impresión</vt:lpstr>
      <vt:lpstr>coincidenciaP01</vt:lpstr>
      <vt:lpstr>indicep01</vt:lpstr>
      <vt:lpstr>'Prog 05'!matriz01</vt:lpstr>
      <vt:lpstr>matriz01</vt:lpstr>
      <vt:lpstr>matriz01.v2</vt:lpstr>
      <vt:lpstr>matriz02</vt:lpstr>
      <vt:lpstr>matriz03</vt:lpstr>
      <vt:lpstr>matriz2</vt:lpstr>
      <vt:lpstr>CONSOLIDADO!Títulos_a_imprimir</vt:lpstr>
      <vt:lpstr>'Prog 01'!Títulos_a_imprimir</vt:lpstr>
      <vt:lpstr>'Prog 03'!Títulos_a_imprimir</vt:lpstr>
      <vt:lpstr>'Prog 05'!Títulos_a_imprimir</vt:lpstr>
    </vt:vector>
  </TitlesOfParts>
  <Company>subdere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otorres</dc:creator>
  <cp:lastModifiedBy>JUAN IGNACIO CANCINO PACHECO</cp:lastModifiedBy>
  <cp:lastPrinted>2019-10-07T18:45:55Z</cp:lastPrinted>
  <dcterms:created xsi:type="dcterms:W3CDTF">2010-11-09T14:43:23Z</dcterms:created>
  <dcterms:modified xsi:type="dcterms:W3CDTF">2025-09-09T22:09:51Z</dcterms:modified>
</cp:coreProperties>
</file>